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7545" tabRatio="83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7" i="5" l="1"/>
  <c r="C272" i="5"/>
  <c r="L25" i="184" l="1"/>
  <c r="L16" i="183"/>
  <c r="I17" i="183" l="1"/>
  <c r="G17" i="183"/>
  <c r="F17" i="183"/>
  <c r="E17" i="183"/>
  <c r="K27" i="179"/>
  <c r="J27" i="179"/>
  <c r="I27" i="179"/>
  <c r="H27" i="179"/>
  <c r="G27" i="179"/>
  <c r="F27" i="179"/>
  <c r="E27" i="179"/>
  <c r="K24" i="185" l="1"/>
  <c r="J24" i="185"/>
  <c r="I24" i="185"/>
  <c r="H24" i="185"/>
  <c r="G24" i="185"/>
  <c r="F24" i="185"/>
  <c r="E24" i="185"/>
  <c r="K18" i="184"/>
  <c r="J18" i="184"/>
  <c r="I18" i="184"/>
  <c r="H18" i="184"/>
  <c r="G18" i="184"/>
  <c r="F18" i="184"/>
  <c r="E18" i="184"/>
  <c r="K24" i="183" l="1"/>
  <c r="J24" i="183"/>
  <c r="I24" i="183"/>
  <c r="H24" i="183"/>
  <c r="G24" i="183"/>
  <c r="F24" i="183"/>
  <c r="E24" i="183"/>
  <c r="K20" i="183"/>
  <c r="J20" i="183"/>
  <c r="I20" i="183"/>
  <c r="I16" i="185" s="1"/>
  <c r="H20" i="183"/>
  <c r="G20" i="183"/>
  <c r="G16" i="185" s="1"/>
  <c r="F20" i="183"/>
  <c r="F16" i="185" s="1"/>
  <c r="E20" i="183"/>
  <c r="K15" i="183"/>
  <c r="J15" i="183"/>
  <c r="J17" i="183" s="1"/>
  <c r="J16" i="185" s="1"/>
  <c r="H15" i="183"/>
  <c r="H17" i="183" s="1"/>
  <c r="H16" i="185" s="1"/>
  <c r="K24" i="179"/>
  <c r="K12" i="183" s="1"/>
  <c r="J24" i="179"/>
  <c r="J12" i="183" s="1"/>
  <c r="I24" i="179"/>
  <c r="I12" i="183" s="1"/>
  <c r="H24" i="179"/>
  <c r="H12" i="183" s="1"/>
  <c r="G24" i="179"/>
  <c r="G12" i="183" s="1"/>
  <c r="F24" i="179"/>
  <c r="F12" i="183" s="1"/>
  <c r="E24" i="179"/>
  <c r="E12" i="183" s="1"/>
  <c r="H26" i="185" l="1"/>
  <c r="F26" i="185"/>
  <c r="D35" i="171" s="1"/>
  <c r="E16" i="185"/>
  <c r="E26" i="185" s="1"/>
  <c r="J26" i="185"/>
  <c r="L15" i="183"/>
  <c r="L17" i="183" s="1"/>
  <c r="K17" i="183"/>
  <c r="K16" i="185" s="1"/>
  <c r="K26" i="185" s="1"/>
  <c r="I26" i="185"/>
  <c r="D45" i="174" s="1"/>
  <c r="G26" i="185"/>
  <c r="L22" i="185" l="1"/>
  <c r="L21" i="185"/>
  <c r="L20" i="185"/>
  <c r="L19" i="185"/>
  <c r="L24" i="185" s="1"/>
  <c r="L18" i="185"/>
  <c r="L17" i="185"/>
  <c r="L12" i="185"/>
  <c r="B4" i="185"/>
  <c r="L23" i="184"/>
  <c r="L17" i="184"/>
  <c r="L16" i="184"/>
  <c r="L15" i="184"/>
  <c r="L12" i="184"/>
  <c r="B4" i="184"/>
  <c r="L26" i="183"/>
  <c r="L23" i="183"/>
  <c r="L24" i="183" s="1"/>
  <c r="L22" i="183"/>
  <c r="L19" i="183"/>
  <c r="L18" i="183"/>
  <c r="L11" i="183"/>
  <c r="B4" i="183"/>
  <c r="K9" i="12"/>
  <c r="H6" i="12"/>
  <c r="L20" i="183" l="1"/>
  <c r="L18" i="184"/>
  <c r="L16" i="185"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7" i="179" s="1"/>
  <c r="L23" i="179"/>
  <c r="L22" i="179"/>
  <c r="L21" i="179"/>
  <c r="L20" i="179"/>
  <c r="L19" i="179"/>
  <c r="L18" i="179"/>
  <c r="L17" i="179"/>
  <c r="L16" i="179"/>
  <c r="L15" i="179"/>
  <c r="L14" i="179"/>
  <c r="L13" i="179"/>
  <c r="L12" i="179"/>
  <c r="L11" i="179"/>
  <c r="L24" i="179" l="1"/>
  <c r="L12" i="183" s="1"/>
  <c r="L26" i="185"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c r="B6304" i="106"/>
  <c r="D6304" i="106" s="1"/>
  <c r="B6305" i="106"/>
  <c r="D6305" i="106" s="1"/>
  <c r="B6307" i="106"/>
  <c r="D6307" i="106"/>
  <c r="B6308" i="106"/>
  <c r="D6308" i="106"/>
  <c r="B6309" i="106"/>
  <c r="D6309" i="106" s="1"/>
  <c r="B6310" i="106"/>
  <c r="D6310" i="106" s="1"/>
  <c r="B6311" i="106"/>
  <c r="D6311" i="106" s="1"/>
  <c r="B6312" i="106"/>
  <c r="D6312" i="106"/>
  <c r="B6313" i="106"/>
  <c r="D6313" i="106" s="1"/>
  <c r="B6314" i="106"/>
  <c r="D6314" i="106" s="1"/>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c r="B6647" i="106"/>
  <c r="D6647" i="106" s="1"/>
  <c r="B6648" i="106"/>
  <c r="D6648" i="106" s="1"/>
  <c r="B6649" i="106"/>
  <c r="D6649" i="106"/>
  <c r="B6650" i="106"/>
  <c r="D6650" i="106" s="1"/>
  <c r="B6651" i="106"/>
  <c r="D6651" i="106" s="1"/>
  <c r="B6652" i="106"/>
  <c r="D6652" i="106" s="1"/>
  <c r="B6653" i="106"/>
  <c r="D6653" i="106"/>
  <c r="B6654" i="106"/>
  <c r="D6654" i="106"/>
  <c r="B6655" i="106"/>
  <c r="D6655" i="106" s="1"/>
  <c r="B6656" i="106"/>
  <c r="D6656" i="106" s="1"/>
  <c r="B6657" i="106"/>
  <c r="D6657" i="106"/>
  <c r="B6658" i="106"/>
  <c r="D6658" i="106"/>
  <c r="B6659" i="106"/>
  <c r="D6659" i="106" s="1"/>
  <c r="B6660" i="106"/>
  <c r="D6660" i="106" s="1"/>
  <c r="B6661" i="106"/>
  <c r="D6661" i="106" s="1"/>
  <c r="B6662" i="106"/>
  <c r="D6662" i="106"/>
  <c r="B6663" i="106"/>
  <c r="D6663" i="106" s="1"/>
  <c r="B6664" i="106"/>
  <c r="D6664" i="106" s="1"/>
  <c r="B6665" i="106"/>
  <c r="D6665" i="106"/>
  <c r="B6666" i="106"/>
  <c r="D6666" i="106" s="1"/>
  <c r="B6667" i="106"/>
  <c r="D6667" i="106" s="1"/>
  <c r="B6668" i="106"/>
  <c r="D6668" i="106" s="1"/>
  <c r="B6669" i="106"/>
  <c r="D6669" i="106"/>
  <c r="B6670" i="106"/>
  <c r="D6670" i="106"/>
  <c r="B6671" i="106"/>
  <c r="D6671" i="106" s="1"/>
  <c r="B6672" i="106"/>
  <c r="D6672" i="106" s="1"/>
  <c r="B6673" i="106"/>
  <c r="D6673" i="106"/>
  <c r="B6674" i="106"/>
  <c r="D6674" i="106"/>
  <c r="B6675" i="106"/>
  <c r="D6675" i="106" s="1"/>
  <c r="B6676" i="106"/>
  <c r="D6676" i="106" s="1"/>
  <c r="B6677" i="106"/>
  <c r="D6677" i="106"/>
  <c r="B6678" i="106"/>
  <c r="D6678" i="106"/>
  <c r="B6679" i="106"/>
  <c r="D6679" i="106" s="1"/>
  <c r="B6680" i="106"/>
  <c r="D6680" i="106" s="1"/>
  <c r="B6681" i="106"/>
  <c r="D6681" i="106"/>
  <c r="B6682" i="106"/>
  <c r="D6682" i="106"/>
  <c r="B6683" i="106"/>
  <c r="D6683" i="106" s="1"/>
  <c r="B6684" i="106"/>
  <c r="D6684" i="106" s="1"/>
  <c r="B6685" i="106"/>
  <c r="D6685" i="106"/>
  <c r="B6686" i="106"/>
  <c r="D6686" i="106"/>
  <c r="B6687" i="106"/>
  <c r="D6687" i="106" s="1"/>
  <c r="B6688" i="106"/>
  <c r="D6688" i="106" s="1"/>
  <c r="B6689" i="106"/>
  <c r="D6689" i="106"/>
  <c r="B6690" i="106"/>
  <c r="D6690" i="106"/>
  <c r="B6691" i="106"/>
  <c r="D6691" i="106" s="1"/>
  <c r="B6692" i="106"/>
  <c r="D6692" i="106" s="1"/>
  <c r="B6693" i="106"/>
  <c r="D6693" i="106"/>
  <c r="B6694" i="106"/>
  <c r="D6694" i="106"/>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c r="B6709" i="106"/>
  <c r="D6709" i="106" s="1"/>
  <c r="B6710" i="106"/>
  <c r="D6710" i="106" s="1"/>
  <c r="B6711" i="106"/>
  <c r="D6711" i="106" s="1"/>
  <c r="B6712" i="106"/>
  <c r="D6712" i="106"/>
  <c r="B6713" i="106"/>
  <c r="D6713" i="106" s="1"/>
  <c r="B6714" i="106"/>
  <c r="D6714" i="106" s="1"/>
  <c r="B6715" i="106"/>
  <c r="D6715" i="106" s="1"/>
  <c r="B6716" i="106"/>
  <c r="D6716" i="106"/>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59" i="127"/>
  <c r="B60" i="127"/>
  <c r="E26" i="108"/>
  <c r="G26" i="108"/>
  <c r="D27" i="108"/>
  <c r="E27" i="108"/>
  <c r="F27" i="108"/>
  <c r="G27" i="108"/>
  <c r="E28" i="108"/>
  <c r="F28" i="108"/>
  <c r="F31" i="108"/>
  <c r="F36" i="108"/>
  <c r="F37" i="108"/>
  <c r="G28" i="108"/>
  <c r="E30" i="108"/>
  <c r="G30" i="108"/>
  <c r="D31" i="108"/>
  <c r="D36"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131" i="34"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J22" i="37"/>
  <c r="L22" i="37"/>
  <c r="L5" i="11"/>
  <c r="B2056" i="106" s="1"/>
  <c r="D2056" i="106" s="1"/>
  <c r="D4" i="7"/>
  <c r="B1760" i="106" s="1"/>
  <c r="D1760" i="106" s="1"/>
  <c r="B5847" i="106"/>
  <c r="D5847" i="106" s="1"/>
  <c r="B5599" i="106"/>
  <c r="D5599" i="106" s="1"/>
  <c r="K274" i="5"/>
  <c r="B1746" i="106"/>
  <c r="D1746" i="106" s="1"/>
  <c r="D12" i="7"/>
  <c r="B1769" i="106" s="1"/>
  <c r="D1769" i="106" s="1"/>
  <c r="D11" i="7"/>
  <c r="B1768" i="106" s="1"/>
  <c r="D1768" i="106" s="1"/>
  <c r="D15" i="7" l="1"/>
  <c r="B1772" i="106" s="1"/>
  <c r="D1772" i="106" s="1"/>
  <c r="B5096" i="106"/>
  <c r="D5096" i="106" s="1"/>
  <c r="D6103" i="106"/>
  <c r="G172" i="5"/>
  <c r="I342" i="29"/>
  <c r="B7222" i="106" s="1"/>
  <c r="D7222" i="106" s="1"/>
  <c r="B4412" i="106"/>
  <c r="D4412" i="106" s="1"/>
  <c r="F21" i="8"/>
  <c r="F106" i="34"/>
  <c r="D109" i="5"/>
  <c r="B5356" i="106" s="1"/>
  <c r="D5356" i="106" s="1"/>
  <c r="D22" i="37"/>
  <c r="G5" i="4"/>
  <c r="B3409" i="106" s="1"/>
  <c r="D3409" i="106" s="1"/>
  <c r="H173" i="5"/>
  <c r="D9" i="7"/>
  <c r="B1767" i="106" s="1"/>
  <c r="D1767" i="106" s="1"/>
  <c r="D11" i="37"/>
  <c r="I274" i="5"/>
  <c r="I7" i="4" s="1"/>
  <c r="B4444" i="106" s="1"/>
  <c r="D4444" i="106" s="1"/>
  <c r="F50" i="34"/>
  <c r="F44" i="34"/>
  <c r="F41" i="34"/>
  <c r="I129" i="29"/>
  <c r="B7037" i="106" s="1"/>
  <c r="D7037" i="106" s="1"/>
  <c r="B6261" i="106"/>
  <c r="D6261" i="106" s="1"/>
  <c r="H365" i="29"/>
  <c r="B7242" i="106" s="1"/>
  <c r="D7242" i="106" s="1"/>
  <c r="F77" i="4"/>
  <c r="B3255" i="106" s="1"/>
  <c r="D3255" i="106" s="1"/>
  <c r="H29" i="118"/>
  <c r="K28" i="118" s="1"/>
  <c r="O27" i="118" s="1"/>
  <c r="O29" i="118" s="1"/>
  <c r="D17" i="7"/>
  <c r="B4104" i="106" s="1"/>
  <c r="D4104" i="106" s="1"/>
  <c r="D24" i="37"/>
  <c r="B4270" i="106" s="1"/>
  <c r="D4270" i="106" s="1"/>
  <c r="K173" i="5"/>
  <c r="K6" i="4" s="1"/>
  <c r="B3570" i="106" s="1"/>
  <c r="D3570" i="106" s="1"/>
  <c r="F172" i="5"/>
  <c r="B5644" i="106" s="1"/>
  <c r="D5644" i="106" s="1"/>
  <c r="L312" i="29"/>
  <c r="F49" i="34"/>
  <c r="G173" i="5"/>
  <c r="B5778" i="106" s="1"/>
  <c r="D5778" i="106" s="1"/>
  <c r="F66" i="34"/>
  <c r="F45" i="34"/>
  <c r="F42" i="34"/>
  <c r="K285" i="29"/>
  <c r="G15" i="145"/>
  <c r="F111" i="34"/>
  <c r="I24" i="12"/>
  <c r="G210" i="29"/>
  <c r="E174" i="29"/>
  <c r="B1309" i="106" s="1"/>
  <c r="D1309" i="106" s="1"/>
  <c r="D31" i="36"/>
  <c r="H342" i="29"/>
  <c r="F128" i="34"/>
  <c r="B5770" i="106"/>
  <c r="D5770" i="106" s="1"/>
  <c r="I173" i="5"/>
  <c r="B4216" i="106" s="1"/>
  <c r="D4216" i="106" s="1"/>
  <c r="G109" i="5"/>
  <c r="B6024" i="106" s="1"/>
  <c r="D6024" i="106" s="1"/>
  <c r="F127" i="34"/>
  <c r="F130" i="34"/>
  <c r="D5" i="4"/>
  <c r="B3406" i="106" s="1"/>
  <c r="D3406" i="106" s="1"/>
  <c r="J274" i="5"/>
  <c r="B7054" i="106" s="1"/>
  <c r="D7054" i="106" s="1"/>
  <c r="B7235" i="106"/>
  <c r="D7235" i="106" s="1"/>
  <c r="B3647" i="106"/>
  <c r="D3647" i="106" s="1"/>
  <c r="B3621" i="106"/>
  <c r="D3621" i="106" s="1"/>
  <c r="C367" i="29"/>
  <c r="K24" i="12"/>
  <c r="K76" i="4"/>
  <c r="B3586" i="106" s="1"/>
  <c r="D3586" i="106" s="1"/>
  <c r="D54" i="36"/>
  <c r="L15" i="11"/>
  <c r="B3459" i="106" s="1"/>
  <c r="D3459" i="106" s="1"/>
  <c r="F19" i="7"/>
  <c r="B1807" i="106" s="1"/>
  <c r="D1807" i="106" s="1"/>
  <c r="L367" i="29"/>
  <c r="L342" i="29"/>
  <c r="H33" i="118"/>
  <c r="B3649" i="106"/>
  <c r="D3649" i="106" s="1"/>
  <c r="G367" i="29"/>
  <c r="K350" i="29"/>
  <c r="C342" i="29"/>
  <c r="B7216" i="106" s="1"/>
  <c r="D7216" i="106" s="1"/>
  <c r="B1410" i="106"/>
  <c r="D1410" i="106" s="1"/>
  <c r="K184" i="29"/>
  <c r="F13" i="4" s="1"/>
  <c r="B2596" i="106" s="1"/>
  <c r="D2596" i="106" s="1"/>
  <c r="B1329" i="106"/>
  <c r="D1329" i="106" s="1"/>
  <c r="F61" i="34"/>
  <c r="C129" i="29"/>
  <c r="B1225" i="106" s="1"/>
  <c r="D1225" i="106" s="1"/>
  <c r="D37" i="108"/>
  <c r="F34" i="34"/>
  <c r="G35" i="108"/>
  <c r="G29" i="108"/>
  <c r="D26" i="108"/>
  <c r="E35" i="108"/>
  <c r="E29" i="108"/>
  <c r="B1126" i="106"/>
  <c r="D1126" i="106" s="1"/>
  <c r="F26" i="108"/>
  <c r="F41" i="108" s="1"/>
  <c r="G43" i="108" s="1"/>
  <c r="F38" i="34"/>
  <c r="J41" i="3"/>
  <c r="B6216" i="106" s="1"/>
  <c r="D6216" i="106" s="1"/>
  <c r="L13" i="11"/>
  <c r="B2060" i="106" s="1"/>
  <c r="D2060" i="106" s="1"/>
  <c r="N22" i="3"/>
  <c r="B283" i="106" s="1"/>
  <c r="D283" i="106" s="1"/>
  <c r="K41" i="3"/>
  <c r="H109" i="5"/>
  <c r="G4" i="4"/>
  <c r="B2603" i="106" s="1"/>
  <c r="D2603" i="106" s="1"/>
  <c r="D7" i="7"/>
  <c r="B1763" i="106" s="1"/>
  <c r="D1763" i="106" s="1"/>
  <c r="E109" i="5"/>
  <c r="E4" i="4" s="1"/>
  <c r="B2630" i="106" s="1"/>
  <c r="D2630" i="106" s="1"/>
  <c r="D4" i="4"/>
  <c r="B2564" i="106" s="1"/>
  <c r="D2564" i="106" s="1"/>
  <c r="D5" i="7"/>
  <c r="B1761" i="106" s="1"/>
  <c r="D1761" i="106" s="1"/>
  <c r="C172" i="5"/>
  <c r="B5214" i="106" s="1"/>
  <c r="D5214" i="106" s="1"/>
  <c r="C109" i="5"/>
  <c r="B5121" i="106" s="1"/>
  <c r="D5121" i="106" s="1"/>
  <c r="D13" i="7"/>
  <c r="B3726" i="106" s="1"/>
  <c r="D3726" i="106" s="1"/>
  <c r="B5066" i="106"/>
  <c r="D506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2657" i="106"/>
  <c r="D2657" i="106" s="1"/>
  <c r="D274" i="5"/>
  <c r="B7270" i="106"/>
  <c r="H367" i="29" l="1"/>
  <c r="B3660" i="106" s="1"/>
  <c r="D3660" i="106" s="1"/>
  <c r="B1879" i="106"/>
  <c r="D1879" i="106" s="1"/>
  <c r="H22" i="37"/>
  <c r="K365" i="29"/>
  <c r="F274" i="5"/>
  <c r="H275" i="5"/>
  <c r="C151" i="29"/>
  <c r="B1226" i="106" s="1"/>
  <c r="D1226" i="106" s="1"/>
  <c r="D7256" i="106"/>
  <c r="D7251" i="106"/>
  <c r="B1328" i="106"/>
  <c r="D1328" i="106" s="1"/>
  <c r="D7250" i="106"/>
  <c r="B1365" i="106"/>
  <c r="D1365" i="106" s="1"/>
  <c r="F65" i="34"/>
  <c r="J7" i="4"/>
  <c r="B6222" i="106" s="1"/>
  <c r="D6222" i="106" s="1"/>
  <c r="B5527" i="106"/>
  <c r="D5527" i="106" s="1"/>
  <c r="H151" i="29"/>
  <c r="B1273" i="106" s="1"/>
  <c r="D1273" i="106" s="1"/>
  <c r="B3628" i="106"/>
  <c r="D3628" i="106" s="1"/>
  <c r="B1996" i="106"/>
  <c r="D1996" i="106" s="1"/>
  <c r="I26" i="12"/>
  <c r="B7741" i="106" s="1"/>
  <c r="D7741" i="106" s="1"/>
  <c r="B5906" i="106"/>
  <c r="D5906" i="106" s="1"/>
  <c r="H6" i="4"/>
  <c r="B2656" i="106" s="1"/>
  <c r="D2656" i="106" s="1"/>
  <c r="D41" i="108"/>
  <c r="E43" i="108" s="1"/>
  <c r="F73" i="34"/>
  <c r="G15" i="4"/>
  <c r="B6032" i="106" s="1"/>
  <c r="D6032" i="106" s="1"/>
  <c r="D7255" i="106"/>
  <c r="D7252" i="106"/>
  <c r="N23" i="3"/>
  <c r="B284" i="106" s="1"/>
  <c r="D284" i="106" s="1"/>
  <c r="D7253" i="106"/>
  <c r="B7733" i="106"/>
  <c r="D7733" i="106" s="1"/>
  <c r="K26" i="12"/>
  <c r="B7743" i="106" s="1"/>
  <c r="D7743" i="106" s="1"/>
  <c r="L114" i="29"/>
  <c r="D51" i="36"/>
  <c r="B3670" i="106"/>
  <c r="D3670" i="106" s="1"/>
  <c r="K352" i="29"/>
  <c r="K342" i="29"/>
  <c r="F13" i="34" s="1"/>
  <c r="B1317" i="106"/>
  <c r="D1317" i="106" s="1"/>
  <c r="C114" i="29"/>
  <c r="B757" i="106" s="1"/>
  <c r="D757" i="106" s="1"/>
  <c r="L16" i="11"/>
  <c r="B2061" i="106" s="1"/>
  <c r="D2061" i="106" s="1"/>
  <c r="B3568" i="106"/>
  <c r="D3568" i="106" s="1"/>
  <c r="D52" i="36"/>
  <c r="D44" i="36"/>
  <c r="B6025" i="106"/>
  <c r="D6025" i="106" s="1"/>
  <c r="H4" i="4"/>
  <c r="F275" i="5"/>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D7" i="4"/>
  <c r="B5507" i="106"/>
  <c r="D5507" i="106" s="1"/>
  <c r="B7298" i="106"/>
  <c r="B7299" i="106"/>
  <c r="F8" i="4" l="1"/>
  <c r="B7224" i="106"/>
  <c r="D7224" i="106" s="1"/>
  <c r="K13" i="4"/>
  <c r="B3572" i="106" s="1"/>
  <c r="D3572" i="106" s="1"/>
  <c r="B3672" i="106"/>
  <c r="D3672" i="106" s="1"/>
  <c r="K367" i="29"/>
  <c r="B3678" i="106" s="1"/>
  <c r="D3678" i="106" s="1"/>
  <c r="J17" i="4"/>
  <c r="E41" i="108"/>
  <c r="E44" i="108" s="1"/>
  <c r="E45" i="108" s="1"/>
  <c r="G41" i="108"/>
  <c r="G44" i="108" s="1"/>
  <c r="G45" i="108" s="1"/>
  <c r="J8" i="4"/>
  <c r="B2655" i="106"/>
  <c r="D2655" i="106" s="1"/>
  <c r="H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K368" i="29"/>
  <c r="B3681" i="106" s="1"/>
  <c r="D3681"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<sst xmlns="http://schemas.openxmlformats.org/spreadsheetml/2006/main" count="5597" uniqueCount="2289">
  <si>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</si>
  <si>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</si>
  <si>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</si>
  <si>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</si>
  <si>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</si>
  <si>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</si>
  <si>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</si>
  <si>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</si>
  <si>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</si>
  <si>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</si>
  <si>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</si>
  <si>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</si>
  <si>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</si>
  <si>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</si>
  <si>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</si>
  <si>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</si>
  <si>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</si>
  <si>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</si>
  <si>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</si>
  <si>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</si>
  <si>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</si>
  <si>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</si>
  <si>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</si>
  <si>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</si>
  <si>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</si>
  <si>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</si>
  <si>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</si>
  <si>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</si>
  <si>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</si>
  <si>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</si>
  <si>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</si>
  <si>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</si>
  <si>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</si>
  <si>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</si>
  <si>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</si>
  <si>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</si>
  <si>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</si>
  <si>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</si>
  <si>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</si>
  <si>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</si>
  <si>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</si>
  <si>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</si>
  <si>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</si>
  <si>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</si>
  <si>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</si>
  <si>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</si>
  <si>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</si>
  <si>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</si>
  <si>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</si>
  <si>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</si>
  <si>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</si>
  <si>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</si>
  <si>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</si>
  <si>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</si>
  <si>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</si>
  <si>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</si>
  <si>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</si>
  <si>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</si>
  <si>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</si>
  <si>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</si>
  <si>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</si>
  <si>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</si>
  <si>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</si>
  <si>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</si>
  <si>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</si>
  <si>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</si>
  <si>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</si>
  <si>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</si>
  <si>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</si>
  <si>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</si>
  <si>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</si>
  <si>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</si>
  <si>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</si>
  <si>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</si>
  <si>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</si>
  <si>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</si>
  <si>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</si>
  <si>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</si>
  <si>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</si>
  <si>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</si>
  <si>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</si>
  <si>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</si>
  <si>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</si>
  <si>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</si>
  <si>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</si>
  <si>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</si>
  <si>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</si>
  <si>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</si>
  <si>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</si>
  <si>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</si>
  <si>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</si>
  <si>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</si>
  <si>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</si>
  <si>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</si>
  <si>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</si>
  <si>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</si>
  <si>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</si>
  <si>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</si>
  <si>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</si>
  <si>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</si>
  <si>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</si>
  <si>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</si>
  <si>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</si>
  <si>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</si>
  <si>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</si>
  <si>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</si>
  <si>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</si>
  <si>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</si>
  <si>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</si>
  <si>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</si>
  <si>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</si>
  <si>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</si>
  <si>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</si>
  <si>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</si>
  <si>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</si>
  <si>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</si>
  <si>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</si>
  <si>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</si>
  <si>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</si>
  <si>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</si>
  <si>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</si>
  <si>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</si>
  <si>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</si>
  <si>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</si>
  <si>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</si>
  <si>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</si>
  <si>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</si>
  <si>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</si>
  <si>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</si>
  <si>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</si>
  <si>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</si>
  <si>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</si>
  <si>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</si>
  <si>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</si>
  <si>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</si>
  <si>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</si>
  <si>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</si>
  <si>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</si>
  <si>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</si>
  <si>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</si>
  <si>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</si>
  <si>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</si>
  <si>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</si>
  <si>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</si>
  <si>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</si>
  <si>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</si>
  <si>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</si>
  <si>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</si>
  <si>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</si>
  <si>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</si>
  <si>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</si>
  <si>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</si>
  <si>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</si>
  <si>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</si>
  <si>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</si>
  <si>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</si>
  <si>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</si>
  <si>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</si>
  <si>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</si>
  <si>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</si>
  <si>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</si>
  <si>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</si>
  <si>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</si>
  <si>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</si>
  <si>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</si>
  <si>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</si>
  <si>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</si>
  <si>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</si>
  <si>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</si>
  <si>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</si>
  <si>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</si>
  <si>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</si>
  <si>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</si>
  <si>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</si>
  <si>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</si>
  <si>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</si>
  <si>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</si>
  <si>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</si>
  <si>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</si>
  <si>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</si>
  <si>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</si>
  <si>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</si>
  <si>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</si>
  <si>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</si>
  <si>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</si>
  <si>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</si>
  <si>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</si>
  <si>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</si>
  <si>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</si>
  <si>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</si>
  <si>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</si>
  <si>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</si>
  <si>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</si>
  <si>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</si>
  <si>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</si>
  <si>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</si>
  <si>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</si>
  <si>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</si>
  <si>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</si>
  <si>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</si>
  <si>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</si>
  <si>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</si>
  <si>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</si>
  <si>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</si>
  <si>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</si>
  <si>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</si>
  <si>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</si>
  <si>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</si>
  <si>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</si>
  <si>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</si>
  <si>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</si>
  <si>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</si>
  <si>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</si>
  <si>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</si>
  <si>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</si>
  <si>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</si>
  <si>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</si>
  <si>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</si>
  <si>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</si>
  <si>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</si>
  <si>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</si>
  <si>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</si>
  <si>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</si>
  <si>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</si>
  <si>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</si>
  <si>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</si>
  <si>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</si>
  <si>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</si>
  <si>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</si>
  <si>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</si>
  <si>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</si>
  <si>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</si>
  <si>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</si>
  <si>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</si>
  <si>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</si>
  <si>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</si>
  <si>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</si>
  <si>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</si>
  <si>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</si>
  <si>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</si>
  <si>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</si>
  <si>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</si>
  <si>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</si>
  <si>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</si>
  <si>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</si>
  <si>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</si>
  <si>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</si>
  <si>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</si>
  <si>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</si>
  <si>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</si>
  <si>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</si>
  <si>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</si>
  <si>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</si>
  <si>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</si>
  <si>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</si>
  <si>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</si>
  <si>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</si>
  <si>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</si>
  <si>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</si>
  <si>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</si>
  <si>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</si>
  <si>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</si>
  <si>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</si>
  <si>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</si>
  <si>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</si>
  <si>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</si>
  <si>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</si>
  <si>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</si>
  <si>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</si>
  <si>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</si>
  <si>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</si>
  <si>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</si>
  <si>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</si>
  <si>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</si>
  <si>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</si>
  <si>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</si>
  <si>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</si>
  <si>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</si>
  <si>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</si>
  <si>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</si>
  <si>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</si>
  <si>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</si>
  <si>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</si>
  <si>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</si>
  <si>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</si>
  <si>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</si>
  <si>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</si>
  <si>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</si>
  <si>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</si>
  <si>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</si>
  <si>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</si>
  <si>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</si>
  <si>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</si>
  <si>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</si>
  <si>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</si>
  <si>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</si>
  <si>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</si>
  <si>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</si>
  <si>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</si>
  <si>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</si>
  <si>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</si>
  <si>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</si>
  <si>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</si>
  <si>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</si>
  <si>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</si>
  <si>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</si>
  <si>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</si>
  <si>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</si>
  <si>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</si>
  <si>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</si>
  <si>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</si>
  <si>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</si>
  <si>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</si>
  <si>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</si>
  <si>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</si>
  <si>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</si>
  <si>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</si>
  <si>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</si>
  <si>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</si>
  <si>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</si>
  <si>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</si>
  <si>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</si>
  <si>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</si>
  <si>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</si>
  <si>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</si>
  <si>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</si>
  <si>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</si>
  <si>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</si>
  <si>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</si>
  <si>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</si>
  <si>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</si>
  <si>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</si>
  <si>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</si>
  <si>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</si>
  <si>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</si>
  <si>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</si>
  <si>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</si>
  <si>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</si>
  <si>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</si>
  <si>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</si>
  <si>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</si>
  <si>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</si>
  <si>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</si>
  <si>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</si>
  <si>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</si>
  <si>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</si>
  <si>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</si>
  <si>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</si>
  <si>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</si>
  <si>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</si>
  <si>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</si>
  <si>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</si>
  <si>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</si>
  <si>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</si>
  <si>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</si>
  <si>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</si>
  <si>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</si>
  <si>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</si>
  <si>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</si>
  <si>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</si>
  <si>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</si>
  <si>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</si>
  <si>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</si>
  <si>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</si>
  <si>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</si>
  <si>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</si>
  <si>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</si>
  <si>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</si>
  <si>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</si>
  <si>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</si>
  <si>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</si>
  <si>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</si>
  <si>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</si>
  <si>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</si>
  <si>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</si>
  <si>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</si>
  <si>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</si>
  <si>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</si>
  <si>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</si>
  <si>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</si>
  <si>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</si>
  <si>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</si>
  <si>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</si>
  <si>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</si>
  <si>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</si>
  <si>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</si>
  <si>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</si>
  <si>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</si>
  <si>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</si>
  <si>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</si>
  <si>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</si>
  <si>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</si>
  <si>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</si>
  <si>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</si>
  <si>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</si>
  <si>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</si>
  <si>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</si>
  <si>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</si>
  <si>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</si>
  <si>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</si>
  <si>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</si>
  <si>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</si>
  <si>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</si>
  <si>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</si>
  <si>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</si>
  <si>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</si>
  <si>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</si>
  <si>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</si>
  <si>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</si>
  <si>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</si>
  <si>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</si>
  <si>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</si>
  <si>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</si>
  <si>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</si>
  <si>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</si>
  <si>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</si>
  <si>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</si>
  <si>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</si>
  <si>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</si>
  <si>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</si>
  <si>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</si>
  <si>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</si>
  <si>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</si>
  <si>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</si>
  <si>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</si>
  <si>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</si>
  <si>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</si>
  <si>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</si>
  <si>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</si>
  <si>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</si>
  <si>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</si>
  <si>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</si>
  <si>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</si>
  <si>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</si>
  <si>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</si>
  <si>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</si>
  <si>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</si>
  <si>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</si>
  <si>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</si>
  <si>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</si>
  <si>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</si>
  <si>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</si>
  <si>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</si>
  <si>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</si>
  <si>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</si>
  <si>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</si>
  <si>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</si>
  <si>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</si>
  <si>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</si>
  <si>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</si>
  <si>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</si>
  <si>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</si>
  <si>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</si>
  <si>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</si>
  <si>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</si>
  <si>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</si>
  <si>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</si>
  <si>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</si>
  <si>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</si>
  <si>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</si>
  <si>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</si>
  <si>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</si>
  <si>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</si>
  <si>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</si>
  <si>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</si>
  <si>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</si>
  <si>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</si>
  <si>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</si>
  <si>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</si>
  <si>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</si>
  <si>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</si>
  <si>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</si>
  <si>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</si>
  <si>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</si>
  <si>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</si>
  <si>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</si>
  <si>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</si>
  <si>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</si>
  <si>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</si>
  <si>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</si>
  <si>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</si>
  <si>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</si>
  <si>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</si>
  <si>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</si>
  <si>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</si>
  <si>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</si>
  <si>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</si>
  <si>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</si>
  <si>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</si>
  <si>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</si>
  <si>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</si>
  <si>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</si>
  <si>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</si>
  <si>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</si>
  <si>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</si>
  <si>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</si>
  <si>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</si>
  <si>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</si>
  <si>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</si>
  <si>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</si>
  <si>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</si>
  <si>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</si>
  <si>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</si>
  <si>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</si>
  <si>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</si>
  <si>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</si>
  <si>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</si>
  <si>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</si>
  <si>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</si>
  <si>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</si>
  <si>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</si>
  <si>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</si>
  <si>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</si>
  <si>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</si>
  <si>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</si>
  <si>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</si>
  <si>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</si>
  <si>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</si>
  <si>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</si>
  <si>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</si>
  <si>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</si>
  <si>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</si>
  <si>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</si>
  <si>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</si>
  <si>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</si>
  <si>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</si>
  <si>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</si>
  <si>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</si>
  <si>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</si>
  <si>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</si>
  <si>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</si>
  <si>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</si>
  <si>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</si>
  <si>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</si>
  <si>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</si>
  <si>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</si>
  <si>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</si>
  <si>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</si>
  <si>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</si>
  <si>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</si>
  <si>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</si>
  <si>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</si>
  <si>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</si>
  <si>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</si>
  <si>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</si>
  <si>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</si>
  <si>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</si>
  <si>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</si>
  <si>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</si>
  <si>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</si>
  <si>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</si>
  <si>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</si>
  <si>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</si>
  <si>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</si>
  <si>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</si>
  <si>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</si>
  <si>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</si>
  <si>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</si>
  <si>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</si>
  <si>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</si>
  <si>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</si>
  <si>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</si>
  <si>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</si>
  <si>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</si>
  <si>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</si>
  <si>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</si>
  <si>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</si>
  <si>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</si>
  <si>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</si>
  <si>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</si>
  <si>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</si>
  <si>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</si>
  <si>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</si>
  <si>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</si>
  <si>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</si>
  <si>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</si>
  <si>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</si>
  <si>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</si>
  <si>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</si>
  <si>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</si>
  <si>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</si>
  <si>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</si>
  <si>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</si>
  <si>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</si>
  <si>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</si>
  <si>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</si>
  <si>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</si>
  <si>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</si>
  <si>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</si>
  <si>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</si>
  <si>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</si>
  <si>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</si>
  <si>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</si>
  <si>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</si>
  <si>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</si>
  <si>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</si>
  <si>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</si>
  <si>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</si>
  <si>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</si>
  <si>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</si>
  <si>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</si>
  <si>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</si>
  <si>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</si>
  <si>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</si>
  <si>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</si>
  <si>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</si>
  <si>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</si>
  <si>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</si>
  <si>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</si>
  <si>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</si>
  <si>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</si>
  <si>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</si>
  <si>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</si>
  <si>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</si>
  <si>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</si>
  <si>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</si>
  <si>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</si>
  <si>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</si>
  <si>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</si>
  <si>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</si>
  <si>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</si>
  <si>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</si>
  <si>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</si>
  <si>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</si>
  <si>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</si>
  <si>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</si>
  <si>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</si>
  <si>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</si>
  <si>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</si>
  <si>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</si>
  <si>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</si>
  <si>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</si>
  <si>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</si>
  <si>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</si>
  <si>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</si>
  <si>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</si>
  <si>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</si>
  <si>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</si>
  <si>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</si>
  <si>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</si>
  <si>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</si>
  <si>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</si>
  <si>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</si>
  <si>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</si>
  <si>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</si>
  <si>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</si>
  <si>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</si>
  <si>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</si>
  <si>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</si>
  <si>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</si>
  <si>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</si>
  <si>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</si>
  <si>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</si>
  <si>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</si>
  <si>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</si>
  <si>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</si>
  <si>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</si>
  <si>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</si>
  <si>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</si>
  <si>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</si>
  <si>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</si>
  <si>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</si>
  <si>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</si>
  <si>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</si>
  <si>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</si>
  <si>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</si>
  <si>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</si>
  <si>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</si>
  <si>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</si>
  <si>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</si>
  <si>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</si>
  <si>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</si>
  <si>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</si>
  <si>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</si>
  <si>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</si>
  <si>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</si>
  <si>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</si>
  <si>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</si>
  <si>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</si>
  <si>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</si>
  <si>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</si>
  <si>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</si>
  <si>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</si>
  <si>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</si>
  <si>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</si>
  <si>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</si>
  <si>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</si>
  <si>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</si>
  <si>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</si>
  <si>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</si>
  <si>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</si>
  <si>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</si>
  <si>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</si>
  <si>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</si>
  <si>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</si>
  <si>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</si>
  <si>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</si>
  <si>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</si>
  <si>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</si>
  <si>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</si>
  <si>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</si>
  <si>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</si>
  <si>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</si>
  <si>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</si>
  <si>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</si>
  <si>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</si>
  <si>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</si>
  <si>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</si>
  <si>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</si>
  <si>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</si>
  <si>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</si>
  <si>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</si>
  <si>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</si>
  <si>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</si>
  <si>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</si>
  <si>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</si>
  <si>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</si>
  <si>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</si>
  <si>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</si>
  <si>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</si>
  <si>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</si>
  <si>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</si>
  <si>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</si>
  <si>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</si>
  <si>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</si>
  <si>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</si>
  <si>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</si>
  <si>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</si>
  <si>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</si>
  <si>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</si>
  <si>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</si>
  <si>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</si>
  <si>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</si>
  <si>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</si>
  <si>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</si>
  <si>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</si>
  <si>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</si>
  <si>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</si>
  <si>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</si>
  <si>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</si>
  <si>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</si>
  <si>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</si>
  <si>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</si>
  <si>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</si>
  <si>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</si>
  <si>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</si>
  <si>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</si>
  <si>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</si>
  <si>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</si>
  <si>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</si>
  <si>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</si>
  <si>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</si>
  <si>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</si>
  <si>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</si>
  <si>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</si>
  <si>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</si>
  <si>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</si>
  <si>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</si>
  <si>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</si>
  <si>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</si>
  <si>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</si>
  <si>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</si>
  <si>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</si>
  <si>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</si>
  <si>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</si>
  <si>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</si>
  <si>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</si>
  <si>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</si>
  <si>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</si>
  <si>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</si>
  <si>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</si>
  <si>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</si>
  <si>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</si>
  <si>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</si>
  <si>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</si>
  <si>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</si>
  <si>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</si>
  <si>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</si>
  <si>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</si>
  <si>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</si>
  <si>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</si>
  <si>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</si>
  <si>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</si>
  <si>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</si>
  <si>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</si>
  <si>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</si>
  <si>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</si>
  <si>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</si>
  <si>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</si>
  <si>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</si>
  <si>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</si>
  <si>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</si>
  <si>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</si>
  <si>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</si>
  <si>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</si>
  <si>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</si>
  <si>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</si>
  <si>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</si>
  <si>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</si>
  <si>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</si>
  <si>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</si>
  <si>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</si>
  <si>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</si>
  <si>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</si>
  <si>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</si>
  <si>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</si>
  <si>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</si>
  <si>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</si>
  <si>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</si>
  <si>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</si>
  <si>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</si>
  <si>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</si>
  <si>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</si>
  <si>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</si>
  <si>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</si>
  <si>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</si>
  <si>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</si>
  <si>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</si>
  <si>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</si>
  <si>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</si>
  <si>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</si>
  <si>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</si>
  <si>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</si>
  <si>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</si>
  <si>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</si>
  <si>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</si>
  <si>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</si>
  <si>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</si>
  <si>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</si>
  <si>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</si>
  <si>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</si>
  <si>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</si>
  <si>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</si>
  <si>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</si>
  <si>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</si>
  <si>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</si>
  <si>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</si>
  <si>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</si>
  <si>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</si>
  <si>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</si>
  <si>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</si>
  <si>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</si>
  <si>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</si>
  <si>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</si>
  <si>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</si>
  <si>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</si>
  <si>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</si>
  <si>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</si>
  <si>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</si>
  <si>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</si>
  <si>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</si>
  <si>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</si>
  <si>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</si>
  <si>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</si>
  <si>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</si>
  <si>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</si>
  <si>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</si>
  <si>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</si>
  <si>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</si>
  <si>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</si>
  <si>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</si>
  <si>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</si>
  <si>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</si>
  <si>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</si>
  <si>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</si>
  <si>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</si>
  <si>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</si>
  <si>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</si>
  <si>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</si>
  <si>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</si>
  <si>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</si>
  <si>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</si>
  <si>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</si>
  <si>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</si>
  <si>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</si>
  <si>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</si>
  <si>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</si>
  <si>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</si>
  <si>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</si>
  <si>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</si>
  <si>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</si>
  <si>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</si>
  <si>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</si>
  <si>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</si>
  <si>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</si>
  <si>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</si>
  <si>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</si>
  <si>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</si>
  <si>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</si>
  <si>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</si>
  <si>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</si>
  <si>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</si>
  <si>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</si>
  <si>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</si>
  <si>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</si>
  <si>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</si>
  <si>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</si>
  <si>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</si>
  <si>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</si>
  <si>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</si>
  <si>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</si>
  <si>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</si>
  <si>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</si>
  <si>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</si>
  <si>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</si>
  <si>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</si>
  <si>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</si>
  <si>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</si>
  <si>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</si>
  <si>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</si>
  <si>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</si>
  <si>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</si>
  <si>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</si>
  <si>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</si>
  <si>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</si>
  <si>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</si>
  <si>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</si>
  <si>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</si>
  <si>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</si>
  <si>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</si>
  <si>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</si>
  <si>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</si>
  <si>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</si>
  <si>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</si>
  <si>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</si>
  <si>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</si>
  <si>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</si>
  <si>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</si>
  <si>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</si>
  <si>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</si>
  <si>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</si>
  <si>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</si>
  <si>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</si>
  <si>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</si>
  <si>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</si>
  <si>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</si>
  <si>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</si>
  <si>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</si>
  <si>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</si>
  <si>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</si>
  <si>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</si>
  <si>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</si>
  <si>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</si>
  <si>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</si>
  <si>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</si>
  <si>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</si>
  <si>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</si>
  <si>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</si>
  <si>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</si>
  <si>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</si>
  <si>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</si>
  <si>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</si>
  <si>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</si>
  <si>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</si>
  <si>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</si>
  <si>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</si>
  <si>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</si>
  <si>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</si>
  <si>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</si>
  <si>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</si>
  <si>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</si>
  <si>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</si>
  <si>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</si>
  <si>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</si>
  <si>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</si>
  <si>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</si>
  <si>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</si>
  <si>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</si>
  <si>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</si>
  <si>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</si>
  <si>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</si>
  <si>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</si>
  <si>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</si>
  <si>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</si>
  <si>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</si>
  <si>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</si>
  <si>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</si>
  <si>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</si>
  <si>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</si>
  <si>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</si>
  <si>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</si>
  <si>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</si>
  <si>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</si>
  <si>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</si>
  <si>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</si>
  <si>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</si>
  <si>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</si>
  <si>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</si>
  <si>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</si>
  <si>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</si>
  <si>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</si>
  <si>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</si>
  <si>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</si>
  <si>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</si>
  <si>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</si>
  <si>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</si>
  <si>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</si>
  <si>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</si>
  <si>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</si>
  <si>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</si>
  <si>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</si>
  <si>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</si>
  <si>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</si>
  <si>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</si>
  <si>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</si>
  <si>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</si>
  <si>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</si>
  <si>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</si>
  <si>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</si>
  <si>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</si>
  <si>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</si>
  <si>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</si>
  <si>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</si>
  <si>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</si>
  <si>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</si>
  <si>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</si>
  <si>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</si>
  <si>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</si>
  <si>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</si>
  <si>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</si>
  <si>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</si>
  <si>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</si>
  <si>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</si>
  <si>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</si>
  <si>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</si>
  <si>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</si>
  <si>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</si>
  <si>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</si>
  <si>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</si>
  <si>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</si>
  <si>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</si>
  <si>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</si>
  <si>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</si>
  <si>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</si>
  <si>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</si>
  <si>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</si>
  <si>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</si>
  <si>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</si>
  <si>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</si>
  <si>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</si>
  <si>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</si>
  <si>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</si>
  <si>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</si>
  <si>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</si>
  <si>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</si>
  <si>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</si>
  <si>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</si>
  <si>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</si>
  <si>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</si>
  <si>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</si>
  <si>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</si>
  <si>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</si>
  <si>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</si>
  <si>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</si>
  <si>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</si>
  <si>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</si>
  <si>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</si>
  <si>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</si>
  <si>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</si>
  <si>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</si>
  <si>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</si>
  <si>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</si>
  <si>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</si>
  <si>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</si>
  <si>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</si>
  <si>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</si>
  <si>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</si>
  <si>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</si>
  <si>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</si>
  <si>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</si>
  <si>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</si>
  <si>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</si>
  <si>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</si>
  <si>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</si>
  <si>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</si>
  <si>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</si>
  <si>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</si>
  <si>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</si>
  <si>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</si>
  <si>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</si>
  <si>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</si>
  <si>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</si>
  <si>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</si>
  <si>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</si>
  <si>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</si>
  <si>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</si>
  <si>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</si>
  <si>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</si>
  <si>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</si>
  <si>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</si>
  <si>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</si>
  <si>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</si>
  <si>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</si>
  <si>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</si>
  <si>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</si>
  <si>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</si>
  <si>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</si>
  <si>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</si>
  <si>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</si>
  <si>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</si>
  <si>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</si>
  <si>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</si>
  <si>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</si>
  <si>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</si>
  <si>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</si>
  <si>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</si>
  <si>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</si>
  <si>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</si>
  <si>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</si>
  <si>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</si>
  <si>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</si>
  <si>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</si>
  <si>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</si>
  <si>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</si>
  <si>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</si>
  <si>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</si>
  <si>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</si>
  <si>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</si>
  <si>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</si>
  <si>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</si>
  <si>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</si>
  <si>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</si>
  <si>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</si>
  <si>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</si>
  <si>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</si>
  <si>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</si>
  <si>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</si>
  <si>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</si>
  <si>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</si>
  <si>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</si>
  <si>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</si>
  <si>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</si>
  <si>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</si>
  <si>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</si>
  <si>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</si>
  <si>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</si>
  <si>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</si>
  <si>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</si>
  <si>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</si>
  <si>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</si>
  <si>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</si>
  <si>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</si>
  <si>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</si>
  <si>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</si>
  <si>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</si>
  <si>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</si>
  <si>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</si>
  <si>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</si>
  <si>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</si>
  <si>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</si>
  <si>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</si>
  <si>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</si>
  <si>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</si>
  <si>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</si>
  <si>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</si>
  <si>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</si>
  <si>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</si>
  <si>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</si>
  <si>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</si>
  <si>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</si>
  <si>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</si>
  <si>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</si>
  <si>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</si>
  <si>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</si>
  <si>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</si>
  <si>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</si>
  <si>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</si>
  <si>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</si>
  <si>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</si>
  <si>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</si>
  <si>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</si>
  <si>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</si>
  <si>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</si>
  <si>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</si>
  <si>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</si>
  <si>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</si>
  <si>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</si>
  <si>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</si>
  <si>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</si>
  <si>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</si>
  <si>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</si>
  <si>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</si>
  <si>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</si>
  <si>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</si>
  <si>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</si>
  <si>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</si>
  <si>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</si>
  <si>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</si>
  <si>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</si>
  <si>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</si>
  <si>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</si>
  <si>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</si>
  <si>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</si>
  <si>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</si>
  <si>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</si>
  <si>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</si>
  <si>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</si>
  <si>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</si>
  <si>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</si>
  <si>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</si>
  <si>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</si>
  <si>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</si>
  <si>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</si>
  <si>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</si>
  <si>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</si>
  <si>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</si>
  <si>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</si>
  <si>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</si>
  <si>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</si>
  <si>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</si>
  <si>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</si>
  <si>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</si>
  <si>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</si>
  <si>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</si>
  <si>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</si>
  <si>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</si>
  <si>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</si>
  <si>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</si>
  <si>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</si>
  <si>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</si>
  <si>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</si>
  <si>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</si>
  <si>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</si>
  <si>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</si>
  <si>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</si>
  <si>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</si>
  <si>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</si>
  <si>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</si>
  <si>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</si>
  <si>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</si>
  <si>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</si>
  <si>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</si>
  <si>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</si>
  <si>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</si>
  <si>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</si>
  <si>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</si>
  <si>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</si>
  <si>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</si>
  <si>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</si>
  <si>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</si>
  <si>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</si>
  <si>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</si>
  <si>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</si>
  <si>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</si>
  <si>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</si>
  <si>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</si>
  <si>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</si>
  <si>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</si>
  <si>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</si>
  <si>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</si>
  <si>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</si>
  <si>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</si>
  <si>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</si>
  <si>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</si>
  <si>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</si>
  <si>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</si>
  <si>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</si>
  <si>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</si>
  <si>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</si>
  <si>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</si>
  <si>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</si>
  <si>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</si>
  <si>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</si>
  <si>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</si>
  <si>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</si>
  <si>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</si>
  <si>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</si>
  <si>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</si>
  <si>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</si>
  <si>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</si>
  <si>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</si>
  <si>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</si>
  <si>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</si>
  <si>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</si>
  <si>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</si>
  <si>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</si>
  <si>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</si>
  <si>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</si>
  <si>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</si>
  <si>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</si>
  <si>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</si>
  <si>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</si>
  <si>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</si>
  <si>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</si>
  <si>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</si>
  <si>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</si>
  <si>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</si>
  <si>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</si>
  <si>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</si>
  <si>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</si>
  <si>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</si>
  <si>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</si>
  <si>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</si>
  <si>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</si>
  <si>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</si>
  <si>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</si>
  <si>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</si>
  <si>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</si>
  <si>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</si>
  <si>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</si>
  <si>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</si>
  <si>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</si>
  <si>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</si>
  <si>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</si>
  <si>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</si>
  <si>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</si>
  <si>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</si>
  <si>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</si>
  <si>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</si>
  <si>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</si>
  <si>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</si>
  <si>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</si>
  <si>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</si>
  <si>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</si>
  <si>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</si>
  <si>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</si>
  <si>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</si>
  <si>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</si>
  <si>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</si>
  <si>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</si>
  <si>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</si>
  <si>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</si>
  <si>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</si>
  <si>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</si>
  <si>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</si>
  <si>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</si>
  <si>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</si>
  <si>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</si>
  <si>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</si>
  <si>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</si>
  <si>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</si>
  <si>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</si>
  <si>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</si>
  <si>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</si>
  <si>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</si>
  <si>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</si>
  <si>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</si>
  <si>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</si>
  <si>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</si>
  <si>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</si>
  <si>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</si>
  <si>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</si>
  <si>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</si>
  <si>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</si>
  <si>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</si>
  <si>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</si>
  <si>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</si>
  <si>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</si>
  <si>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</si>
  <si>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</si>
  <si>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</si>
  <si>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</si>
  <si>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</si>
  <si>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</si>
  <si>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</si>
  <si>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</si>
  <si>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</si>
  <si>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</si>
  <si>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</si>
  <si>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</si>
  <si>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</si>
  <si>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</si>
  <si>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</si>
  <si>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</si>
  <si>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</si>
  <si>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</si>
  <si>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</si>
  <si>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</si>
  <si>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</si>
  <si>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</si>
  <si>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</si>
  <si>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</si>
  <si>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</si>
  <si>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</si>
  <si>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</si>
  <si>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</si>
  <si>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</si>
  <si>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</si>
  <si>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</si>
  <si>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</si>
  <si>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</si>
  <si>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</si>
  <si>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</si>
  <si>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</si>
  <si>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</si>
  <si>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</si>
  <si>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</si>
  <si>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</si>
  <si>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</si>
  <si>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</si>
  <si>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</si>
  <si>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</si>
  <si>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</si>
  <si>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</si>
  <si>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</si>
  <si>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</si>
  <si>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</si>
  <si>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</si>
  <si>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</si>
  <si>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</si>
  <si>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</si>
  <si>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</si>
  <si>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</si>
  <si>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</si>
  <si>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</si>
  <si>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</si>
  <si>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</si>
  <si>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</si>
  <si>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</si>
  <si>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</si>
  <si>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</si>
  <si>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</si>
  <si>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</si>
  <si>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</si>
  <si>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</si>
  <si>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</si>
  <si>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</si>
  <si>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</si>
  <si>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</si>
  <si>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</si>
  <si>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</si>
  <si>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</si>
  <si>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</si>
  <si>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</si>
  <si>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</si>
  <si>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</si>
  <si>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</si>
  <si>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</si>
  <si>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</si>
  <si>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</si>
  <si>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</si>
  <si>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</si>
  <si>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</si>
  <si>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</si>
  <si>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</si>
  <si>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</si>
  <si>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</si>
  <si>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</si>
  <si>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</si>
  <si>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</si>
  <si>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</si>
  <si>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</si>
  <si>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</si>
  <si>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</si>
  <si>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</si>
  <si>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</si>
  <si>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</si>
  <si>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</si>
  <si>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</si>
  <si>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</si>
  <si>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</si>
  <si>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</si>
  <si>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</si>
  <si>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</si>
  <si>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</si>
  <si>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</si>
  <si>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</si>
  <si>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</si>
  <si>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</si>
  <si>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</si>
  <si>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</si>
  <si>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</si>
  <si>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</si>
  <si>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</si>
  <si>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</si>
  <si>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</si>
  <si>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</si>
  <si>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</si>
  <si>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</si>
  <si>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</si>
  <si>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</si>
  <si>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</si>
  <si>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</si>
  <si>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</si>
  <si>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</si>
  <si>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</si>
  <si>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</si>
  <si>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</si>
  <si>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</si>
  <si>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</si>
  <si>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</si>
  <si>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</si>
  <si>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</si>
  <si>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</si>
  <si>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</si>
  <si>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</si>
  <si>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</si>
  <si>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</si>
  <si>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</si>
  <si>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</si>
  <si>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</si>
  <si>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</si>
  <si>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</si>
  <si>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</si>
  <si>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</si>
  <si>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</si>
  <si>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</si>
  <si>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</si>
  <si>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</si>
  <si>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</si>
  <si>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</si>
  <si>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</si>
  <si>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</si>
  <si>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</si>
  <si>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</si>
  <si>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</si>
  <si>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</si>
  <si>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</si>
  <si>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</si>
  <si>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</si>
  <si>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</si>
  <si>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</si>
  <si>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</si>
  <si>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</si>
  <si>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</si>
  <si>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</si>
  <si>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</si>
  <si>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</si>
  <si>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</si>
  <si>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</si>
  <si>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</si>
  <si>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</si>
  <si>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</si>
  <si>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</si>
  <si>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</si>
  <si>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</si>
  <si>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</si>
  <si>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</si>
  <si>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</si>
  <si>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</si>
  <si>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</si>
  <si>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</si>
  <si>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</si>
  <si>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</si>
  <si>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</si>
  <si>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</si>
  <si>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</si>
  <si>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</si>
  <si>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</si>
  <si>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</si>
  <si>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</si>
  <si>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</si>
  <si>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</si>
  <si>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</si>
  <si>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</si>
  <si>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</si>
  <si>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</si>
  <si>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</si>
  <si>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</si>
  <si>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</si>
  <si>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</si>
  <si>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</si>
  <si>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</si>
  <si>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</si>
  <si>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</si>
  <si>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</si>
  <si>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</si>
  <si>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</si>
  <si>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</si>
  <si>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</si>
  <si>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</si>
  <si>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</si>
  <si>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</si>
  <si>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</si>
  <si>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</si>
  <si>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</si>
  <si>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</si>
  <si>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</si>
  <si>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</si>
  <si>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</si>
  <si>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</si>
  <si>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</si>
  <si>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</si>
  <si>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</si>
  <si>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</si>
  <si>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</si>
  <si>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</si>
  <si>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</si>
  <si>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</si>
  <si>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</si>
  <si>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</si>
  <si>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</si>
  <si>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</si>
  <si>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</si>
  <si>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</si>
  <si>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</si>
  <si>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</si>
  <si>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</si>
  <si>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</si>
  <si>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</si>
  <si>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</si>
  <si>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</si>
  <si>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</si>
  <si>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</si>
  <si>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</si>
  <si>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</si>
  <si>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</si>
  <si>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</si>
  <si>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</si>
  <si>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</si>
  <si>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</si>
  <si>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</si>
  <si>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</si>
  <si>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</si>
  <si>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</si>
  <si>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</si>
  <si>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</si>
  <si>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</si>
  <si>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</si>
  <si>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</si>
  <si>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</si>
  <si>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</si>
  <si>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</si>
  <si>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</si>
  <si>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</si>
  <si>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</si>
  <si>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</si>
  <si>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</si>
  <si>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</si>
  <si>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</si>
  <si>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</si>
  <si>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</si>
  <si>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</si>
  <si>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</si>
  <si>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</si>
  <si>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</si>
  <si>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</si>
  <si>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</si>
  <si>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</si>
  <si>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</si>
  <si>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</si>
  <si>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</si>
  <si>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</si>
  <si>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</si>
  <si>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</si>
  <si>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</si>
  <si>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</si>
  <si>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</si>
  <si>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</si>
  <si>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</si>
  <si>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</si>
  <si>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</si>
  <si>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</si>
  <si>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</si>
  <si>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</si>
  <si>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</si>
  <si>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</si>
  <si>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</si>
  <si>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</si>
  <si>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</si>
  <si>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</si>
  <si>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</si>
  <si>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</si>
  <si>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</si>
  <si>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</si>
  <si>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</si>
  <si>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</si>
  <si>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</si>
  <si>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</si>
  <si>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</si>
  <si>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</si>
  <si>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</si>
  <si>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</si>
  <si>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</si>
  <si>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</si>
  <si>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</si>
  <si>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</si>
  <si>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</si>
  <si>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</si>
  <si>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</si>
  <si>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</si>
  <si>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</si>
  <si>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</si>
  <si>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</si>
  <si>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</si>
  <si>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</si>
  <si>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</si>
  <si>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</si>
  <si>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</si>
  <si>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</si>
  <si>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</si>
  <si>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</si>
  <si>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</si>
  <si>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</si>
  <si>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</si>
  <si>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</si>
  <si>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</si>
  <si>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</si>
  <si>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</si>
  <si>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</si>
  <si>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</si>
  <si>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</si>
  <si>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</si>
  <si>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</si>
  <si>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</si>
  <si>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</si>
  <si>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</si>
  <si>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</si>
  <si>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</si>
  <si>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</si>
  <si>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</si>
  <si>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</si>
  <si>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</si>
  <si>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</si>
  <si>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</si>
  <si>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</si>
  <si>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</si>
  <si>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</si>
  <si>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</si>
  <si>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</si>
  <si>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</si>
  <si>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</si>
  <si>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</si>
  <si>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</si>
  <si>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</si>
  <si>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</si>
  <si>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</si>
  <si>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</si>
  <si>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</si>
  <si>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</si>
  <si>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</si>
  <si>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</si>
  <si>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</si>
  <si>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</si>
  <si>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</si>
  <si>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</si>
  <si>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</si>
  <si>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</si>
  <si>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</si>
  <si>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</si>
  <si>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</si>
  <si>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</si>
  <si>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</si>
  <si>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</si>
  <si>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</si>
  <si>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</si>
  <si>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</si>
  <si>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</si>
  <si>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</si>
  <si>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</si>
  <si>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</si>
  <si>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</si>
  <si>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</si>
  <si>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</si>
  <si>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</si>
  <si>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</si>
  <si>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</si>
  <si>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</si>
  <si>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</si>
  <si>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</si>
  <si>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</si>
  <si>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</si>
  <si>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</si>
  <si>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</si>
  <si>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</si>
  <si>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</si>
  <si>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</si>
  <si>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</si>
  <si>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</si>
  <si>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</si>
  <si>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</si>
  <si>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</si>
  <si>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</si>
  <si>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</si>
  <si>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</si>
  <si>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</si>
  <si>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</si>
  <si>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</si>
  <si>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</si>
  <si>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</si>
  <si>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</si>
  <si>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</si>
  <si>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</si>
  <si>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</si>
  <si>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</si>
  <si>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</si>
  <si>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</si>
  <si>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</si>
  <si>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</si>
  <si>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</si>
  <si>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</si>
  <si>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</si>
  <si>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</si>
  <si>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</si>
  <si>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</si>
  <si>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</si>
  <si>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</si>
  <si>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</si>
  <si>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</si>
  <si>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</si>
  <si>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</si>
  <si>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</si>
  <si>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</si>
  <si>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</si>
  <si>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</si>
  <si>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</si>
  <si>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</si>
  <si>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</si>
  <si>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</si>
  <si>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</si>
  <si>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</si>
  <si>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</si>
  <si>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</si>
  <si>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</si>
  <si>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</si>
  <si>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</si>
  <si>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</si>
  <si>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</si>
  <si>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</si>
  <si>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</si>
  <si>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</si>
  <si>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</si>
  <si>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</si>
  <si>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</si>
  <si>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</si>
  <si>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</si>
  <si>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</si>
  <si>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</si>
  <si>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</si>
  <si>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</si>
  <si>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</si>
  <si>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</si>
  <si>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</si>
  <si>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</si>
  <si>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</si>
  <si>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</si>
  <si>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</si>
  <si>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</si>
  <si>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</si>
  <si>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</si>
  <si>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</si>
  <si>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</si>
  <si>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</si>
  <si>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</si>
  <si>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</si>
  <si>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</si>
  <si>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</si>
  <si>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</si>
  <si>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</si>
  <si>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</si>
  <si>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</si>
  <si>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</si>
  <si>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</si>
  <si>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</si>
  <si>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</si>
  <si>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</si>
  <si>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</si>
  <si>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</si>
  <si>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</si>
  <si>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</si>
  <si>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</si>
  <si>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</si>
  <si>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</si>
  <si>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</si>
  <si>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</si>
  <si>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</si>
  <si>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</si>
  <si>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</si>
  <si>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</si>
  <si>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</si>
  <si>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</si>
  <si>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</si>
  <si>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</si>
  <si>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</si>
  <si>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</si>
  <si>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</si>
  <si>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</si>
  <si>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</si>
  <si>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</si>
  <si>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</si>
  <si>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</si>
  <si>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</si>
  <si>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</si>
  <si>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</si>
  <si>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</si>
  <si>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</si>
  <si>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</si>
  <si>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</si>
  <si>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</si>
  <si>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</si>
  <si>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</si>
  <si>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</si>
  <si>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</si>
  <si>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</si>
  <si>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</si>
  <si>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</si>
  <si>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</si>
  <si>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</si>
  <si>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</si>
  <si>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</si>
  <si>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</si>
  <si>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</si>
  <si>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</si>
  <si>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</si>
  <si>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</si>
  <si>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</si>
  <si>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</si>
  <si>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</si>
  <si>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</si>
  <si>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</si>
  <si>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</si>
  <si>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</si>
  <si>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</si>
  <si>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</si>
  <si>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</si>
  <si>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</si>
  <si>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</si>
  <si>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</si>
  <si>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</si>
  <si>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</si>
  <si>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</si>
  <si>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</si>
  <si>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</si>
  <si>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</si>
  <si>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</si>
  <si>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</si>
  <si>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</si>
  <si>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</si>
  <si>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</si>
  <si>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</si>
  <si>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</si>
  <si>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</si>
  <si>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</si>
  <si>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</si>
  <si>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</si>
  <si>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</si>
  <si>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</si>
  <si>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</si>
  <si>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</si>
  <si>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</si>
  <si>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</si>
  <si>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</si>
  <si>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</si>
  <si>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</si>
  <si>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</si>
  <si>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</si>
  <si>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</si>
  <si>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</si>
  <si>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</si>
  <si>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</si>
  <si>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</si>
  <si>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</si>
  <si>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</si>
  <si>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</si>
  <si>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</si>
  <si>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</si>
  <si>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</si>
  <si>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</si>
  <si>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</si>
  <si>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</si>
  <si>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</si>
  <si>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</si>
  <si>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</si>
  <si>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</si>
  <si>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</si>
  <si>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</si>
  <si>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</si>
  <si>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</si>
  <si>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</si>
  <si>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</si>
  <si>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</si>
  <si>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</si>
  <si>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</si>
  <si>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</si>
  <si>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</si>
  <si>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</si>
  <si>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</si>
  <si>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</si>
  <si>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</si>
  <si>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</si>
  <si>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</si>
  <si>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</si>
  <si>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</si>
  <si>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</si>
  <si>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</si>
  <si>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</si>
  <si>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</si>
  <si>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</si>
  <si>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</si>
  <si>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</si>
  <si>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</si>
  <si>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</si>
  <si>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</si>
  <si>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</si>
  <si>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</si>
  <si>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</si>
  <si>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</si>
  <si>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</si>
  <si>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</si>
  <si>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</si>
  <si>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</si>
  <si>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</si>
  <si>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</si>
  <si>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</si>
  <si>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</si>
  <si>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</si>
  <si>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</si>
  <si>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</si>
  <si>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</si>
  <si>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</si>
  <si>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</si>
  <si>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</si>
  <si>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</si>
  <si>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</si>
  <si>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</si>
  <si>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</si>
  <si>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</si>
  <si>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</si>
  <si>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</si>
  <si>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</si>
  <si>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</si>
  <si>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</si>
  <si>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</si>
  <si>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</si>
  <si>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</si>
  <si>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</si>
  <si>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</si>
  <si>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</si>
  <si>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</si>
  <si>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</si>
  <si>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</si>
  <si>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</si>
  <si>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</si>
  <si>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</si>
  <si>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</si>
  <si>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</si>
  <si>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</si>
  <si>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</si>
  <si>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</si>
  <si>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</si>
  <si>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</si>
  <si>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</si>
  <si>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</si>
  <si>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</si>
  <si>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</si>
  <si>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</si>
  <si>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</si>
  <si>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</si>
  <si>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</si>
  <si>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</si>
  <si>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</si>
  <si>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</si>
  <si>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</si>
  <si>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</si>
  <si>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</si>
  <si>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</si>
  <si>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</si>
  <si>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</si>
  <si>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</si>
  <si>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</si>
  <si>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</si>
  <si>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</si>
  <si>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</si>
  <si>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</si>
  <si>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</si>
  <si>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</si>
  <si>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</si>
  <si>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</si>
  <si>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</si>
  <si>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</si>
  <si>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</si>
  <si>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</si>
  <si>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</si>
  <si>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</si>
  <si>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</si>
  <si>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</si>
  <si>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</si>
  <si>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</si>
  <si>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</si>
  <si>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</si>
  <si>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</si>
  <si>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</si>
  <si>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</si>
  <si>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</si>
  <si>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49-081-0410-25</t>
  </si>
  <si>
    <t>Rock Island</t>
  </si>
  <si>
    <t>Rock Island - Milan School District #41</t>
  </si>
  <si>
    <t>2101 Sixth Avenue</t>
  </si>
  <si>
    <t>bob.beckwith@rimsd41.org</t>
  </si>
  <si>
    <t>x</t>
  </si>
  <si>
    <t>Dr. Michael Oberhaus</t>
  </si>
  <si>
    <t>mike.oberhaus@rimsd41.org</t>
  </si>
  <si>
    <t>309-793-5900</t>
  </si>
  <si>
    <t>309-793-5905</t>
  </si>
  <si>
    <t>Bohnsack &amp; Frommelt LLP</t>
  </si>
  <si>
    <t>Sarah Bohnsack</t>
  </si>
  <si>
    <t>1500 River Drive, Suite 200</t>
  </si>
  <si>
    <t>Moline</t>
  </si>
  <si>
    <t>IL</t>
  </si>
  <si>
    <t>563-343-9595</t>
  </si>
  <si>
    <t>066.004397</t>
  </si>
  <si>
    <t>Sarah@Governmenetalservice.com</t>
  </si>
  <si>
    <t>Ms. Tammy Muerhoff</t>
  </si>
  <si>
    <t>Tammy.muerhoff@riroe.com</t>
  </si>
  <si>
    <t>309-736-1111</t>
  </si>
  <si>
    <t>309-736-1127</t>
  </si>
  <si>
    <t>2008 General Obligation Bonds</t>
  </si>
  <si>
    <t>2009 A General Obligation Bonds</t>
  </si>
  <si>
    <t>2009 B General Obligation Bonds</t>
  </si>
  <si>
    <t>U.S. Department of Agriculture/</t>
  </si>
  <si>
    <t>Pass-Through Illinois State Board of Education</t>
  </si>
  <si>
    <t>Child Nutrition Cluster:</t>
  </si>
  <si>
    <t>Commodities Program- Noncash</t>
  </si>
  <si>
    <t>Commodities Program- Department of Defense- Noncash</t>
  </si>
  <si>
    <t>Total Child Nutrition Cluster Program</t>
  </si>
  <si>
    <t>17-4220-00</t>
  </si>
  <si>
    <t>17-4210-00</t>
  </si>
  <si>
    <t>17-4215-00</t>
  </si>
  <si>
    <t>17-4225-00</t>
  </si>
  <si>
    <t>n/a</t>
  </si>
  <si>
    <t>U.S. Department of Education/</t>
  </si>
  <si>
    <t>Title III- Lang Inst for LIPLEP</t>
  </si>
  <si>
    <t>Total Title III</t>
  </si>
  <si>
    <t>Total Title II</t>
  </si>
  <si>
    <t>84.010A</t>
  </si>
  <si>
    <t>84.365A</t>
  </si>
  <si>
    <t>84.367A</t>
  </si>
  <si>
    <t>17-4300-00</t>
  </si>
  <si>
    <t>17-4909-00</t>
  </si>
  <si>
    <t>17-4932-00</t>
  </si>
  <si>
    <t>84.027A</t>
  </si>
  <si>
    <t>Title IV- 21st Century Community Learning Center (2)</t>
  </si>
  <si>
    <t>School Improvement Grant</t>
  </si>
  <si>
    <t>Total School Improvement Grant</t>
  </si>
  <si>
    <t>U.S. Department of Education/Pass-Through Blackhawk Area Special</t>
  </si>
  <si>
    <t>84.287C</t>
  </si>
  <si>
    <t>84.377A</t>
  </si>
  <si>
    <t>17-4339-15</t>
  </si>
  <si>
    <t>17-4339-14</t>
  </si>
  <si>
    <t>U.S. Department of Education/Pass-Through Rock Island County Regional Office of Education</t>
  </si>
  <si>
    <t>Total U.S. Department of Education</t>
  </si>
  <si>
    <t>U.S. Department of Health and Human Services</t>
  </si>
  <si>
    <t>Pass-Through Illinois Department of Healthcare and Family Services</t>
  </si>
  <si>
    <t>Total U.S. Department of Health and Human Services</t>
  </si>
  <si>
    <t>Total Federal Financial Assistance</t>
  </si>
  <si>
    <t>05CH10063</t>
  </si>
  <si>
    <t>Fresh Fruit and Vegetables</t>
  </si>
  <si>
    <t>Total U.S. Department of Agriculture/Pass-Through Illinois State Board of Education</t>
  </si>
  <si>
    <t>Unmodified</t>
  </si>
  <si>
    <t>NONE</t>
  </si>
  <si>
    <t>Fund 10 Expenditures 2190- Playground monitors salaries</t>
  </si>
  <si>
    <t>Fund 10 Expenditures 2900- Lights out for learning program salaries, related benefits, and supplies</t>
  </si>
  <si>
    <t>18-4220-00</t>
  </si>
  <si>
    <t>18-4210-00</t>
  </si>
  <si>
    <t>18-4250-00</t>
  </si>
  <si>
    <t>18-4215-00</t>
  </si>
  <si>
    <t>18-4225-00</t>
  </si>
  <si>
    <t>18-4240-17</t>
  </si>
  <si>
    <t>18-4240-18</t>
  </si>
  <si>
    <t>18-4300-00</t>
  </si>
  <si>
    <t>18-4909-00</t>
  </si>
  <si>
    <t>18-4932-00</t>
  </si>
  <si>
    <t>Special Education I.D.E.A. Part B Flowthrough (1)</t>
  </si>
  <si>
    <t>17-4625-XC</t>
  </si>
  <si>
    <t>18-4421-15</t>
  </si>
  <si>
    <t>18-4339-15</t>
  </si>
  <si>
    <t>18-4620-00</t>
  </si>
  <si>
    <t>18-4421-00</t>
  </si>
  <si>
    <t>18-4991-00</t>
  </si>
  <si>
    <t>N/A</t>
  </si>
  <si>
    <t>Total Title 1-Low Income</t>
  </si>
  <si>
    <t>Title 1-Low Income</t>
  </si>
  <si>
    <t>Total Fresh Fruit and Vegetables</t>
  </si>
  <si>
    <t>Child &amp; Adult Care Good Program</t>
  </si>
  <si>
    <t>18-4226-00</t>
  </si>
  <si>
    <t>Special Education Cluster,</t>
  </si>
  <si>
    <t>Secondary Transitional Experience Program</t>
  </si>
  <si>
    <t>18-4999-00</t>
  </si>
  <si>
    <t>n/s</t>
  </si>
  <si>
    <t>Sum of (1) = Total Expenditures CFDA 84.027A $1,353,704; Sum of (2)= Total Expenditures CFDA 84.287C $291,110</t>
  </si>
  <si>
    <t>Title II- Teacher Quality</t>
  </si>
  <si>
    <t>Medicaid Outreach reported gross of administrative deduction</t>
  </si>
  <si>
    <r>
      <t xml:space="preserve">The accompanying Schedule of Expenditures of Federal Awards includes the federal grant activity of Rock Island-Milan School District #41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</si>
  <si>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X</t>
  </si>
  <si>
    <t>Of the federal expenditures presented in the schedule, Rock Island-Milan School District #41 provided federal awards to subrecipients as follows:</t>
  </si>
  <si>
    <t>None</t>
  </si>
  <si>
    <r>
      <t xml:space="preserve">The following amounts were expended in the form of non-cash assistance by Rock Island-Milan School District #41 and </t>
    </r>
    <r>
      <rPr>
        <b/>
        <sz val="9"/>
        <rFont val="Calibri"/>
        <family val="2"/>
        <scheme val="minor"/>
      </rPr>
      <t>should be</t>
    </r>
    <r>
      <rPr>
        <sz val="9"/>
        <rFont val="Calibri"/>
        <family val="2"/>
        <scheme val="minor"/>
      </rPr>
      <t xml:space="preserve"> included in the Schedule of Expenditures of Federal Awards:</t>
    </r>
  </si>
  <si>
    <t>Head Start (Direct) (M)</t>
  </si>
  <si>
    <t xml:space="preserve">Special Education Cluster, </t>
  </si>
  <si>
    <t>Medicaid Cluster, Medicaid Administrative Outreach</t>
  </si>
  <si>
    <t>General Obligation Refunding School Bonds, Series 2018</t>
  </si>
  <si>
    <t>Fund 10 Revenues 3999:  Safe Schools Grant $20,321; State Library Grant $8,574; ROE Raising Student Achievement Grant $1,200</t>
  </si>
  <si>
    <t>Fund 10 Revenues 1999:  Miscellaneous Local Grants $1,355,564</t>
  </si>
  <si>
    <t>Fund 10 Revenues 4999:  School Improvement Grant $1,023,481; Smaller Learning Communities $1,090</t>
  </si>
  <si>
    <t>Ed-Instruction-Purchased Service</t>
  </si>
  <si>
    <t>10-1000-300</t>
  </si>
  <si>
    <t>WQPT</t>
  </si>
  <si>
    <t>Ed-Instructional Staff-Purchased Service</t>
  </si>
  <si>
    <t>10-2200-300</t>
  </si>
  <si>
    <t>West Music</t>
  </si>
  <si>
    <t>Amplify Education</t>
  </si>
  <si>
    <t>AVID Center</t>
  </si>
  <si>
    <t>Cenegage Learning, Inc.</t>
  </si>
  <si>
    <t>Ed-Community Services-Purchased Service</t>
  </si>
  <si>
    <t>10-3000-300</t>
  </si>
  <si>
    <t>Bos Electonics</t>
  </si>
  <si>
    <t>Child Abuse Council</t>
  </si>
  <si>
    <t>Robb Christensen</t>
  </si>
  <si>
    <t>EL Education</t>
  </si>
  <si>
    <t>Family Museum</t>
  </si>
  <si>
    <t>Figge Art Museum</t>
  </si>
  <si>
    <t>Frankllin Covey Co.</t>
  </si>
  <si>
    <t>Freckle Education</t>
  </si>
  <si>
    <t>Frontier Educational Consulting</t>
  </si>
  <si>
    <t>Girl Scouts of Eastern Iowa &amp; Western Illinois</t>
  </si>
  <si>
    <t>Joseph Jodgett</t>
  </si>
  <si>
    <t>Ed-Instruction-Other</t>
  </si>
  <si>
    <t>10-1000-400</t>
  </si>
  <si>
    <t>Holiday Inn Rock Island</t>
  </si>
  <si>
    <t>Andrea Hyde, PhD</t>
  </si>
  <si>
    <t>Hy-Vee</t>
  </si>
  <si>
    <t>QC Dekhockey Inc.</t>
  </si>
  <si>
    <t>Jimmy/Sandy Long</t>
  </si>
  <si>
    <t>Loving Guidance, Inc.</t>
  </si>
  <si>
    <t>Anne McNelis, Transitions</t>
  </si>
  <si>
    <t>Partners In Advanced Education, Inc.</t>
  </si>
  <si>
    <t>Phillips Associates LLC</t>
  </si>
  <si>
    <t>Putnam Museum</t>
  </si>
  <si>
    <t>Quad City Xtreme Booster Club</t>
  </si>
  <si>
    <t>Quad City Arts</t>
  </si>
  <si>
    <t>Quad City Gymnastics Academy Inc</t>
  </si>
  <si>
    <t>Quad City Family Entertainment Center</t>
  </si>
  <si>
    <t>Rock Island Parks and Recreation Dept</t>
  </si>
  <si>
    <t>River Music Experience</t>
  </si>
  <si>
    <t>Skate City QCA LLC</t>
  </si>
  <si>
    <t>Smart Learning Systems</t>
  </si>
  <si>
    <t>Ed-General Admin-Purchased Service</t>
  </si>
  <si>
    <t>10-2300-300</t>
  </si>
  <si>
    <t>Federick Lee Smith</t>
  </si>
  <si>
    <t>Springforward Learning Center</t>
  </si>
  <si>
    <t>Adventure Associates Inc.</t>
  </si>
  <si>
    <t>Ed-Pupil Transportation-Purchased Service</t>
  </si>
  <si>
    <t>10-2550-300</t>
  </si>
  <si>
    <t>Tri-State Travel</t>
  </si>
  <si>
    <t>Turning Pointe Dance &amp; Fitness Inc.</t>
  </si>
  <si>
    <t>Whatever it Takes</t>
  </si>
  <si>
    <t>Ed-Internal Services-Purchased Service</t>
  </si>
  <si>
    <t>10-2570-300</t>
  </si>
  <si>
    <t>Office Machine Consultants</t>
  </si>
  <si>
    <t>Ed-Staff Services-Purchased Service</t>
  </si>
  <si>
    <t>10-2640-300</t>
  </si>
  <si>
    <t>Unity Point Health-Trinity Medical Center</t>
  </si>
  <si>
    <t>Firm Systems</t>
  </si>
  <si>
    <t>Background Investigation Bureau LLC</t>
  </si>
  <si>
    <t>Xerox Corporation</t>
  </si>
  <si>
    <t>Johannes Bus Service</t>
  </si>
  <si>
    <t>Ed-Information Services-Purchased Service</t>
  </si>
  <si>
    <t>10-2660-300</t>
  </si>
  <si>
    <t>E2E Exchange</t>
  </si>
  <si>
    <t>Mainstream Computer Services</t>
  </si>
  <si>
    <t>Hughes Network Technologies</t>
  </si>
  <si>
    <t>Illinois Department of Central Management</t>
  </si>
  <si>
    <t>Mediacom Communications Corp</t>
  </si>
  <si>
    <t>Martin Luther King Center</t>
  </si>
  <si>
    <t>Shred-it USA</t>
  </si>
  <si>
    <t>Project Lead the Way Inc.</t>
  </si>
  <si>
    <t>Taxslayer Center</t>
  </si>
  <si>
    <t>Iowa Jobs for America's Graduates</t>
  </si>
  <si>
    <t>Genesis Health System</t>
  </si>
  <si>
    <t>Superior Simulator Service</t>
  </si>
  <si>
    <t>Flinn Scientific Inc.</t>
  </si>
  <si>
    <t>Bd of Control for Southern Region</t>
  </si>
  <si>
    <t>Consortim for Educational Change</t>
  </si>
  <si>
    <t>Xtreme Math Games</t>
  </si>
  <si>
    <t>CIT Charters Inc.</t>
  </si>
  <si>
    <t>Humanex Ventures</t>
  </si>
  <si>
    <t>10-3000-400</t>
  </si>
  <si>
    <t>City of Rock Island</t>
  </si>
  <si>
    <t>Signs Now Inc</t>
  </si>
  <si>
    <t>Arrowhead Ranch</t>
  </si>
  <si>
    <t>O&amp;M-Oper. &amp; Maint. Plant Services-Purchased Service</t>
  </si>
  <si>
    <t>20-2540-300</t>
  </si>
  <si>
    <t>Thymet Pest Control</t>
  </si>
  <si>
    <t>L&amp;L Lawn Maintenance</t>
  </si>
  <si>
    <t>AT&amp;T</t>
  </si>
  <si>
    <t>SBC Long Distance LLC</t>
  </si>
  <si>
    <t>Verizon Wireless LLC</t>
  </si>
  <si>
    <t>Republic Services of Bettendorf</t>
  </si>
  <si>
    <t>Johnson Controls Inc</t>
  </si>
  <si>
    <t>Per Mar Alarm Systems</t>
  </si>
  <si>
    <t>Getz Fire Equipment Company</t>
  </si>
  <si>
    <t>Kone Elevators Inc.</t>
  </si>
  <si>
    <t>The Waldinger Corporation</t>
  </si>
  <si>
    <t>Trans-Instruction-Purchased Service</t>
  </si>
  <si>
    <t>40-1000-300</t>
  </si>
  <si>
    <t>Act II Transportation Inc</t>
  </si>
  <si>
    <t>Trans-Pupil Transportation-Purchased Service</t>
  </si>
  <si>
    <t>40-2550-300</t>
  </si>
  <si>
    <t>Illinois School for the Deaf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</si>
</sst>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Protection="1">
      <protection locked="0"/>
    </xf>
    <xf numFmtId="164" fontId="53" fillId="0" borderId="0" xfId="0" applyNumberFormat="1" applyFont="1"/>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285750</xdr:colOff>
          <xdr:row>12</xdr:row>
          <xdr:rowOff>161925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1F5391A-0893-4941-9050-40154FC4CF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285750</xdr:colOff>
          <xdr:row>12</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76E59C7-6204-4CB6-8CAD-F0FB785A47E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285750</xdr:colOff>
          <xdr:row>12</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E2908CF1-C8B0-45F0-8F5F-E5F8F8555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11</xdr:col>
          <xdr:colOff>285750</xdr:colOff>
          <xdr:row>12</xdr:row>
          <xdr:rowOff>161925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C8E2F89-531F-43C3-8F91-4804169B9F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249977111117893"/>
    <pageSetUpPr fitToPage="1"/>
  </sheetPr>
  <dimension ref="A1:AB48"/>
  <sheetViews>
    <sheetView showGridLines="0" tabSelected="1" zoomScale="80" zoomScaleNormal="80" workbookViewId="0">
      <selection activeCell="N56" sqref="N5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2079</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t="s">
        <v>2079</v>
      </c>
      <c r="P12" s="100" t="s">
        <v>211</v>
      </c>
      <c r="Q12" s="74"/>
      <c r="R12" s="30"/>
      <c r="S12" s="30"/>
      <c r="T12" s="85" t="s">
        <v>283</v>
      </c>
      <c r="U12" s="51"/>
      <c r="V12" s="51"/>
      <c r="W12" s="51"/>
      <c r="X12" s="51"/>
      <c r="Y12" s="45"/>
      <c r="Z12" s="45"/>
      <c r="AA12" s="46"/>
    </row>
    <row r="13" spans="1:28" ht="13.5" customHeight="1" x14ac:dyDescent="0.2">
      <c r="A13" s="2040" t="s">
        <v>2074</v>
      </c>
      <c r="B13" s="2041"/>
      <c r="C13" s="2041"/>
      <c r="D13" s="2041"/>
      <c r="E13" s="2041"/>
      <c r="F13" s="2041"/>
      <c r="G13" s="2041"/>
      <c r="H13" s="2042"/>
      <c r="I13" s="31"/>
      <c r="J13" s="30"/>
      <c r="K13" s="28"/>
      <c r="L13" s="30"/>
      <c r="M13" s="30"/>
      <c r="N13" s="30"/>
      <c r="O13" s="30"/>
      <c r="P13" s="30"/>
      <c r="Q13" s="30"/>
      <c r="R13" s="30"/>
      <c r="S13" s="30"/>
      <c r="T13" s="2045" t="s">
        <v>2084</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2075</v>
      </c>
      <c r="B15" s="2043"/>
      <c r="C15" s="2043"/>
      <c r="D15" s="2043"/>
      <c r="E15" s="2043"/>
      <c r="F15" s="2043"/>
      <c r="G15" s="2043"/>
      <c r="H15" s="2044"/>
      <c r="T15" s="2049" t="s">
        <v>2085</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2076</v>
      </c>
      <c r="B17" s="2000"/>
      <c r="C17" s="2000"/>
      <c r="D17" s="2000"/>
      <c r="E17" s="2000"/>
      <c r="F17" s="2000"/>
      <c r="G17" s="2000"/>
      <c r="H17" s="2025"/>
      <c r="T17" s="2056" t="s">
        <v>2086</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2077</v>
      </c>
      <c r="B19" s="1985"/>
      <c r="C19" s="1985"/>
      <c r="D19" s="1985"/>
      <c r="E19" s="1985"/>
      <c r="F19" s="1985"/>
      <c r="G19" s="1985"/>
      <c r="H19" s="1965"/>
      <c r="I19" s="30"/>
      <c r="J19" s="99"/>
      <c r="K19" s="40"/>
      <c r="L19" s="38"/>
      <c r="M19" s="112" t="s">
        <v>333</v>
      </c>
      <c r="P19" s="27"/>
      <c r="Q19" s="27"/>
      <c r="R19" s="27"/>
      <c r="S19" s="31"/>
      <c r="T19" s="2039" t="s">
        <v>2087</v>
      </c>
      <c r="U19" s="1964"/>
      <c r="V19" s="1964"/>
      <c r="W19" s="1965"/>
      <c r="X19" s="2054" t="s">
        <v>2088</v>
      </c>
      <c r="Y19" s="2055"/>
      <c r="Z19" s="2052">
        <v>61265</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2075</v>
      </c>
      <c r="B21" s="1964"/>
      <c r="C21" s="1964"/>
      <c r="D21" s="1964"/>
      <c r="E21" s="1964"/>
      <c r="F21" s="1964"/>
      <c r="G21" s="1964"/>
      <c r="H21" s="1965"/>
      <c r="I21" s="2019" t="s">
        <v>699</v>
      </c>
      <c r="J21" s="2014"/>
      <c r="K21" s="2014"/>
      <c r="L21" s="2014"/>
      <c r="M21" s="2014"/>
      <c r="N21" s="2014"/>
      <c r="O21" s="2014"/>
      <c r="P21" s="2014"/>
      <c r="Q21" s="2014"/>
      <c r="R21" s="2014"/>
      <c r="S21" s="2020"/>
      <c r="T21" s="2064" t="s">
        <v>2089</v>
      </c>
      <c r="U21" s="2065"/>
      <c r="V21" s="2065"/>
      <c r="W21" s="2065"/>
      <c r="X21" s="2070"/>
      <c r="Y21" s="2071"/>
      <c r="Z21" s="2071"/>
      <c r="AA21" s="2072"/>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2078</v>
      </c>
      <c r="B23" s="2017"/>
      <c r="C23" s="2017"/>
      <c r="D23" s="2017"/>
      <c r="E23" s="2017"/>
      <c r="F23" s="2017"/>
      <c r="G23" s="2017"/>
      <c r="H23" s="2018"/>
      <c r="T23" s="2062" t="s">
        <v>2090</v>
      </c>
      <c r="U23" s="2063"/>
      <c r="V23" s="2063"/>
      <c r="W23" s="2063"/>
      <c r="X23" s="2067">
        <v>44530</v>
      </c>
      <c r="Y23" s="2068"/>
      <c r="Z23" s="2068"/>
      <c r="AA23" s="2069"/>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61201</v>
      </c>
      <c r="B25" s="1964"/>
      <c r="C25" s="1964"/>
      <c r="D25" s="1964"/>
      <c r="E25" s="1964"/>
      <c r="F25" s="1964"/>
      <c r="G25" s="1964"/>
      <c r="H25" s="1965"/>
      <c r="I25" s="113"/>
      <c r="J25" s="1988"/>
      <c r="K25" s="1988"/>
      <c r="L25" s="1988"/>
      <c r="M25" s="1988"/>
      <c r="N25" s="1988"/>
      <c r="O25" s="1988"/>
      <c r="P25" s="1988"/>
      <c r="Q25" s="1988"/>
      <c r="R25" s="1988"/>
      <c r="S25" s="1989"/>
      <c r="T25" s="2059" t="s">
        <v>2091</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2079</v>
      </c>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2080</v>
      </c>
      <c r="B38" s="2000"/>
      <c r="C38" s="2000"/>
      <c r="D38" s="2000"/>
      <c r="E38" s="2000"/>
      <c r="F38" s="1964"/>
      <c r="G38" s="1964"/>
      <c r="H38" s="1965"/>
      <c r="I38" s="1992"/>
      <c r="J38" s="1993"/>
      <c r="K38" s="1993"/>
      <c r="L38" s="1993"/>
      <c r="M38" s="1993"/>
      <c r="N38" s="1993"/>
      <c r="O38" s="1993"/>
      <c r="P38" s="1994"/>
      <c r="Q38" s="1994"/>
      <c r="R38" s="1994"/>
      <c r="S38" s="1995"/>
      <c r="T38" s="2049" t="s">
        <v>2092</v>
      </c>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2081</v>
      </c>
      <c r="B40" s="1978"/>
      <c r="C40" s="1979"/>
      <c r="D40" s="1979"/>
      <c r="E40" s="1979"/>
      <c r="F40" s="1980"/>
      <c r="G40" s="1980"/>
      <c r="H40" s="1981"/>
      <c r="I40" s="2002"/>
      <c r="J40" s="2003"/>
      <c r="K40" s="2003"/>
      <c r="L40" s="2003"/>
      <c r="M40" s="2003"/>
      <c r="N40" s="2003"/>
      <c r="O40" s="2003"/>
      <c r="P40" s="2003"/>
      <c r="Q40" s="2003"/>
      <c r="R40" s="2003"/>
      <c r="S40" s="2004"/>
      <c r="T40" s="2002" t="s">
        <v>2093</v>
      </c>
      <c r="U40" s="2066"/>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2082</v>
      </c>
      <c r="B42" s="1983"/>
      <c r="C42" s="1984"/>
      <c r="D42" s="1982" t="s">
        <v>2083</v>
      </c>
      <c r="E42" s="1983"/>
      <c r="F42" s="1983"/>
      <c r="G42" s="1983"/>
      <c r="H42" s="1984"/>
      <c r="I42" s="1966"/>
      <c r="J42" s="1967"/>
      <c r="K42" s="1967"/>
      <c r="L42" s="1967"/>
      <c r="M42" s="1967"/>
      <c r="N42" s="1967"/>
      <c r="O42" s="1968"/>
      <c r="P42" s="2001"/>
      <c r="Q42" s="1967"/>
      <c r="R42" s="1967"/>
      <c r="S42" s="1968"/>
      <c r="T42" s="1966" t="s">
        <v>2094</v>
      </c>
      <c r="U42" s="1967"/>
      <c r="V42" s="1967"/>
      <c r="W42" s="1968"/>
      <c r="X42" s="2001" t="s">
        <v>2095</v>
      </c>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249977111117893"/>
  </sheetPr>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6" t="s">
        <v>1902</v>
      </c>
      <c r="B2" s="1550" t="s">
        <v>2034</v>
      </c>
      <c r="C2" s="715" t="s">
        <v>1907</v>
      </c>
      <c r="D2" s="715" t="s">
        <v>1908</v>
      </c>
      <c r="E2" s="715" t="s">
        <v>1909</v>
      </c>
      <c r="F2" s="715" t="s">
        <v>1910</v>
      </c>
    </row>
    <row r="3" spans="1:6" ht="12" customHeight="1" x14ac:dyDescent="0.2">
      <c r="A3" s="2207"/>
      <c r="B3" s="1547"/>
      <c r="C3" s="1548"/>
      <c r="D3" s="1549" t="s">
        <v>274</v>
      </c>
      <c r="E3" s="1548"/>
      <c r="F3" s="1549" t="s">
        <v>275</v>
      </c>
    </row>
    <row r="4" spans="1:6" ht="13.7" customHeight="1" x14ac:dyDescent="0.2">
      <c r="A4" s="716" t="s">
        <v>1217</v>
      </c>
      <c r="B4" s="1769">
        <f>'Revenues 9-14'!C5</f>
        <v>18006521</v>
      </c>
      <c r="C4" s="1546">
        <v>5593330</v>
      </c>
      <c r="D4" s="1772">
        <f>B4-C4</f>
        <v>12413191</v>
      </c>
      <c r="E4" s="1546">
        <v>17536174</v>
      </c>
      <c r="F4" s="1772">
        <f>E4-C4</f>
        <v>11942844</v>
      </c>
    </row>
    <row r="5" spans="1:6" ht="13.7" customHeight="1" x14ac:dyDescent="0.2">
      <c r="A5" s="716" t="s">
        <v>925</v>
      </c>
      <c r="B5" s="1770">
        <f>'Revenues 9-14'!D5</f>
        <v>4067305</v>
      </c>
      <c r="C5" s="585">
        <v>1310937</v>
      </c>
      <c r="D5" s="1773">
        <f t="shared" ref="D5:D18" si="0">B5-C5</f>
        <v>2756368</v>
      </c>
      <c r="E5" s="585">
        <v>4110041</v>
      </c>
      <c r="F5" s="1773">
        <f>E5-C5</f>
        <v>2799104</v>
      </c>
    </row>
    <row r="6" spans="1:6" ht="13.7" customHeight="1" x14ac:dyDescent="0.2">
      <c r="A6" s="716" t="s">
        <v>431</v>
      </c>
      <c r="B6" s="1770">
        <f>'Revenues 9-14'!E5</f>
        <v>3126552</v>
      </c>
      <c r="C6" s="585">
        <v>963102</v>
      </c>
      <c r="D6" s="1773">
        <f t="shared" si="0"/>
        <v>2163450</v>
      </c>
      <c r="E6" s="585">
        <v>3019510</v>
      </c>
      <c r="F6" s="1773">
        <f t="shared" ref="F6:F18" si="1">E6-C6</f>
        <v>2056408</v>
      </c>
    </row>
    <row r="7" spans="1:6" ht="13.7" customHeight="1" x14ac:dyDescent="0.2">
      <c r="A7" s="716" t="s">
        <v>157</v>
      </c>
      <c r="B7" s="1770">
        <f>'Revenues 9-14'!F5</f>
        <v>1084917</v>
      </c>
      <c r="C7" s="585">
        <v>349583</v>
      </c>
      <c r="D7" s="1773">
        <f t="shared" si="0"/>
        <v>735334</v>
      </c>
      <c r="E7" s="585">
        <v>1096011</v>
      </c>
      <c r="F7" s="1773">
        <f t="shared" si="1"/>
        <v>746428</v>
      </c>
    </row>
    <row r="8" spans="1:6" ht="13.7" customHeight="1" x14ac:dyDescent="0.2">
      <c r="A8" s="716" t="s">
        <v>1241</v>
      </c>
      <c r="B8" s="1770">
        <f>'Revenues 9-14'!G5</f>
        <v>1015814</v>
      </c>
      <c r="C8" s="585">
        <v>322665</v>
      </c>
      <c r="D8" s="1773">
        <f t="shared" si="0"/>
        <v>693149</v>
      </c>
      <c r="E8" s="585">
        <v>1011618</v>
      </c>
      <c r="F8" s="1773">
        <f t="shared" si="1"/>
        <v>688953</v>
      </c>
    </row>
    <row r="9" spans="1:6" ht="13.7" customHeight="1" x14ac:dyDescent="0.2">
      <c r="A9" s="716" t="s">
        <v>428</v>
      </c>
      <c r="B9" s="1770">
        <f>'Revenues 9-14'!H5</f>
        <v>0</v>
      </c>
      <c r="C9" s="585">
        <v>0</v>
      </c>
      <c r="D9" s="1773">
        <f t="shared" si="0"/>
        <v>0</v>
      </c>
      <c r="E9" s="585">
        <v>0</v>
      </c>
      <c r="F9" s="1773">
        <f t="shared" si="1"/>
        <v>0</v>
      </c>
    </row>
    <row r="10" spans="1:6" ht="13.7" customHeight="1" x14ac:dyDescent="0.2">
      <c r="A10" s="716" t="s">
        <v>427</v>
      </c>
      <c r="B10" s="1770">
        <f>'Revenues 9-14'!I5</f>
        <v>271355</v>
      </c>
      <c r="C10" s="585">
        <v>87395</v>
      </c>
      <c r="D10" s="1773">
        <f t="shared" si="0"/>
        <v>183960</v>
      </c>
      <c r="E10" s="585">
        <v>274003</v>
      </c>
      <c r="F10" s="1773">
        <f t="shared" si="1"/>
        <v>186608</v>
      </c>
    </row>
    <row r="11" spans="1:6" x14ac:dyDescent="0.2">
      <c r="A11" s="716" t="s">
        <v>429</v>
      </c>
      <c r="B11" s="1770">
        <f>'Revenues 9-14'!J5</f>
        <v>814100</v>
      </c>
      <c r="C11" s="585">
        <v>260090</v>
      </c>
      <c r="D11" s="1773">
        <f t="shared" si="0"/>
        <v>554010</v>
      </c>
      <c r="E11" s="585">
        <v>815432</v>
      </c>
      <c r="F11" s="1773">
        <f t="shared" si="1"/>
        <v>555342</v>
      </c>
    </row>
    <row r="12" spans="1:6" ht="13.7" customHeight="1" x14ac:dyDescent="0.2">
      <c r="A12" s="716" t="s">
        <v>159</v>
      </c>
      <c r="B12" s="1770">
        <f>'Revenues 9-14'!K5</f>
        <v>0</v>
      </c>
      <c r="C12" s="585">
        <v>0</v>
      </c>
      <c r="D12" s="1773">
        <f t="shared" si="0"/>
        <v>0</v>
      </c>
      <c r="E12" s="585">
        <v>0</v>
      </c>
      <c r="F12" s="1773">
        <f t="shared" si="1"/>
        <v>0</v>
      </c>
    </row>
    <row r="13" spans="1:6" ht="13.7" customHeight="1" x14ac:dyDescent="0.2">
      <c r="A13" s="716" t="s">
        <v>993</v>
      </c>
      <c r="B13" s="1770">
        <f>SUM('Revenues 9-14'!C6:D6)</f>
        <v>0</v>
      </c>
      <c r="C13" s="585">
        <v>0</v>
      </c>
      <c r="D13" s="1773">
        <f t="shared" si="0"/>
        <v>0</v>
      </c>
      <c r="E13" s="585">
        <v>0</v>
      </c>
      <c r="F13" s="1773">
        <f t="shared" si="1"/>
        <v>0</v>
      </c>
    </row>
    <row r="14" spans="1:6" ht="13.7" customHeight="1" x14ac:dyDescent="0.2">
      <c r="A14" s="716" t="s">
        <v>430</v>
      </c>
      <c r="B14" s="1770">
        <f>SUM('Revenues 9-14'!C7:D7,'Revenues 9-14'!F7:H7)</f>
        <v>216983</v>
      </c>
      <c r="C14" s="585">
        <v>69917</v>
      </c>
      <c r="D14" s="1773">
        <f t="shared" si="0"/>
        <v>147066</v>
      </c>
      <c r="E14" s="585">
        <v>219202</v>
      </c>
      <c r="F14" s="1773">
        <f t="shared" si="1"/>
        <v>149285</v>
      </c>
    </row>
    <row r="15" spans="1:6" ht="13.7" customHeight="1" x14ac:dyDescent="0.2">
      <c r="A15" s="716" t="s">
        <v>1220</v>
      </c>
      <c r="B15" s="1770">
        <f>'Revenues 9-14'!E9</f>
        <v>0</v>
      </c>
      <c r="C15" s="585">
        <v>0</v>
      </c>
      <c r="D15" s="1773">
        <f t="shared" si="0"/>
        <v>0</v>
      </c>
      <c r="E15" s="585">
        <v>0</v>
      </c>
      <c r="F15" s="1773">
        <f t="shared" si="1"/>
        <v>0</v>
      </c>
    </row>
    <row r="16" spans="1:6" ht="13.7" customHeight="1" x14ac:dyDescent="0.2">
      <c r="A16" s="716" t="s">
        <v>1221</v>
      </c>
      <c r="B16" s="1770">
        <f>'Revenues 9-14'!G8</f>
        <v>1180757</v>
      </c>
      <c r="C16" s="585">
        <v>376501</v>
      </c>
      <c r="D16" s="1773">
        <f t="shared" si="0"/>
        <v>804256</v>
      </c>
      <c r="E16" s="585">
        <v>1180404</v>
      </c>
      <c r="F16" s="1773">
        <f t="shared" si="1"/>
        <v>803903</v>
      </c>
    </row>
    <row r="17" spans="1:6" ht="13.7" customHeight="1" x14ac:dyDescent="0.2">
      <c r="A17" s="716" t="s">
        <v>1222</v>
      </c>
      <c r="B17" s="1770">
        <f>'Revenues 9-14'!C10</f>
        <v>0</v>
      </c>
      <c r="C17" s="585">
        <v>0</v>
      </c>
      <c r="D17" s="1773">
        <f t="shared" si="0"/>
        <v>0</v>
      </c>
      <c r="E17" s="585">
        <v>0</v>
      </c>
      <c r="F17" s="1773">
        <f t="shared" si="1"/>
        <v>0</v>
      </c>
    </row>
    <row r="18" spans="1:6" ht="13.7" customHeight="1" x14ac:dyDescent="0.2">
      <c r="A18" s="716" t="s">
        <v>786</v>
      </c>
      <c r="B18" s="1770">
        <f>SUM('Revenues 9-14'!C11:K11)</f>
        <v>0</v>
      </c>
      <c r="C18" s="585">
        <v>0</v>
      </c>
      <c r="D18" s="1773">
        <f t="shared" si="0"/>
        <v>0</v>
      </c>
      <c r="E18" s="585">
        <v>0</v>
      </c>
      <c r="F18" s="1773">
        <f t="shared" si="1"/>
        <v>0</v>
      </c>
    </row>
    <row r="19" spans="1:6" ht="13.7" customHeight="1" thickBot="1" x14ac:dyDescent="0.25">
      <c r="A19" s="1774" t="s">
        <v>1223</v>
      </c>
      <c r="B19" s="1771">
        <f>SUM(B4:B18)</f>
        <v>29784304</v>
      </c>
      <c r="C19" s="1771">
        <f>SUM(C4:C18)</f>
        <v>9333520</v>
      </c>
      <c r="D19" s="1771">
        <f>SUM(D4:D18)</f>
        <v>20450784</v>
      </c>
      <c r="E19" s="1771">
        <f>SUM(E4:E18)</f>
        <v>29262395</v>
      </c>
      <c r="F19" s="1771">
        <f>SUM(F4:F18)</f>
        <v>19928875</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pageSetUpPr fitToPage="1"/>
  </sheetPr>
  <dimension ref="A1:K59"/>
  <sheetViews>
    <sheetView showGridLines="0" defaultGridColor="0" topLeftCell="A16"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1902</v>
      </c>
      <c r="B2" s="2234"/>
      <c r="C2" s="1905" t="s">
        <v>2035</v>
      </c>
      <c r="D2" s="724" t="s">
        <v>2042</v>
      </c>
      <c r="E2" s="724" t="s">
        <v>2043</v>
      </c>
      <c r="F2" s="1905" t="s">
        <v>2036</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5">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9" t="s">
        <v>652</v>
      </c>
      <c r="B15" s="2220"/>
      <c r="C15" s="1775">
        <f>SUM(C6:C14)</f>
        <v>0</v>
      </c>
      <c r="D15" s="1775">
        <f>SUM(D6:D14)</f>
        <v>0</v>
      </c>
      <c r="E15" s="1775">
        <f>SUM(E6:E14)</f>
        <v>0</v>
      </c>
      <c r="F15" s="1775">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5">
        <f>SUM(C17+D17)-E17</f>
        <v>0</v>
      </c>
    </row>
    <row r="18" spans="1:11" ht="12.75" customHeight="1" thickTop="1" thickBot="1" x14ac:dyDescent="0.25">
      <c r="A18" s="2214" t="s">
        <v>6</v>
      </c>
      <c r="B18" s="2215"/>
      <c r="C18" s="727"/>
      <c r="D18" s="585"/>
      <c r="E18" s="727"/>
      <c r="F18" s="1775">
        <f>SUM(C18+D18)-E18</f>
        <v>0</v>
      </c>
    </row>
    <row r="19" spans="1:11" ht="12.75" customHeight="1" thickTop="1" thickBot="1" x14ac:dyDescent="0.25">
      <c r="A19" s="2214" t="s">
        <v>406</v>
      </c>
      <c r="B19" s="2215"/>
      <c r="C19" s="727"/>
      <c r="D19" s="585"/>
      <c r="E19" s="727"/>
      <c r="F19" s="1775">
        <f>SUM(C19+D19)-E19</f>
        <v>0</v>
      </c>
    </row>
    <row r="20" spans="1:11" ht="12.75" customHeight="1" thickTop="1" thickBot="1" x14ac:dyDescent="0.25">
      <c r="A20" s="2214" t="s">
        <v>468</v>
      </c>
      <c r="B20" s="2215"/>
      <c r="C20" s="727"/>
      <c r="D20" s="585"/>
      <c r="E20" s="727"/>
      <c r="F20" s="1775">
        <f>SUM(C20+D20)-E20</f>
        <v>0</v>
      </c>
    </row>
    <row r="21" spans="1:11" ht="14.25" thickTop="1" thickBot="1" x14ac:dyDescent="0.25">
      <c r="A21" s="2219" t="s">
        <v>653</v>
      </c>
      <c r="B21" s="2220"/>
      <c r="C21" s="1775">
        <f>SUM(C17:C20)</f>
        <v>0</v>
      </c>
      <c r="D21" s="1775">
        <f>SUM(D17:D20)</f>
        <v>0</v>
      </c>
      <c r="E21" s="1775">
        <f>SUM(E17:E20)</f>
        <v>0</v>
      </c>
      <c r="F21" s="1775">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5">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5">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5">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1"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x14ac:dyDescent="0.2">
      <c r="A31" s="733" t="s">
        <v>2096</v>
      </c>
      <c r="B31" s="734">
        <v>39783</v>
      </c>
      <c r="C31" s="735">
        <v>10000000</v>
      </c>
      <c r="D31" s="736">
        <v>2</v>
      </c>
      <c r="E31" s="735">
        <v>10000000</v>
      </c>
      <c r="F31" s="735"/>
      <c r="G31" s="735"/>
      <c r="H31" s="735">
        <v>10000000</v>
      </c>
      <c r="I31" s="1776">
        <f>((E31+F31)-H31)+G31</f>
        <v>0</v>
      </c>
      <c r="J31" s="735">
        <v>0</v>
      </c>
      <c r="K31" s="737"/>
    </row>
    <row r="32" spans="1:11" ht="12" customHeight="1" x14ac:dyDescent="0.2">
      <c r="A32" s="733" t="s">
        <v>2097</v>
      </c>
      <c r="B32" s="734">
        <v>39868</v>
      </c>
      <c r="C32" s="735">
        <v>18960000</v>
      </c>
      <c r="D32" s="736">
        <v>3</v>
      </c>
      <c r="E32" s="735">
        <v>12015000</v>
      </c>
      <c r="F32" s="735"/>
      <c r="G32" s="735"/>
      <c r="H32" s="735">
        <v>12015000</v>
      </c>
      <c r="I32" s="1776">
        <f>((E32+F32)-H32)+G32</f>
        <v>0</v>
      </c>
      <c r="J32" s="735"/>
      <c r="K32" s="737"/>
    </row>
    <row r="33" spans="1:11" ht="12" customHeight="1" x14ac:dyDescent="0.2">
      <c r="A33" s="733" t="s">
        <v>2098</v>
      </c>
      <c r="B33" s="734">
        <v>39868</v>
      </c>
      <c r="C33" s="735">
        <v>12000000</v>
      </c>
      <c r="D33" s="736">
        <v>2</v>
      </c>
      <c r="E33" s="735">
        <v>9280000</v>
      </c>
      <c r="F33" s="735"/>
      <c r="G33" s="735"/>
      <c r="H33" s="735">
        <v>9280000</v>
      </c>
      <c r="I33" s="1776">
        <f t="shared" ref="I33:I48" si="1">((E33+F33)-H33)+G33</f>
        <v>0</v>
      </c>
      <c r="J33" s="735"/>
      <c r="K33" s="737"/>
    </row>
    <row r="34" spans="1:11" ht="12" customHeight="1" x14ac:dyDescent="0.2">
      <c r="A34" s="733" t="s">
        <v>2180</v>
      </c>
      <c r="B34" s="734">
        <v>43137</v>
      </c>
      <c r="C34" s="735">
        <v>27730000</v>
      </c>
      <c r="D34" s="736">
        <v>3</v>
      </c>
      <c r="E34" s="735"/>
      <c r="F34" s="735">
        <v>27730000</v>
      </c>
      <c r="G34" s="735"/>
      <c r="H34" s="735"/>
      <c r="I34" s="1776">
        <f t="shared" si="1"/>
        <v>27730000</v>
      </c>
      <c r="J34" s="735">
        <v>25578761</v>
      </c>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68690000</v>
      </c>
      <c r="D49" s="746"/>
      <c r="E49" s="1776">
        <f t="shared" ref="E49:J49" si="2">SUM(E31:E48)</f>
        <v>31295000</v>
      </c>
      <c r="F49" s="1776">
        <f t="shared" si="2"/>
        <v>27730000</v>
      </c>
      <c r="G49" s="1776">
        <f t="shared" si="2"/>
        <v>0</v>
      </c>
      <c r="H49" s="1776">
        <f t="shared" si="2"/>
        <v>31295000</v>
      </c>
      <c r="I49" s="1776">
        <f t="shared" si="2"/>
        <v>27730000</v>
      </c>
      <c r="J49" s="1776">
        <f t="shared" si="2"/>
        <v>25578761</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249977111117893"/>
    <pageSetUpPr fitToPage="1"/>
  </sheetPr>
  <dimension ref="A1:K48"/>
  <sheetViews>
    <sheetView showGridLines="0" defaultGridColor="0" topLeftCell="A13" colorId="8" zoomScale="110" zoomScaleNormal="110" workbookViewId="0">
      <selection activeCell="A45" sqref="A45:XFD4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2"/>
      <c r="I1" s="761"/>
      <c r="J1" s="433"/>
    </row>
    <row r="2" spans="1:11" ht="26.25" x14ac:dyDescent="0.2">
      <c r="A2" s="2256" t="s">
        <v>1776</v>
      </c>
      <c r="B2" s="2257"/>
      <c r="C2" s="2257"/>
      <c r="D2" s="2257"/>
      <c r="E2" s="2258"/>
      <c r="F2" s="762" t="s">
        <v>960</v>
      </c>
      <c r="G2" s="763" t="s">
        <v>1773</v>
      </c>
      <c r="H2" s="763" t="s">
        <v>430</v>
      </c>
      <c r="I2" s="763" t="s">
        <v>1220</v>
      </c>
      <c r="J2" s="763" t="s">
        <v>1916</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c r="I5" s="773"/>
      <c r="J5" s="774"/>
      <c r="K5" s="774"/>
    </row>
    <row r="6" spans="1:11" x14ac:dyDescent="0.2">
      <c r="A6" s="775" t="s">
        <v>744</v>
      </c>
      <c r="B6" s="776"/>
      <c r="C6" s="776"/>
      <c r="D6" s="776"/>
      <c r="E6" s="777"/>
      <c r="F6" s="778" t="s">
        <v>904</v>
      </c>
      <c r="G6" s="765"/>
      <c r="H6" s="765">
        <f>'Revenues 9-14'!C7</f>
        <v>216983</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75955</v>
      </c>
    </row>
    <row r="10" spans="1:11" x14ac:dyDescent="0.2">
      <c r="A10" s="2240" t="s">
        <v>1917</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7"/>
      <c r="G12" s="1778">
        <f>SUM(G5:G11)</f>
        <v>0</v>
      </c>
      <c r="H12" s="1778">
        <f>SUM(H5:H11)</f>
        <v>216983</v>
      </c>
      <c r="I12" s="1778">
        <f>SUM(I5:I11)</f>
        <v>0</v>
      </c>
      <c r="J12" s="1778">
        <f>SUM(J5:J11)</f>
        <v>0</v>
      </c>
      <c r="K12" s="1778">
        <f>SUM(K5:K11)</f>
        <v>75955</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216983</v>
      </c>
      <c r="I14" s="772"/>
      <c r="J14" s="774"/>
      <c r="K14" s="766">
        <v>75955</v>
      </c>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1913</v>
      </c>
      <c r="B19" s="2249"/>
      <c r="C19" s="2249"/>
      <c r="D19" s="2249"/>
      <c r="E19" s="2250"/>
      <c r="F19" s="790" t="s">
        <v>990</v>
      </c>
      <c r="G19" s="783"/>
      <c r="H19" s="783"/>
      <c r="I19" s="783"/>
      <c r="J19" s="766"/>
      <c r="K19" s="796"/>
    </row>
    <row r="20" spans="1:11" x14ac:dyDescent="0.2">
      <c r="A20" s="2251" t="s">
        <v>1918</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79"/>
      <c r="G21" s="793"/>
      <c r="H21" s="797"/>
      <c r="I21" s="797"/>
      <c r="J21" s="1780">
        <f>SUM(J18:J20)</f>
        <v>0</v>
      </c>
      <c r="K21" s="794"/>
    </row>
    <row r="22" spans="1:11" ht="13.5" thickTop="1" x14ac:dyDescent="0.2">
      <c r="A22" s="2241" t="s">
        <v>1919</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1"/>
      <c r="G23" s="1778">
        <f>SUM(G14:G16,G21,G22)</f>
        <v>0</v>
      </c>
      <c r="H23" s="1778">
        <f>SUM(H14:H16,H21,H22)</f>
        <v>216983</v>
      </c>
      <c r="I23" s="1778">
        <f>SUM(I14:I16,I21,I22)</f>
        <v>0</v>
      </c>
      <c r="J23" s="1778">
        <f>SUM(J14:J16,J21,J22)</f>
        <v>0</v>
      </c>
      <c r="K23" s="1778">
        <f>SUM(K14:K16,K21,K22)</f>
        <v>75955</v>
      </c>
    </row>
    <row r="24" spans="1:11" ht="14.25" thickTop="1" thickBot="1" x14ac:dyDescent="0.25">
      <c r="A24" s="2271" t="s">
        <v>2023</v>
      </c>
      <c r="B24" s="2270"/>
      <c r="C24" s="2270"/>
      <c r="D24" s="2270"/>
      <c r="E24" s="2270"/>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2033</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N27"/>
  <sheetViews>
    <sheetView showGridLines="0" defaultGridColor="0" colorId="8" zoomScale="110" zoomScaleNormal="110" workbookViewId="0">
      <selection activeCell="K12" sqref="K12:K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2432871</v>
      </c>
      <c r="D5" s="842">
        <v>5870</v>
      </c>
      <c r="E5" s="842"/>
      <c r="F5" s="1780">
        <f>(C5+D5)-E5</f>
        <v>2438741</v>
      </c>
      <c r="G5" s="838"/>
      <c r="H5" s="843"/>
      <c r="I5" s="843"/>
      <c r="J5" s="843"/>
      <c r="K5" s="794"/>
      <c r="L5" s="1789">
        <f>F5-K5</f>
        <v>2438741</v>
      </c>
    </row>
    <row r="6" spans="1:14" ht="14.25" thickTop="1" thickBot="1" x14ac:dyDescent="0.25">
      <c r="A6" s="779" t="s">
        <v>1179</v>
      </c>
      <c r="B6" s="841">
        <v>222</v>
      </c>
      <c r="C6" s="766">
        <v>0</v>
      </c>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74868078</v>
      </c>
      <c r="D8" s="845">
        <v>1504405</v>
      </c>
      <c r="E8" s="845"/>
      <c r="F8" s="1780">
        <f>(C8+D8)-E8</f>
        <v>76372483</v>
      </c>
      <c r="G8" s="844">
        <v>50</v>
      </c>
      <c r="H8" s="766">
        <v>28555731</v>
      </c>
      <c r="I8" s="766">
        <v>1318521</v>
      </c>
      <c r="J8" s="766"/>
      <c r="K8" s="1789">
        <f>(H8+I8)-J8</f>
        <v>29874252</v>
      </c>
      <c r="L8" s="1789">
        <f>F8-K8</f>
        <v>46498231</v>
      </c>
    </row>
    <row r="9" spans="1:14" ht="14.25" thickTop="1" thickBot="1" x14ac:dyDescent="0.25">
      <c r="A9" s="779" t="s">
        <v>1181</v>
      </c>
      <c r="B9" s="841">
        <v>232</v>
      </c>
      <c r="C9" s="766">
        <v>0</v>
      </c>
      <c r="D9" s="766"/>
      <c r="E9" s="766"/>
      <c r="F9" s="1780">
        <f>(C9+D9)-E9</f>
        <v>0</v>
      </c>
      <c r="G9" s="844">
        <v>20</v>
      </c>
      <c r="H9" s="766"/>
      <c r="I9" s="766"/>
      <c r="J9" s="766"/>
      <c r="K9" s="1789">
        <f>(H9+I9)-J9</f>
        <v>0</v>
      </c>
      <c r="L9" s="1789">
        <f>F9-K9</f>
        <v>0</v>
      </c>
    </row>
    <row r="10" spans="1:14" ht="24" thickTop="1" thickBot="1" x14ac:dyDescent="0.25">
      <c r="A10" s="846" t="s">
        <v>1182</v>
      </c>
      <c r="B10" s="841">
        <v>240</v>
      </c>
      <c r="C10" s="847">
        <v>3447418</v>
      </c>
      <c r="D10" s="847">
        <v>5184</v>
      </c>
      <c r="E10" s="847"/>
      <c r="F10" s="1784">
        <f>(C10+D10)-E10</f>
        <v>3452602</v>
      </c>
      <c r="G10" s="844">
        <v>20</v>
      </c>
      <c r="H10" s="848">
        <v>2117036</v>
      </c>
      <c r="I10" s="848">
        <v>126433</v>
      </c>
      <c r="J10" s="848"/>
      <c r="K10" s="1789">
        <f>(H10+I10)-J10</f>
        <v>2243469</v>
      </c>
      <c r="L10" s="1789">
        <f>F10-K10</f>
        <v>1209133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2406179</v>
      </c>
      <c r="D12" s="845">
        <v>66163</v>
      </c>
      <c r="E12" s="845"/>
      <c r="F12" s="1780">
        <f>(C12+D12)-E12</f>
        <v>2472342</v>
      </c>
      <c r="G12" s="844">
        <v>10</v>
      </c>
      <c r="H12" s="766">
        <v>1841793</v>
      </c>
      <c r="I12" s="766">
        <v>94231</v>
      </c>
      <c r="J12" s="766"/>
      <c r="K12" s="1789">
        <f>(H12+I12)-J12</f>
        <v>1936024</v>
      </c>
      <c r="L12" s="1789">
        <f>F12-K12</f>
        <v>536318</v>
      </c>
    </row>
    <row r="13" spans="1:14" ht="14.25" thickTop="1" thickBot="1" x14ac:dyDescent="0.25">
      <c r="A13" s="849" t="s">
        <v>1184</v>
      </c>
      <c r="B13" s="841">
        <v>252</v>
      </c>
      <c r="C13" s="845">
        <v>961346</v>
      </c>
      <c r="D13" s="845"/>
      <c r="E13" s="845"/>
      <c r="F13" s="1780">
        <f>(C13+D13)-E13</f>
        <v>961346</v>
      </c>
      <c r="G13" s="844">
        <v>5</v>
      </c>
      <c r="H13" s="766">
        <v>778244</v>
      </c>
      <c r="I13" s="766">
        <v>39928</v>
      </c>
      <c r="J13" s="766"/>
      <c r="K13" s="1789">
        <f>(H13+I13)-J13</f>
        <v>818172</v>
      </c>
      <c r="L13" s="1789">
        <f>F13-K13</f>
        <v>143174</v>
      </c>
    </row>
    <row r="14" spans="1:14" ht="14.25" thickTop="1" thickBot="1" x14ac:dyDescent="0.25">
      <c r="A14" s="849" t="s">
        <v>1185</v>
      </c>
      <c r="B14" s="841">
        <v>253</v>
      </c>
      <c r="C14" s="766">
        <v>384502</v>
      </c>
      <c r="D14" s="766"/>
      <c r="E14" s="766"/>
      <c r="F14" s="1780">
        <f>(C14+D14)-E14</f>
        <v>384502</v>
      </c>
      <c r="G14" s="844">
        <v>3</v>
      </c>
      <c r="H14" s="766">
        <v>383525</v>
      </c>
      <c r="I14" s="766">
        <v>977</v>
      </c>
      <c r="J14" s="766"/>
      <c r="K14" s="1789">
        <f>(H14+I14)-J14</f>
        <v>384502</v>
      </c>
      <c r="L14" s="1789">
        <f>F14-K14</f>
        <v>0</v>
      </c>
    </row>
    <row r="15" spans="1:14" ht="15" customHeight="1" thickTop="1" thickBot="1" x14ac:dyDescent="0.25">
      <c r="A15" s="1653" t="s">
        <v>549</v>
      </c>
      <c r="B15" s="1652">
        <v>260</v>
      </c>
      <c r="C15" s="845">
        <v>35350</v>
      </c>
      <c r="D15" s="845">
        <v>1362747</v>
      </c>
      <c r="E15" s="845">
        <v>35350</v>
      </c>
      <c r="F15" s="1780">
        <f>(C15+D15)-E15</f>
        <v>1362747</v>
      </c>
      <c r="G15" s="850" t="s">
        <v>917</v>
      </c>
      <c r="H15" s="782"/>
      <c r="I15" s="782"/>
      <c r="J15" s="782"/>
      <c r="K15" s="782"/>
      <c r="L15" s="1789">
        <f>F15-K15</f>
        <v>1362747</v>
      </c>
    </row>
    <row r="16" spans="1:14" ht="15" customHeight="1" thickTop="1" thickBot="1" x14ac:dyDescent="0.25">
      <c r="A16" s="1785" t="s">
        <v>664</v>
      </c>
      <c r="B16" s="1786">
        <v>200</v>
      </c>
      <c r="C16" s="1780">
        <f>SUM(C3,C5:C6,C8:C10,C12:C15)</f>
        <v>84535744</v>
      </c>
      <c r="D16" s="1780">
        <f>SUM(D3,D5:D6,D8:D10,D12:D15)</f>
        <v>2944369</v>
      </c>
      <c r="E16" s="1780">
        <f>SUM(E3,E5:E6,E8:E10,E12:E15)</f>
        <v>35350</v>
      </c>
      <c r="F16" s="1780">
        <f>SUM(F3,F5:F6,F8:F10,F12:F15)</f>
        <v>87444763</v>
      </c>
      <c r="G16" s="844"/>
      <c r="H16" s="1780">
        <f>SUM(H3,H6,H8:H10,H12:H14,)</f>
        <v>33676329</v>
      </c>
      <c r="I16" s="1780">
        <f>SUM(I3,I6,I8:I10,I12:I14,)</f>
        <v>1580090</v>
      </c>
      <c r="J16" s="1780">
        <f>SUM(J3,J6,J8:J10,J12:J14,)</f>
        <v>0</v>
      </c>
      <c r="K16" s="1780">
        <f>(H16+I16)-J16</f>
        <v>35256419</v>
      </c>
      <c r="L16" s="1780">
        <f>F16-K16</f>
        <v>52188344</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189240</v>
      </c>
      <c r="G17" s="838">
        <v>10</v>
      </c>
      <c r="H17" s="770"/>
      <c r="I17" s="1789">
        <f>F17/G17</f>
        <v>18924</v>
      </c>
      <c r="J17" s="770"/>
      <c r="K17" s="796"/>
      <c r="L17" s="796"/>
    </row>
    <row r="18" spans="1:12" ht="14.25" thickTop="1" thickBot="1" x14ac:dyDescent="0.25">
      <c r="A18" s="1787" t="s">
        <v>706</v>
      </c>
      <c r="B18" s="1788"/>
      <c r="C18" s="772"/>
      <c r="D18" s="772"/>
      <c r="E18" s="772"/>
      <c r="F18" s="851"/>
      <c r="G18" s="852"/>
      <c r="H18" s="774"/>
      <c r="I18" s="1780">
        <f>SUM(I16,I17)</f>
        <v>1599014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9" activePane="bottomLeft" state="frozen"/>
      <selection activeCell="A2" sqref="A2"/>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62591994</v>
      </c>
      <c r="G8" s="866"/>
    </row>
    <row r="9" spans="1:7" x14ac:dyDescent="0.2">
      <c r="A9" s="870" t="s">
        <v>480</v>
      </c>
      <c r="B9" s="871" t="s">
        <v>1986</v>
      </c>
      <c r="C9" s="872"/>
      <c r="D9" s="870" t="s">
        <v>522</v>
      </c>
      <c r="E9" s="869"/>
      <c r="F9" s="1931">
        <f>'Expenditures 15-22'!K151</f>
        <v>5345966</v>
      </c>
      <c r="G9" s="873"/>
    </row>
    <row r="10" spans="1:7" x14ac:dyDescent="0.2">
      <c r="A10" s="870" t="s">
        <v>520</v>
      </c>
      <c r="B10" s="871" t="s">
        <v>1987</v>
      </c>
      <c r="C10" s="872"/>
      <c r="D10" s="870" t="s">
        <v>522</v>
      </c>
      <c r="E10" s="869"/>
      <c r="F10" s="1931">
        <f>'Expenditures 15-22'!K174</f>
        <v>32638842</v>
      </c>
      <c r="G10" s="873"/>
    </row>
    <row r="11" spans="1:7" x14ac:dyDescent="0.2">
      <c r="A11" s="870" t="s">
        <v>481</v>
      </c>
      <c r="B11" s="871" t="s">
        <v>1988</v>
      </c>
      <c r="C11" s="872"/>
      <c r="D11" s="870" t="s">
        <v>522</v>
      </c>
      <c r="E11" s="869"/>
      <c r="F11" s="1931">
        <f>'Expenditures 15-22'!K210</f>
        <v>1537855</v>
      </c>
      <c r="G11" s="873"/>
    </row>
    <row r="12" spans="1:7" x14ac:dyDescent="0.2">
      <c r="A12" s="870" t="s">
        <v>482</v>
      </c>
      <c r="B12" s="871" t="s">
        <v>1989</v>
      </c>
      <c r="C12" s="872"/>
      <c r="D12" s="870" t="s">
        <v>522</v>
      </c>
      <c r="E12" s="869"/>
      <c r="F12" s="1931">
        <f>'Expenditures 15-22'!K295</f>
        <v>2126242</v>
      </c>
      <c r="G12" s="873"/>
    </row>
    <row r="13" spans="1:7" x14ac:dyDescent="0.2">
      <c r="A13" s="870" t="s">
        <v>108</v>
      </c>
      <c r="B13" s="871" t="s">
        <v>1990</v>
      </c>
      <c r="C13" s="872"/>
      <c r="D13" s="870" t="s">
        <v>522</v>
      </c>
      <c r="E13" s="869"/>
      <c r="F13" s="1931">
        <f>'Expenditures 15-22'!K342</f>
        <v>854699</v>
      </c>
      <c r="G13" s="874"/>
    </row>
    <row r="14" spans="1:7" ht="12" customHeight="1" thickBot="1" x14ac:dyDescent="0.25">
      <c r="A14" s="1790"/>
      <c r="B14" s="1791"/>
      <c r="C14" s="1792"/>
      <c r="D14" s="1793" t="s">
        <v>522</v>
      </c>
      <c r="E14" s="1794" t="s">
        <v>1015</v>
      </c>
      <c r="F14" s="1795">
        <f>SUM(F8:F13)</f>
        <v>105095598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0</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332339</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196548</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125458</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3414585</v>
      </c>
      <c r="G52" s="866"/>
    </row>
    <row r="53" spans="1:7" x14ac:dyDescent="0.2">
      <c r="A53" s="870" t="s">
        <v>479</v>
      </c>
      <c r="B53" s="870" t="s">
        <v>1551</v>
      </c>
      <c r="C53" s="890">
        <f>'Expenditures 15-22'!B102</f>
        <v>4000</v>
      </c>
      <c r="D53" s="889" t="str">
        <f>'Expenditures 15-22'!A102</f>
        <v>Total Payments to Other Govt Units</v>
      </c>
      <c r="E53" s="869"/>
      <c r="F53" s="1935">
        <f>'Expenditures 15-22'!K102</f>
        <v>2274834</v>
      </c>
      <c r="G53" s="866"/>
    </row>
    <row r="54" spans="1:7" x14ac:dyDescent="0.2">
      <c r="A54" s="870" t="s">
        <v>479</v>
      </c>
      <c r="B54" s="870" t="s">
        <v>1552</v>
      </c>
      <c r="C54" s="890" t="s">
        <v>1039</v>
      </c>
      <c r="D54" s="886" t="s">
        <v>1157</v>
      </c>
      <c r="E54" s="869"/>
      <c r="F54" s="1935">
        <f>'Expenditures 15-22'!G114</f>
        <v>108436</v>
      </c>
      <c r="G54" s="866"/>
    </row>
    <row r="55" spans="1:7" x14ac:dyDescent="0.2">
      <c r="A55" s="870" t="s">
        <v>479</v>
      </c>
      <c r="B55" s="870" t="s">
        <v>1553</v>
      </c>
      <c r="C55" s="890" t="s">
        <v>1039</v>
      </c>
      <c r="D55" s="886" t="s">
        <v>309</v>
      </c>
      <c r="E55" s="869"/>
      <c r="F55" s="1935">
        <f>'Expenditures 15-22'!I114</f>
        <v>189240</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5">
        <f>'Expenditures 15-22'!K139</f>
        <v>0</v>
      </c>
      <c r="G57" s="866"/>
    </row>
    <row r="58" spans="1:7" x14ac:dyDescent="0.2">
      <c r="A58" s="870" t="s">
        <v>480</v>
      </c>
      <c r="B58" s="870" t="s">
        <v>1992</v>
      </c>
      <c r="C58" s="887" t="s">
        <v>1039</v>
      </c>
      <c r="D58" s="886" t="s">
        <v>1157</v>
      </c>
      <c r="E58" s="869"/>
      <c r="F58" s="1937">
        <f>'Expenditures 15-22'!G151</f>
        <v>153494</v>
      </c>
      <c r="G58" s="866"/>
    </row>
    <row r="59" spans="1:7" x14ac:dyDescent="0.2">
      <c r="A59" s="894" t="s">
        <v>480</v>
      </c>
      <c r="B59" s="857" t="s">
        <v>1993</v>
      </c>
      <c r="C59" s="895" t="s">
        <v>1039</v>
      </c>
      <c r="D59" s="857" t="s">
        <v>309</v>
      </c>
      <c r="F59" s="1938">
        <f>'Expenditures 15-22'!I151</f>
        <v>0</v>
      </c>
      <c r="G59" s="866"/>
    </row>
    <row r="60" spans="1:7" x14ac:dyDescent="0.2">
      <c r="A60" s="894" t="s">
        <v>520</v>
      </c>
      <c r="B60" s="857" t="s">
        <v>1994</v>
      </c>
      <c r="C60" s="895">
        <v>4000</v>
      </c>
      <c r="D60" s="857" t="s">
        <v>330</v>
      </c>
      <c r="F60" s="1936">
        <f>'Expenditures 15-22'!K160</f>
        <v>0</v>
      </c>
      <c r="G60" s="866"/>
    </row>
    <row r="61" spans="1:7" x14ac:dyDescent="0.2">
      <c r="A61" s="896" t="s">
        <v>520</v>
      </c>
      <c r="B61" s="896" t="s">
        <v>1995</v>
      </c>
      <c r="C61" s="897" t="str">
        <f>'Expenditures 15-22'!B170</f>
        <v>5300</v>
      </c>
      <c r="D61" s="898" t="s">
        <v>329</v>
      </c>
      <c r="E61" s="880"/>
      <c r="F61" s="1935">
        <f>'Expenditures 15-22'!K170</f>
        <v>31295000</v>
      </c>
      <c r="G61" s="866"/>
    </row>
    <row r="62" spans="1:7" x14ac:dyDescent="0.2">
      <c r="A62" s="870" t="s">
        <v>481</v>
      </c>
      <c r="B62" s="870" t="s">
        <v>1996</v>
      </c>
      <c r="C62" s="887">
        <f>'Expenditures 15-22'!B185</f>
        <v>3000</v>
      </c>
      <c r="D62" s="877" t="s">
        <v>469</v>
      </c>
      <c r="E62" s="869"/>
      <c r="F62" s="193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5">
        <f>'Expenditures 15-22'!K196</f>
        <v>0</v>
      </c>
      <c r="G63" s="866"/>
    </row>
    <row r="64" spans="1:7" x14ac:dyDescent="0.2">
      <c r="A64" s="896" t="s">
        <v>481</v>
      </c>
      <c r="B64" s="896" t="s">
        <v>1998</v>
      </c>
      <c r="C64" s="897" t="str">
        <f>'Expenditures 15-22'!B206</f>
        <v>5300</v>
      </c>
      <c r="D64" s="893" t="s">
        <v>329</v>
      </c>
      <c r="E64" s="869"/>
      <c r="F64" s="1935">
        <f>'Expenditures 15-22'!K206</f>
        <v>0</v>
      </c>
      <c r="G64" s="866"/>
    </row>
    <row r="65" spans="1:8" x14ac:dyDescent="0.2">
      <c r="A65" s="870" t="s">
        <v>481</v>
      </c>
      <c r="B65" s="870" t="s">
        <v>1999</v>
      </c>
      <c r="C65" s="887" t="s">
        <v>1039</v>
      </c>
      <c r="D65" s="886" t="s">
        <v>1157</v>
      </c>
      <c r="E65" s="869"/>
      <c r="F65" s="1935">
        <f>'Expenditures 15-22'!G210</f>
        <v>0</v>
      </c>
      <c r="G65" s="866"/>
    </row>
    <row r="66" spans="1:8" x14ac:dyDescent="0.2">
      <c r="A66" s="870" t="s">
        <v>481</v>
      </c>
      <c r="B66" s="870" t="s">
        <v>2000</v>
      </c>
      <c r="C66" s="887" t="s">
        <v>1039</v>
      </c>
      <c r="D66" s="886" t="s">
        <v>309</v>
      </c>
      <c r="E66" s="869"/>
      <c r="F66" s="1935">
        <f>'Expenditures 15-22'!I210</f>
        <v>0</v>
      </c>
      <c r="G66" s="866"/>
    </row>
    <row r="67" spans="1:8" x14ac:dyDescent="0.2">
      <c r="A67" s="870" t="s">
        <v>482</v>
      </c>
      <c r="B67" s="870" t="s">
        <v>2001</v>
      </c>
      <c r="C67" s="887" t="str">
        <f>'Expenditures 15-22'!B216</f>
        <v>1125</v>
      </c>
      <c r="D67" s="893" t="str">
        <f>'Expenditures 15-22'!A216</f>
        <v>Pre-K Programs</v>
      </c>
      <c r="E67" s="869"/>
      <c r="F67" s="1935">
        <f>'Expenditures 15-22'!K216</f>
        <v>0</v>
      </c>
      <c r="G67" s="866"/>
    </row>
    <row r="68" spans="1:8" x14ac:dyDescent="0.2">
      <c r="A68" s="870" t="s">
        <v>482</v>
      </c>
      <c r="B68" s="870" t="s">
        <v>1555</v>
      </c>
      <c r="C68" s="887" t="str">
        <f>'Expenditures 15-22'!B218</f>
        <v>1225</v>
      </c>
      <c r="D68" s="893" t="str">
        <f>'Expenditures 15-22'!A218</f>
        <v>Special Education Programs - Pre-K</v>
      </c>
      <c r="E68" s="869"/>
      <c r="F68" s="193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5">
        <f>'Expenditures 15-22'!K220</f>
        <v>21145</v>
      </c>
      <c r="G69" s="866"/>
    </row>
    <row r="70" spans="1:8" x14ac:dyDescent="0.2">
      <c r="A70" s="870" t="s">
        <v>482</v>
      </c>
      <c r="B70" s="870" t="s">
        <v>2003</v>
      </c>
      <c r="C70" s="887">
        <f>'Expenditures 15-22'!B221</f>
        <v>1300</v>
      </c>
      <c r="D70" s="888" t="str">
        <f>'Expenditures 15-22'!A221</f>
        <v>Adult/Continuing Education Programs</v>
      </c>
      <c r="E70" s="869"/>
      <c r="F70" s="1935">
        <f>'Expenditures 15-22'!K221</f>
        <v>0</v>
      </c>
      <c r="G70" s="866"/>
    </row>
    <row r="71" spans="1:8" x14ac:dyDescent="0.2">
      <c r="A71" s="870" t="s">
        <v>482</v>
      </c>
      <c r="B71" s="870" t="s">
        <v>2004</v>
      </c>
      <c r="C71" s="887">
        <f>'Expenditures 15-22'!B224</f>
        <v>1600</v>
      </c>
      <c r="D71" s="888" t="str">
        <f>'Expenditures 15-22'!A224</f>
        <v>Summer School Programs</v>
      </c>
      <c r="E71" s="869"/>
      <c r="F71" s="1935">
        <f>'Expenditures 15-22'!K224</f>
        <v>1733</v>
      </c>
      <c r="G71" s="866"/>
    </row>
    <row r="72" spans="1:8" x14ac:dyDescent="0.2">
      <c r="A72" s="870" t="s">
        <v>482</v>
      </c>
      <c r="B72" s="870" t="s">
        <v>2005</v>
      </c>
      <c r="C72" s="887">
        <f>'Expenditures 15-22'!B280</f>
        <v>3000</v>
      </c>
      <c r="D72" s="877" t="s">
        <v>469</v>
      </c>
      <c r="E72" s="869"/>
      <c r="F72" s="1935">
        <f>'Expenditures 15-22'!K280</f>
        <v>3614</v>
      </c>
      <c r="G72" s="866"/>
    </row>
    <row r="73" spans="1:8" x14ac:dyDescent="0.2">
      <c r="A73" s="870" t="s">
        <v>482</v>
      </c>
      <c r="B73" s="870" t="s">
        <v>2006</v>
      </c>
      <c r="C73" s="887" t="str">
        <f>'Expenditures 15-22'!B285</f>
        <v>4000</v>
      </c>
      <c r="D73" s="888" t="str">
        <f>'Expenditures 15-22'!A285</f>
        <v>Total Payments to Other Govt Units</v>
      </c>
      <c r="E73" s="869"/>
      <c r="F73" s="1935">
        <f>'Expenditures 15-22'!K285</f>
        <v>0</v>
      </c>
      <c r="G73" s="866"/>
    </row>
    <row r="74" spans="1:8" x14ac:dyDescent="0.2">
      <c r="A74" s="870" t="s">
        <v>456</v>
      </c>
      <c r="B74" s="870" t="s">
        <v>2007</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2008</v>
      </c>
      <c r="E76" s="1794" t="s">
        <v>1015</v>
      </c>
      <c r="F76" s="1798">
        <f>SUM(F18:F74)</f>
        <v>38116426</v>
      </c>
      <c r="G76" s="866"/>
    </row>
    <row r="77" spans="1:8" s="894" customFormat="1" ht="12" customHeight="1" thickTop="1" thickBot="1" x14ac:dyDescent="0.25">
      <c r="A77" s="1799"/>
      <c r="B77" s="1796"/>
      <c r="C77" s="1792"/>
      <c r="D77" s="1797" t="s">
        <v>2009</v>
      </c>
      <c r="E77" s="1794"/>
      <c r="F77" s="1800">
        <f>(F14-F76)</f>
        <v>66979172</v>
      </c>
      <c r="G77" s="870"/>
    </row>
    <row r="78" spans="1:8" s="894" customFormat="1" ht="12" customHeight="1" thickTop="1" x14ac:dyDescent="0.2">
      <c r="A78" s="1801"/>
      <c r="B78" s="1796"/>
      <c r="C78" s="1792"/>
      <c r="D78" s="1797" t="s">
        <v>2056</v>
      </c>
      <c r="E78" s="1794"/>
      <c r="F78" s="899">
        <v>5910.84</v>
      </c>
      <c r="G78" s="900"/>
      <c r="H78" s="870"/>
    </row>
    <row r="79" spans="1:8" s="894" customFormat="1" ht="12" customHeight="1" thickBot="1" x14ac:dyDescent="0.25">
      <c r="A79" s="1802"/>
      <c r="B79" s="1796"/>
      <c r="C79" s="1792"/>
      <c r="D79" s="1797" t="s">
        <v>2010</v>
      </c>
      <c r="E79" s="1794" t="s">
        <v>1015</v>
      </c>
      <c r="F79" s="1803">
        <f>IF(F78&gt;0,F77/F78," Complete Line 78")</f>
        <v>11331.582651535145</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58631</v>
      </c>
      <c r="G94" s="913"/>
    </row>
    <row r="95" spans="1:7" x14ac:dyDescent="0.2">
      <c r="A95" s="909" t="s">
        <v>142</v>
      </c>
      <c r="B95" s="909" t="s">
        <v>177</v>
      </c>
      <c r="C95" s="911">
        <v>1700</v>
      </c>
      <c r="D95" s="919" t="str">
        <f>'Revenues 9-14'!A82</f>
        <v>Total District/School Activity Income</v>
      </c>
      <c r="E95" s="907"/>
      <c r="F95" s="1809">
        <f>SUM('Revenues 9-14'!C82,'Revenues 9-14'!D82)</f>
        <v>175419</v>
      </c>
      <c r="G95" s="913"/>
    </row>
    <row r="96" spans="1:7" x14ac:dyDescent="0.2">
      <c r="A96" s="909" t="s">
        <v>479</v>
      </c>
      <c r="B96" s="909" t="s">
        <v>178</v>
      </c>
      <c r="C96" s="911">
        <f>'Revenues 9-14'!B84</f>
        <v>1811</v>
      </c>
      <c r="D96" s="912" t="str">
        <f>'Revenues 9-14'!A84</f>
        <v>Rentals - Regular Textbooks</v>
      </c>
      <c r="E96" s="907"/>
      <c r="F96" s="1809">
        <f>'Revenues 9-14'!C84</f>
        <v>113861</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680832</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275540</v>
      </c>
      <c r="G107" s="913"/>
    </row>
    <row r="108" spans="1:7" x14ac:dyDescent="0.2">
      <c r="A108" s="909" t="s">
        <v>479</v>
      </c>
      <c r="B108" s="909" t="s">
        <v>844</v>
      </c>
      <c r="C108" s="921">
        <f>'Revenues 9-14'!B145</f>
        <v>3360</v>
      </c>
      <c r="D108" s="912" t="str">
        <f>'Revenues 9-14'!A145</f>
        <v>State Free Lunch &amp; Breakfast</v>
      </c>
      <c r="E108" s="907"/>
      <c r="F108" s="1809">
        <f>'Revenues 9-14'!C145</f>
        <v>59363</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75955</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864310</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30095</v>
      </c>
      <c r="G125" s="931"/>
    </row>
    <row r="126" spans="1:7" x14ac:dyDescent="0.2">
      <c r="A126" s="928" t="s">
        <v>479</v>
      </c>
      <c r="B126" s="928" t="s">
        <v>856</v>
      </c>
      <c r="C126" s="933">
        <f>'Revenues 9-14'!B180</f>
        <v>4045</v>
      </c>
      <c r="D126" s="930" t="str">
        <f>'Revenues 9-14'!A180 &amp; " (Subtract)"</f>
        <v>Head Start (Subtract)</v>
      </c>
      <c r="E126" s="907"/>
      <c r="F126" s="1809">
        <f>SUM(-'Revenues 9-14'!C180)</f>
        <v>-2391694</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2391694</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3656344</v>
      </c>
      <c r="G129" s="931"/>
    </row>
    <row r="130" spans="1:7" x14ac:dyDescent="0.2">
      <c r="A130" s="928" t="s">
        <v>689</v>
      </c>
      <c r="B130" s="928" t="s">
        <v>804</v>
      </c>
      <c r="C130" s="933">
        <v>4300</v>
      </c>
      <c r="D130" s="934" t="str">
        <f>'Revenues 9-14'!A211</f>
        <v>Total Title I</v>
      </c>
      <c r="E130" s="907"/>
      <c r="F130" s="1809">
        <f>SUM('Revenues 9-14'!C211,'Revenues 9-14'!D211,'Revenues 9-14'!F211,'Revenues 9-14'!G211)</f>
        <v>2103233</v>
      </c>
      <c r="G130" s="931"/>
    </row>
    <row r="131" spans="1:7" x14ac:dyDescent="0.2">
      <c r="A131" s="928" t="s">
        <v>689</v>
      </c>
      <c r="B131" s="928" t="s">
        <v>805</v>
      </c>
      <c r="C131" s="933">
        <v>4400</v>
      </c>
      <c r="D131" s="934" t="str">
        <f>'Revenues 9-14'!A216</f>
        <v>Total Title IV</v>
      </c>
      <c r="E131" s="907"/>
      <c r="F131" s="1809">
        <f>SUM('Revenues 9-14'!C216,'Revenues 9-14'!D216,'Revenues 9-14'!F216,'Revenues 9-14'!G216)</f>
        <v>279936</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1347391</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6313</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68495</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301549</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148513</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364400</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1024571</v>
      </c>
      <c r="G174" s="928"/>
    </row>
    <row r="175" spans="1:7" x14ac:dyDescent="0.2">
      <c r="A175" s="1940" t="s">
        <v>5</v>
      </c>
      <c r="B175" s="1941" t="s">
        <v>2055</v>
      </c>
      <c r="C175" s="1942">
        <v>3100</v>
      </c>
      <c r="D175" s="1943" t="s">
        <v>2058</v>
      </c>
      <c r="E175" s="907"/>
      <c r="F175" s="1927"/>
      <c r="G175" s="928"/>
    </row>
    <row r="176" spans="1:7" x14ac:dyDescent="0.2">
      <c r="A176" s="1940" t="s">
        <v>685</v>
      </c>
      <c r="B176" s="1941" t="s">
        <v>2055</v>
      </c>
      <c r="C176" s="1942">
        <v>3300</v>
      </c>
      <c r="D176" s="1943" t="s">
        <v>2059</v>
      </c>
      <c r="E176" s="907"/>
      <c r="F176" s="1927"/>
      <c r="G176" s="928"/>
    </row>
    <row r="177" spans="1:7" ht="6" customHeight="1" x14ac:dyDescent="0.2">
      <c r="A177" s="928"/>
      <c r="B177" s="928"/>
      <c r="C177" s="950"/>
      <c r="D177" s="928"/>
      <c r="E177" s="907"/>
      <c r="F177" s="951"/>
      <c r="G177" s="948"/>
    </row>
    <row r="178" spans="1:7" x14ac:dyDescent="0.2">
      <c r="A178" s="1790"/>
      <c r="B178" s="1804"/>
      <c r="C178" s="1805"/>
      <c r="D178" s="1806" t="s">
        <v>2011</v>
      </c>
      <c r="E178" s="1807" t="s">
        <v>1015</v>
      </c>
      <c r="F178" s="1808">
        <f>SUM(F84:F136,F161:F176)</f>
        <v>11634751</v>
      </c>
    </row>
    <row r="179" spans="1:7" ht="12" customHeight="1" x14ac:dyDescent="0.2">
      <c r="A179" s="1790"/>
      <c r="B179" s="1804"/>
      <c r="C179" s="1805"/>
      <c r="D179" s="1806" t="s">
        <v>2012</v>
      </c>
      <c r="E179" s="1807"/>
      <c r="F179" s="1809">
        <f>'PCTC-OEPP 27-28'!F77-F178</f>
        <v>55344421</v>
      </c>
    </row>
    <row r="180" spans="1:7" ht="12" customHeight="1" x14ac:dyDescent="0.2">
      <c r="A180" s="1790"/>
      <c r="B180" s="1804"/>
      <c r="C180" s="1805"/>
      <c r="D180" s="1806" t="s">
        <v>1921</v>
      </c>
      <c r="E180" s="1807"/>
      <c r="F180" s="1809">
        <f>'Cap Outlay Deprec 26'!I18</f>
        <v>1599014</v>
      </c>
    </row>
    <row r="181" spans="1:7" ht="12" customHeight="1" x14ac:dyDescent="0.2">
      <c r="A181" s="1790"/>
      <c r="B181" s="1804"/>
      <c r="C181" s="1805"/>
      <c r="D181" s="1806" t="s">
        <v>2013</v>
      </c>
      <c r="E181" s="1807"/>
      <c r="F181" s="1809">
        <f>F179+F180</f>
        <v>56943435</v>
      </c>
    </row>
    <row r="182" spans="1:7" ht="12" customHeight="1" x14ac:dyDescent="0.2">
      <c r="A182" s="1790"/>
      <c r="B182" s="1810"/>
      <c r="C182" s="1805"/>
      <c r="D182" s="1806" t="str">
        <f>D78</f>
        <v>9 Month ADA from District Average Daily Attendance/Prior General State Aid Inquiry 2017-2018</v>
      </c>
      <c r="E182" s="1807"/>
      <c r="F182" s="1811">
        <f>'PCTC-OEPP 27-28'!F78</f>
        <v>5910.84</v>
      </c>
      <c r="G182" s="931"/>
    </row>
    <row r="183" spans="1:7" ht="12" customHeight="1" thickBot="1" x14ac:dyDescent="0.25">
      <c r="A183" s="1790"/>
      <c r="B183" s="1810"/>
      <c r="C183" s="1805"/>
      <c r="D183" s="1806" t="s">
        <v>2014</v>
      </c>
      <c r="E183" s="1807" t="s">
        <v>1626</v>
      </c>
      <c r="F183" s="1812">
        <f>F181/F182</f>
        <v>9633.729723694094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50"/>
      <c r="D188" s="931"/>
      <c r="E188" s="950"/>
      <c r="F188" s="931"/>
      <c r="G188" s="931"/>
    </row>
    <row r="189" spans="1:7" x14ac:dyDescent="0.2">
      <c r="A189" s="1948" t="s">
        <v>2061</v>
      </c>
      <c r="B189" s="194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23" activePane="bottomLeft" state="frozen"/>
      <selection activeCell="A2" sqref="A2"/>
      <selection pane="bottomLeft" activeCell="D122" sqref="D1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56" t="s">
        <v>1923</v>
      </c>
      <c r="B6" s="1557"/>
      <c r="C6" s="1557"/>
      <c r="D6" s="1557"/>
      <c r="E6" s="1557"/>
      <c r="F6" s="1557"/>
      <c r="G6" s="1558"/>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9" t="s">
        <v>1924</v>
      </c>
      <c r="B10" s="1560"/>
      <c r="C10" s="1560"/>
      <c r="D10" s="1560"/>
      <c r="E10" s="1560"/>
      <c r="F10" s="1560"/>
      <c r="G10" s="1561"/>
    </row>
    <row r="11" spans="1:7" ht="17.25" customHeight="1" x14ac:dyDescent="0.25">
      <c r="A11" s="2299" t="s">
        <v>1938</v>
      </c>
      <c r="B11" s="2300"/>
      <c r="C11" s="2300"/>
      <c r="D11" s="2300"/>
      <c r="E11" s="2300"/>
      <c r="F11" s="2300"/>
      <c r="G11" s="2301"/>
    </row>
    <row r="12" spans="1:7" ht="15" customHeight="1" x14ac:dyDescent="0.25">
      <c r="A12" s="1559" t="s">
        <v>1929</v>
      </c>
      <c r="B12" s="1560"/>
      <c r="C12" s="1560"/>
      <c r="D12" s="1560"/>
      <c r="E12" s="1560"/>
      <c r="F12" s="1560"/>
      <c r="G12" s="1561"/>
    </row>
    <row r="13" spans="1:7" ht="32.25" customHeight="1" x14ac:dyDescent="0.25">
      <c r="A13" s="2290" t="s">
        <v>1930</v>
      </c>
      <c r="B13" s="2291"/>
      <c r="C13" s="2291"/>
      <c r="D13" s="2291"/>
      <c r="E13" s="2291"/>
      <c r="F13" s="2291"/>
      <c r="G13" s="2292"/>
    </row>
    <row r="14" spans="1:7" x14ac:dyDescent="0.25">
      <c r="A14" s="1681" t="s">
        <v>1939</v>
      </c>
      <c r="B14" s="1682"/>
      <c r="C14" s="1682"/>
      <c r="D14" s="1682"/>
      <c r="E14" s="1682"/>
      <c r="F14" s="1682"/>
      <c r="G14" s="1683"/>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2184</v>
      </c>
      <c r="B17" s="1960" t="s">
        <v>2185</v>
      </c>
      <c r="C17" s="1961" t="s">
        <v>2186</v>
      </c>
      <c r="D17" s="1865">
        <v>3000</v>
      </c>
      <c r="E17" s="1562">
        <f t="shared" ref="E17:E141" si="1">IF(D17&lt;=25000,D17,IF(D17&gt;25000,25000,0))</f>
        <v>3000</v>
      </c>
      <c r="F17" s="1813">
        <f t="shared" si="0"/>
        <v>3000</v>
      </c>
      <c r="G17" s="1814">
        <f>IF(F17=0,0,D17-F17)</f>
        <v>0</v>
      </c>
      <c r="H17" s="1669"/>
    </row>
    <row r="18" spans="1:8" x14ac:dyDescent="0.25">
      <c r="A18" s="1959" t="s">
        <v>2187</v>
      </c>
      <c r="B18" s="1960" t="s">
        <v>2188</v>
      </c>
      <c r="C18" s="1961" t="s">
        <v>2189</v>
      </c>
      <c r="D18" s="1865">
        <v>1500</v>
      </c>
      <c r="E18" s="1562">
        <f t="shared" ref="E18:E140" si="2">IF(D18&lt;=25000,D18,IF(D18&gt;25000,25000,0))</f>
        <v>1500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1500</v>
      </c>
      <c r="G18" s="1814">
        <f t="shared" ref="G18:G140" si="4">IF(F18=0,0,D18-F18)</f>
        <v>0</v>
      </c>
    </row>
    <row r="19" spans="1:8" x14ac:dyDescent="0.25">
      <c r="A19" s="1959" t="s">
        <v>2187</v>
      </c>
      <c r="B19" s="1960" t="s">
        <v>2188</v>
      </c>
      <c r="C19" s="1961" t="s">
        <v>2190</v>
      </c>
      <c r="D19" s="1865">
        <v>3400</v>
      </c>
      <c r="E19" s="1562">
        <f t="shared" si="2"/>
        <v>3400</v>
      </c>
      <c r="F19" s="1813">
        <f t="shared" si="3"/>
        <v>3400</v>
      </c>
      <c r="G19" s="1814">
        <f t="shared" si="4"/>
        <v>0</v>
      </c>
    </row>
    <row r="20" spans="1:8" x14ac:dyDescent="0.25">
      <c r="A20" s="1959" t="s">
        <v>2187</v>
      </c>
      <c r="B20" s="1960" t="s">
        <v>2188</v>
      </c>
      <c r="C20" s="1961" t="s">
        <v>2191</v>
      </c>
      <c r="D20" s="1865">
        <v>4999</v>
      </c>
      <c r="E20" s="1562">
        <f t="shared" si="2"/>
        <v>4999</v>
      </c>
      <c r="F20" s="1813">
        <f t="shared" si="3"/>
        <v>4999</v>
      </c>
      <c r="G20" s="1814">
        <f t="shared" si="4"/>
        <v>0</v>
      </c>
    </row>
    <row r="21" spans="1:8" x14ac:dyDescent="0.25">
      <c r="A21" s="1959" t="s">
        <v>2187</v>
      </c>
      <c r="B21" s="1960" t="s">
        <v>2188</v>
      </c>
      <c r="C21" s="1961" t="s">
        <v>2192</v>
      </c>
      <c r="D21" s="1865">
        <v>2500</v>
      </c>
      <c r="E21" s="1562">
        <f t="shared" si="2"/>
        <v>2500</v>
      </c>
      <c r="F21" s="1813">
        <f t="shared" si="3"/>
        <v>2500</v>
      </c>
      <c r="G21" s="1814">
        <f t="shared" si="4"/>
        <v>0</v>
      </c>
    </row>
    <row r="22" spans="1:8" x14ac:dyDescent="0.25">
      <c r="A22" s="1959" t="s">
        <v>2193</v>
      </c>
      <c r="B22" s="1960" t="s">
        <v>2194</v>
      </c>
      <c r="C22" s="1961" t="s">
        <v>2195</v>
      </c>
      <c r="D22" s="1865">
        <v>300</v>
      </c>
      <c r="E22" s="1562">
        <f t="shared" si="2"/>
        <v>300</v>
      </c>
      <c r="F22" s="1813">
        <f t="shared" si="3"/>
        <v>300</v>
      </c>
      <c r="G22" s="1814">
        <f t="shared" si="4"/>
        <v>0</v>
      </c>
    </row>
    <row r="23" spans="1:8" x14ac:dyDescent="0.25">
      <c r="A23" s="1959" t="s">
        <v>2187</v>
      </c>
      <c r="B23" s="1960" t="s">
        <v>2188</v>
      </c>
      <c r="C23" s="1961" t="s">
        <v>2192</v>
      </c>
      <c r="D23" s="1865">
        <v>2500</v>
      </c>
      <c r="E23" s="1562">
        <f t="shared" si="2"/>
        <v>2500</v>
      </c>
      <c r="F23" s="1813">
        <f t="shared" si="3"/>
        <v>2500</v>
      </c>
      <c r="G23" s="1814">
        <f t="shared" si="4"/>
        <v>0</v>
      </c>
    </row>
    <row r="24" spans="1:8" x14ac:dyDescent="0.25">
      <c r="A24" s="1959" t="s">
        <v>2193</v>
      </c>
      <c r="B24" s="1960" t="s">
        <v>2194</v>
      </c>
      <c r="C24" s="1961" t="s">
        <v>2196</v>
      </c>
      <c r="D24" s="1865">
        <v>2000</v>
      </c>
      <c r="E24" s="1562">
        <f t="shared" si="2"/>
        <v>2000</v>
      </c>
      <c r="F24" s="1813">
        <f t="shared" si="3"/>
        <v>2000</v>
      </c>
      <c r="G24" s="1814">
        <f t="shared" si="4"/>
        <v>0</v>
      </c>
    </row>
    <row r="25" spans="1:8" x14ac:dyDescent="0.25">
      <c r="A25" s="1959" t="s">
        <v>2184</v>
      </c>
      <c r="B25" s="1960" t="s">
        <v>2185</v>
      </c>
      <c r="C25" s="1961" t="s">
        <v>2197</v>
      </c>
      <c r="D25" s="1865">
        <v>2450</v>
      </c>
      <c r="E25" s="1562">
        <f t="shared" si="2"/>
        <v>2450</v>
      </c>
      <c r="F25" s="1813">
        <f t="shared" si="3"/>
        <v>2450</v>
      </c>
      <c r="G25" s="1814">
        <f t="shared" si="4"/>
        <v>0</v>
      </c>
    </row>
    <row r="26" spans="1:8" x14ac:dyDescent="0.25">
      <c r="A26" s="1959" t="s">
        <v>2187</v>
      </c>
      <c r="B26" s="1960" t="s">
        <v>2188</v>
      </c>
      <c r="C26" s="1961" t="s">
        <v>2198</v>
      </c>
      <c r="D26" s="1865">
        <v>2500</v>
      </c>
      <c r="E26" s="1562">
        <f t="shared" si="2"/>
        <v>2500</v>
      </c>
      <c r="F26" s="1813">
        <f t="shared" si="3"/>
        <v>2500</v>
      </c>
      <c r="G26" s="1814">
        <f t="shared" si="4"/>
        <v>0</v>
      </c>
    </row>
    <row r="27" spans="1:8" x14ac:dyDescent="0.25">
      <c r="A27" s="1959" t="s">
        <v>2184</v>
      </c>
      <c r="B27" s="1960" t="s">
        <v>2185</v>
      </c>
      <c r="C27" s="1961" t="s">
        <v>2199</v>
      </c>
      <c r="D27" s="1865">
        <v>1900</v>
      </c>
      <c r="E27" s="1562">
        <f t="shared" si="2"/>
        <v>1900</v>
      </c>
      <c r="F27" s="1813">
        <f t="shared" si="3"/>
        <v>1900</v>
      </c>
      <c r="G27" s="1814">
        <f t="shared" si="4"/>
        <v>0</v>
      </c>
    </row>
    <row r="28" spans="1:8" x14ac:dyDescent="0.25">
      <c r="A28" s="1959" t="s">
        <v>2184</v>
      </c>
      <c r="B28" s="1960" t="s">
        <v>2185</v>
      </c>
      <c r="C28" s="1961" t="s">
        <v>2200</v>
      </c>
      <c r="D28" s="1865">
        <v>3208</v>
      </c>
      <c r="E28" s="1562">
        <f t="shared" si="2"/>
        <v>3208</v>
      </c>
      <c r="F28" s="1813">
        <f t="shared" si="3"/>
        <v>3208</v>
      </c>
      <c r="G28" s="1814">
        <f t="shared" si="4"/>
        <v>0</v>
      </c>
    </row>
    <row r="29" spans="1:8" x14ac:dyDescent="0.25">
      <c r="A29" s="1959" t="s">
        <v>2187</v>
      </c>
      <c r="B29" s="1960" t="s">
        <v>2188</v>
      </c>
      <c r="C29" s="1961" t="s">
        <v>2201</v>
      </c>
      <c r="D29" s="1865">
        <v>53550</v>
      </c>
      <c r="E29" s="1562">
        <f t="shared" si="2"/>
        <v>25000</v>
      </c>
      <c r="F29" s="1813">
        <f t="shared" si="3"/>
        <v>25000</v>
      </c>
      <c r="G29" s="1814">
        <f t="shared" si="4"/>
        <v>28550</v>
      </c>
    </row>
    <row r="30" spans="1:8" x14ac:dyDescent="0.25">
      <c r="A30" s="1959" t="s">
        <v>2187</v>
      </c>
      <c r="B30" s="1960" t="s">
        <v>2188</v>
      </c>
      <c r="C30" s="1961" t="s">
        <v>2202</v>
      </c>
      <c r="D30" s="1865">
        <v>2999</v>
      </c>
      <c r="E30" s="1562">
        <f t="shared" si="2"/>
        <v>2999</v>
      </c>
      <c r="F30" s="1813">
        <f t="shared" si="3"/>
        <v>2999</v>
      </c>
      <c r="G30" s="1814">
        <f t="shared" si="4"/>
        <v>0</v>
      </c>
    </row>
    <row r="31" spans="1:8" x14ac:dyDescent="0.25">
      <c r="A31" s="1959" t="s">
        <v>2187</v>
      </c>
      <c r="B31" s="1960" t="s">
        <v>2188</v>
      </c>
      <c r="C31" s="1961" t="s">
        <v>2203</v>
      </c>
      <c r="D31" s="1865">
        <v>16800</v>
      </c>
      <c r="E31" s="1562">
        <f t="shared" si="2"/>
        <v>16800</v>
      </c>
      <c r="F31" s="1813">
        <f t="shared" si="3"/>
        <v>16800</v>
      </c>
      <c r="G31" s="1814">
        <f t="shared" si="4"/>
        <v>0</v>
      </c>
    </row>
    <row r="32" spans="1:8" x14ac:dyDescent="0.25">
      <c r="A32" s="1959" t="s">
        <v>2184</v>
      </c>
      <c r="B32" s="1960" t="s">
        <v>2185</v>
      </c>
      <c r="C32" s="1961" t="s">
        <v>2204</v>
      </c>
      <c r="D32" s="1865">
        <v>1130</v>
      </c>
      <c r="E32" s="1562">
        <f t="shared" si="2"/>
        <v>1130</v>
      </c>
      <c r="F32" s="1813">
        <f t="shared" si="3"/>
        <v>1130</v>
      </c>
      <c r="G32" s="1814">
        <f t="shared" si="4"/>
        <v>0</v>
      </c>
    </row>
    <row r="33" spans="1:7" x14ac:dyDescent="0.25">
      <c r="A33" s="1959" t="s">
        <v>2184</v>
      </c>
      <c r="B33" s="1960" t="s">
        <v>2185</v>
      </c>
      <c r="C33" s="1961" t="s">
        <v>2205</v>
      </c>
      <c r="D33" s="1865">
        <v>550</v>
      </c>
      <c r="E33" s="1562">
        <f t="shared" si="2"/>
        <v>550</v>
      </c>
      <c r="F33" s="1813">
        <f t="shared" si="3"/>
        <v>550</v>
      </c>
      <c r="G33" s="1814">
        <f t="shared" si="4"/>
        <v>0</v>
      </c>
    </row>
    <row r="34" spans="1:7" x14ac:dyDescent="0.25">
      <c r="A34" s="1959" t="s">
        <v>2206</v>
      </c>
      <c r="B34" s="1960" t="s">
        <v>2207</v>
      </c>
      <c r="C34" s="1961" t="s">
        <v>2208</v>
      </c>
      <c r="D34" s="1865">
        <v>6637</v>
      </c>
      <c r="E34" s="1562">
        <f t="shared" si="2"/>
        <v>6637</v>
      </c>
      <c r="F34" s="1813">
        <f t="shared" si="3"/>
        <v>6637</v>
      </c>
      <c r="G34" s="1814">
        <f t="shared" si="4"/>
        <v>0</v>
      </c>
    </row>
    <row r="35" spans="1:7" x14ac:dyDescent="0.25">
      <c r="A35" s="1959" t="s">
        <v>2184</v>
      </c>
      <c r="B35" s="1960" t="s">
        <v>2185</v>
      </c>
      <c r="C35" s="1961" t="s">
        <v>2209</v>
      </c>
      <c r="D35" s="1865">
        <v>400</v>
      </c>
      <c r="E35" s="1562">
        <f t="shared" si="2"/>
        <v>400</v>
      </c>
      <c r="F35" s="1813">
        <f t="shared" si="3"/>
        <v>400</v>
      </c>
      <c r="G35" s="1814">
        <f t="shared" si="4"/>
        <v>0</v>
      </c>
    </row>
    <row r="36" spans="1:7" x14ac:dyDescent="0.25">
      <c r="A36" s="1959" t="s">
        <v>2184</v>
      </c>
      <c r="B36" s="1960" t="s">
        <v>2185</v>
      </c>
      <c r="C36" s="1961" t="s">
        <v>2210</v>
      </c>
      <c r="D36" s="1865">
        <v>6000</v>
      </c>
      <c r="E36" s="1562">
        <f t="shared" si="2"/>
        <v>6000</v>
      </c>
      <c r="F36" s="1813">
        <f t="shared" si="3"/>
        <v>6000</v>
      </c>
      <c r="G36" s="1814">
        <f t="shared" si="4"/>
        <v>0</v>
      </c>
    </row>
    <row r="37" spans="1:7" x14ac:dyDescent="0.25">
      <c r="A37" s="1959" t="s">
        <v>2184</v>
      </c>
      <c r="B37" s="1960" t="s">
        <v>2185</v>
      </c>
      <c r="C37" s="1961" t="s">
        <v>2211</v>
      </c>
      <c r="D37" s="1865">
        <v>1800</v>
      </c>
      <c r="E37" s="1562">
        <f t="shared" si="2"/>
        <v>1800</v>
      </c>
      <c r="F37" s="1813">
        <f t="shared" si="3"/>
        <v>1800</v>
      </c>
      <c r="G37" s="1814">
        <f t="shared" si="4"/>
        <v>0</v>
      </c>
    </row>
    <row r="38" spans="1:7" x14ac:dyDescent="0.25">
      <c r="A38" s="1959" t="s">
        <v>2184</v>
      </c>
      <c r="B38" s="1962" t="s">
        <v>2185</v>
      </c>
      <c r="C38" s="1961" t="s">
        <v>2212</v>
      </c>
      <c r="D38" s="1865">
        <v>1010</v>
      </c>
      <c r="E38" s="1562">
        <f t="shared" si="2"/>
        <v>1010</v>
      </c>
      <c r="F38" s="1813">
        <f t="shared" si="3"/>
        <v>1010</v>
      </c>
      <c r="G38" s="1814">
        <f t="shared" si="4"/>
        <v>0</v>
      </c>
    </row>
    <row r="39" spans="1:7" x14ac:dyDescent="0.25">
      <c r="A39" s="1959" t="s">
        <v>2187</v>
      </c>
      <c r="B39" s="1962" t="s">
        <v>2188</v>
      </c>
      <c r="C39" s="1961" t="s">
        <v>2213</v>
      </c>
      <c r="D39" s="1865">
        <v>2085</v>
      </c>
      <c r="E39" s="1562">
        <f t="shared" si="2"/>
        <v>2085</v>
      </c>
      <c r="F39" s="1813">
        <f t="shared" si="3"/>
        <v>2085</v>
      </c>
      <c r="G39" s="1814">
        <f t="shared" si="4"/>
        <v>0</v>
      </c>
    </row>
    <row r="40" spans="1:7" x14ac:dyDescent="0.25">
      <c r="A40" s="1959" t="s">
        <v>2187</v>
      </c>
      <c r="B40" s="1962" t="s">
        <v>2188</v>
      </c>
      <c r="C40" s="1961" t="s">
        <v>2214</v>
      </c>
      <c r="D40" s="1865">
        <v>3900</v>
      </c>
      <c r="E40" s="1562">
        <f t="shared" si="2"/>
        <v>3900</v>
      </c>
      <c r="F40" s="1813">
        <f t="shared" si="3"/>
        <v>3900</v>
      </c>
      <c r="G40" s="1814">
        <f t="shared" si="4"/>
        <v>0</v>
      </c>
    </row>
    <row r="41" spans="1:7" x14ac:dyDescent="0.25">
      <c r="A41" s="1959" t="s">
        <v>2187</v>
      </c>
      <c r="B41" s="1962" t="s">
        <v>2188</v>
      </c>
      <c r="C41" s="1961" t="s">
        <v>2215</v>
      </c>
      <c r="D41" s="1865">
        <v>2500</v>
      </c>
      <c r="E41" s="1562">
        <f t="shared" si="2"/>
        <v>2500</v>
      </c>
      <c r="F41" s="1813">
        <f t="shared" si="3"/>
        <v>2500</v>
      </c>
      <c r="G41" s="1814">
        <f t="shared" si="4"/>
        <v>0</v>
      </c>
    </row>
    <row r="42" spans="1:7" x14ac:dyDescent="0.25">
      <c r="A42" s="1959" t="s">
        <v>2187</v>
      </c>
      <c r="B42" s="1962" t="s">
        <v>2188</v>
      </c>
      <c r="C42" s="1961" t="s">
        <v>2216</v>
      </c>
      <c r="D42" s="1865">
        <v>3700</v>
      </c>
      <c r="E42" s="1562">
        <f t="shared" si="2"/>
        <v>3700</v>
      </c>
      <c r="F42" s="1813">
        <f t="shared" si="3"/>
        <v>3700</v>
      </c>
      <c r="G42" s="1814">
        <f t="shared" si="4"/>
        <v>0</v>
      </c>
    </row>
    <row r="43" spans="1:7" x14ac:dyDescent="0.25">
      <c r="A43" s="1959" t="s">
        <v>2184</v>
      </c>
      <c r="B43" s="1962" t="s">
        <v>2185</v>
      </c>
      <c r="C43" s="1961" t="s">
        <v>2217</v>
      </c>
      <c r="D43" s="1865">
        <v>7547</v>
      </c>
      <c r="E43" s="1562">
        <f t="shared" si="2"/>
        <v>7547</v>
      </c>
      <c r="F43" s="1813">
        <f t="shared" si="3"/>
        <v>7547</v>
      </c>
      <c r="G43" s="1814">
        <f t="shared" si="4"/>
        <v>0</v>
      </c>
    </row>
    <row r="44" spans="1:7" x14ac:dyDescent="0.25">
      <c r="A44" s="1959" t="s">
        <v>2184</v>
      </c>
      <c r="B44" s="1962" t="s">
        <v>2185</v>
      </c>
      <c r="C44" s="1961" t="s">
        <v>2218</v>
      </c>
      <c r="D44" s="1865">
        <v>750</v>
      </c>
      <c r="E44" s="1562">
        <f t="shared" si="2"/>
        <v>750</v>
      </c>
      <c r="F44" s="1813">
        <f t="shared" si="3"/>
        <v>750</v>
      </c>
      <c r="G44" s="1814">
        <f t="shared" si="4"/>
        <v>0</v>
      </c>
    </row>
    <row r="45" spans="1:7" x14ac:dyDescent="0.25">
      <c r="A45" s="1959" t="s">
        <v>2184</v>
      </c>
      <c r="B45" s="1962" t="s">
        <v>2185</v>
      </c>
      <c r="C45" s="1961" t="s">
        <v>2219</v>
      </c>
      <c r="D45" s="1865">
        <v>1000</v>
      </c>
      <c r="E45" s="1562">
        <f t="shared" si="2"/>
        <v>1000</v>
      </c>
      <c r="F45" s="1813">
        <f t="shared" si="3"/>
        <v>1000</v>
      </c>
      <c r="G45" s="1814">
        <f t="shared" si="4"/>
        <v>0</v>
      </c>
    </row>
    <row r="46" spans="1:7" x14ac:dyDescent="0.25">
      <c r="A46" s="1959" t="s">
        <v>2184</v>
      </c>
      <c r="B46" s="1962" t="s">
        <v>2185</v>
      </c>
      <c r="C46" s="1961" t="s">
        <v>2220</v>
      </c>
      <c r="D46" s="1865">
        <v>5800</v>
      </c>
      <c r="E46" s="1562">
        <f t="shared" si="2"/>
        <v>5800</v>
      </c>
      <c r="F46" s="1813">
        <f t="shared" si="3"/>
        <v>5800</v>
      </c>
      <c r="G46" s="1814">
        <f t="shared" si="4"/>
        <v>0</v>
      </c>
    </row>
    <row r="47" spans="1:7" x14ac:dyDescent="0.25">
      <c r="A47" s="1959" t="s">
        <v>2184</v>
      </c>
      <c r="B47" s="1962" t="s">
        <v>2185</v>
      </c>
      <c r="C47" s="1961" t="s">
        <v>2221</v>
      </c>
      <c r="D47" s="1865">
        <v>4800</v>
      </c>
      <c r="E47" s="1562">
        <f t="shared" si="2"/>
        <v>4800</v>
      </c>
      <c r="F47" s="1813">
        <f t="shared" si="3"/>
        <v>4800</v>
      </c>
      <c r="G47" s="1814">
        <f t="shared" si="4"/>
        <v>0</v>
      </c>
    </row>
    <row r="48" spans="1:7" x14ac:dyDescent="0.25">
      <c r="A48" s="1959" t="s">
        <v>2193</v>
      </c>
      <c r="B48" s="1962" t="s">
        <v>2194</v>
      </c>
      <c r="C48" s="1961" t="s">
        <v>2222</v>
      </c>
      <c r="D48" s="1865">
        <v>1500</v>
      </c>
      <c r="E48" s="1562">
        <f t="shared" si="2"/>
        <v>1500</v>
      </c>
      <c r="F48" s="1813">
        <f t="shared" si="3"/>
        <v>1500</v>
      </c>
      <c r="G48" s="1814">
        <f t="shared" si="4"/>
        <v>0</v>
      </c>
    </row>
    <row r="49" spans="1:7" x14ac:dyDescent="0.25">
      <c r="A49" s="1959" t="s">
        <v>2184</v>
      </c>
      <c r="B49" s="1962" t="s">
        <v>2185</v>
      </c>
      <c r="C49" s="1961" t="s">
        <v>2222</v>
      </c>
      <c r="D49" s="1865">
        <v>22750</v>
      </c>
      <c r="E49" s="1562">
        <f t="shared" si="2"/>
        <v>22750</v>
      </c>
      <c r="F49" s="1813">
        <f t="shared" si="3"/>
        <v>22750</v>
      </c>
      <c r="G49" s="1814">
        <f t="shared" si="4"/>
        <v>0</v>
      </c>
    </row>
    <row r="50" spans="1:7" x14ac:dyDescent="0.25">
      <c r="A50" s="1959" t="s">
        <v>2184</v>
      </c>
      <c r="B50" s="1962" t="s">
        <v>2185</v>
      </c>
      <c r="C50" s="1961" t="s">
        <v>2223</v>
      </c>
      <c r="D50" s="1865">
        <v>1750</v>
      </c>
      <c r="E50" s="1562">
        <f t="shared" si="2"/>
        <v>1750</v>
      </c>
      <c r="F50" s="1813">
        <f t="shared" si="3"/>
        <v>1750</v>
      </c>
      <c r="G50" s="1814">
        <f t="shared" si="4"/>
        <v>0</v>
      </c>
    </row>
    <row r="51" spans="1:7" x14ac:dyDescent="0.25">
      <c r="A51" s="1959" t="s">
        <v>2184</v>
      </c>
      <c r="B51" s="1962" t="s">
        <v>2185</v>
      </c>
      <c r="C51" s="1961" t="s">
        <v>2224</v>
      </c>
      <c r="D51" s="1865">
        <v>4500</v>
      </c>
      <c r="E51" s="1562">
        <f t="shared" si="2"/>
        <v>4500</v>
      </c>
      <c r="F51" s="1813">
        <f t="shared" si="3"/>
        <v>4500</v>
      </c>
      <c r="G51" s="1814">
        <f t="shared" si="4"/>
        <v>0</v>
      </c>
    </row>
    <row r="52" spans="1:7" x14ac:dyDescent="0.25">
      <c r="A52" s="1959" t="s">
        <v>2187</v>
      </c>
      <c r="B52" s="1962" t="s">
        <v>2188</v>
      </c>
      <c r="C52" s="1961" t="s">
        <v>2225</v>
      </c>
      <c r="D52" s="1865">
        <v>24693</v>
      </c>
      <c r="E52" s="1562">
        <f t="shared" si="2"/>
        <v>24693</v>
      </c>
      <c r="F52" s="1813">
        <f t="shared" si="3"/>
        <v>24693</v>
      </c>
      <c r="G52" s="1814">
        <f t="shared" si="4"/>
        <v>0</v>
      </c>
    </row>
    <row r="53" spans="1:7" x14ac:dyDescent="0.25">
      <c r="A53" s="1959" t="s">
        <v>2226</v>
      </c>
      <c r="B53" s="1962" t="s">
        <v>2227</v>
      </c>
      <c r="C53" s="1961" t="s">
        <v>2228</v>
      </c>
      <c r="D53" s="1865">
        <v>450</v>
      </c>
      <c r="E53" s="1562">
        <f t="shared" si="2"/>
        <v>450</v>
      </c>
      <c r="F53" s="1813">
        <f t="shared" si="3"/>
        <v>450</v>
      </c>
      <c r="G53" s="1814">
        <f t="shared" si="4"/>
        <v>0</v>
      </c>
    </row>
    <row r="54" spans="1:7" x14ac:dyDescent="0.25">
      <c r="A54" s="1959" t="s">
        <v>2184</v>
      </c>
      <c r="B54" s="1962" t="s">
        <v>2185</v>
      </c>
      <c r="C54" s="1961" t="s">
        <v>2229</v>
      </c>
      <c r="D54" s="1865">
        <v>195637</v>
      </c>
      <c r="E54" s="1562">
        <f t="shared" si="2"/>
        <v>25000</v>
      </c>
      <c r="F54" s="1813">
        <f t="shared" si="3"/>
        <v>25000</v>
      </c>
      <c r="G54" s="1814">
        <f t="shared" si="4"/>
        <v>170637</v>
      </c>
    </row>
    <row r="55" spans="1:7" x14ac:dyDescent="0.25">
      <c r="A55" s="1959" t="s">
        <v>2193</v>
      </c>
      <c r="B55" s="1962" t="s">
        <v>2194</v>
      </c>
      <c r="C55" s="1961" t="s">
        <v>2229</v>
      </c>
      <c r="D55" s="1865">
        <v>12000</v>
      </c>
      <c r="E55" s="1562">
        <f t="shared" si="2"/>
        <v>12000</v>
      </c>
      <c r="F55" s="1813">
        <f t="shared" si="3"/>
        <v>12000</v>
      </c>
      <c r="G55" s="1814">
        <f t="shared" si="4"/>
        <v>0</v>
      </c>
    </row>
    <row r="56" spans="1:7" x14ac:dyDescent="0.25">
      <c r="A56" s="1959" t="s">
        <v>2187</v>
      </c>
      <c r="B56" s="1962" t="s">
        <v>2188</v>
      </c>
      <c r="C56" s="1961" t="s">
        <v>2230</v>
      </c>
      <c r="D56" s="1865">
        <v>3850</v>
      </c>
      <c r="E56" s="1562">
        <f t="shared" si="2"/>
        <v>3850</v>
      </c>
      <c r="F56" s="1813">
        <f t="shared" si="3"/>
        <v>3850</v>
      </c>
      <c r="G56" s="1814">
        <f t="shared" si="4"/>
        <v>0</v>
      </c>
    </row>
    <row r="57" spans="1:7" x14ac:dyDescent="0.25">
      <c r="A57" s="1959" t="s">
        <v>2231</v>
      </c>
      <c r="B57" s="1962" t="s">
        <v>2232</v>
      </c>
      <c r="C57" s="1961" t="s">
        <v>2233</v>
      </c>
      <c r="D57" s="1865">
        <v>89937</v>
      </c>
      <c r="E57" s="1562">
        <f t="shared" si="2"/>
        <v>25000</v>
      </c>
      <c r="F57" s="1813">
        <f t="shared" si="3"/>
        <v>25000</v>
      </c>
      <c r="G57" s="1814">
        <f t="shared" si="4"/>
        <v>64937</v>
      </c>
    </row>
    <row r="58" spans="1:7" x14ac:dyDescent="0.25">
      <c r="A58" s="1959" t="s">
        <v>2184</v>
      </c>
      <c r="B58" s="1962" t="s">
        <v>2185</v>
      </c>
      <c r="C58" s="1961" t="s">
        <v>2234</v>
      </c>
      <c r="D58" s="1865">
        <v>200</v>
      </c>
      <c r="E58" s="1562">
        <f t="shared" si="2"/>
        <v>200</v>
      </c>
      <c r="F58" s="1813">
        <f t="shared" si="3"/>
        <v>200</v>
      </c>
      <c r="G58" s="1814">
        <f t="shared" si="4"/>
        <v>0</v>
      </c>
    </row>
    <row r="59" spans="1:7" x14ac:dyDescent="0.25">
      <c r="A59" s="1959" t="s">
        <v>2226</v>
      </c>
      <c r="B59" s="1962" t="s">
        <v>2227</v>
      </c>
      <c r="C59" s="1961" t="s">
        <v>2084</v>
      </c>
      <c r="D59" s="1865">
        <v>47000</v>
      </c>
      <c r="E59" s="1562">
        <f t="shared" si="2"/>
        <v>25000</v>
      </c>
      <c r="F59" s="1813">
        <f t="shared" si="3"/>
        <v>25000</v>
      </c>
      <c r="G59" s="1814">
        <f t="shared" si="4"/>
        <v>22000</v>
      </c>
    </row>
    <row r="60" spans="1:7" x14ac:dyDescent="0.25">
      <c r="A60" s="1959" t="s">
        <v>2226</v>
      </c>
      <c r="B60" s="1962" t="s">
        <v>2227</v>
      </c>
      <c r="C60" s="1961" t="s">
        <v>2235</v>
      </c>
      <c r="D60" s="1865">
        <v>137750</v>
      </c>
      <c r="E60" s="1562">
        <f t="shared" si="2"/>
        <v>25000</v>
      </c>
      <c r="F60" s="1813">
        <f t="shared" si="3"/>
        <v>25000</v>
      </c>
      <c r="G60" s="1814">
        <f t="shared" si="4"/>
        <v>112750</v>
      </c>
    </row>
    <row r="61" spans="1:7" x14ac:dyDescent="0.25">
      <c r="A61" s="1959" t="s">
        <v>2236</v>
      </c>
      <c r="B61" s="1962" t="s">
        <v>2237</v>
      </c>
      <c r="C61" s="1961" t="s">
        <v>2238</v>
      </c>
      <c r="D61" s="1865">
        <v>10432</v>
      </c>
      <c r="E61" s="1562">
        <f t="shared" si="2"/>
        <v>10432</v>
      </c>
      <c r="F61" s="1813">
        <f t="shared" si="3"/>
        <v>10432</v>
      </c>
      <c r="G61" s="1814">
        <f t="shared" si="4"/>
        <v>0</v>
      </c>
    </row>
    <row r="62" spans="1:7" x14ac:dyDescent="0.25">
      <c r="A62" s="1959" t="s">
        <v>2239</v>
      </c>
      <c r="B62" s="1962" t="s">
        <v>2240</v>
      </c>
      <c r="C62" s="1961" t="s">
        <v>2241</v>
      </c>
      <c r="D62" s="1865">
        <v>16700</v>
      </c>
      <c r="E62" s="1562">
        <f t="shared" si="2"/>
        <v>16700</v>
      </c>
      <c r="F62" s="1813">
        <f t="shared" si="3"/>
        <v>16700</v>
      </c>
      <c r="G62" s="1814">
        <f t="shared" si="4"/>
        <v>0</v>
      </c>
    </row>
    <row r="63" spans="1:7" x14ac:dyDescent="0.25">
      <c r="A63" s="1959" t="s">
        <v>2239</v>
      </c>
      <c r="B63" s="1962" t="s">
        <v>2240</v>
      </c>
      <c r="C63" s="1961" t="s">
        <v>2235</v>
      </c>
      <c r="D63" s="1865">
        <v>20000</v>
      </c>
      <c r="E63" s="1562">
        <f t="shared" si="2"/>
        <v>20000</v>
      </c>
      <c r="F63" s="1813">
        <f t="shared" si="3"/>
        <v>20000</v>
      </c>
      <c r="G63" s="1814">
        <f t="shared" si="4"/>
        <v>0</v>
      </c>
    </row>
    <row r="64" spans="1:7" x14ac:dyDescent="0.25">
      <c r="A64" s="1959" t="s">
        <v>2239</v>
      </c>
      <c r="B64" s="1962" t="s">
        <v>2240</v>
      </c>
      <c r="C64" s="1961" t="s">
        <v>2242</v>
      </c>
      <c r="D64" s="1865">
        <v>11562</v>
      </c>
      <c r="E64" s="1562">
        <f t="shared" si="2"/>
        <v>11562</v>
      </c>
      <c r="F64" s="1813">
        <f t="shared" si="3"/>
        <v>11562</v>
      </c>
      <c r="G64" s="1814">
        <f t="shared" si="4"/>
        <v>0</v>
      </c>
    </row>
    <row r="65" spans="1:7" x14ac:dyDescent="0.25">
      <c r="A65" s="1959" t="s">
        <v>2239</v>
      </c>
      <c r="B65" s="1962" t="s">
        <v>2240</v>
      </c>
      <c r="C65" s="1961" t="s">
        <v>2243</v>
      </c>
      <c r="D65" s="1865">
        <v>1388</v>
      </c>
      <c r="E65" s="1562">
        <f t="shared" si="2"/>
        <v>1388</v>
      </c>
      <c r="F65" s="1813">
        <f t="shared" si="3"/>
        <v>1388</v>
      </c>
      <c r="G65" s="1814">
        <f t="shared" si="4"/>
        <v>0</v>
      </c>
    </row>
    <row r="66" spans="1:7" x14ac:dyDescent="0.25">
      <c r="A66" s="1959" t="s">
        <v>2184</v>
      </c>
      <c r="B66" s="1962" t="s">
        <v>2185</v>
      </c>
      <c r="C66" s="1961" t="s">
        <v>2244</v>
      </c>
      <c r="D66" s="1865">
        <v>7976</v>
      </c>
      <c r="E66" s="1562">
        <f t="shared" si="2"/>
        <v>7976</v>
      </c>
      <c r="F66" s="1813">
        <f t="shared" si="3"/>
        <v>7976</v>
      </c>
      <c r="G66" s="1814">
        <f t="shared" si="4"/>
        <v>0</v>
      </c>
    </row>
    <row r="67" spans="1:7" x14ac:dyDescent="0.25">
      <c r="A67" s="1959" t="s">
        <v>2231</v>
      </c>
      <c r="B67" s="1962" t="s">
        <v>2232</v>
      </c>
      <c r="C67" s="1961" t="s">
        <v>2245</v>
      </c>
      <c r="D67" s="1865">
        <v>76979</v>
      </c>
      <c r="E67" s="1562">
        <f t="shared" si="2"/>
        <v>25000</v>
      </c>
      <c r="F67" s="1813">
        <f t="shared" si="3"/>
        <v>25000</v>
      </c>
      <c r="G67" s="1814">
        <f t="shared" si="4"/>
        <v>51979</v>
      </c>
    </row>
    <row r="68" spans="1:7" x14ac:dyDescent="0.25">
      <c r="A68" s="1959" t="s">
        <v>2246</v>
      </c>
      <c r="B68" s="1962" t="s">
        <v>2247</v>
      </c>
      <c r="C68" s="1961" t="s">
        <v>2248</v>
      </c>
      <c r="D68" s="1865">
        <v>4000</v>
      </c>
      <c r="E68" s="1562">
        <f t="shared" si="2"/>
        <v>4000</v>
      </c>
      <c r="F68" s="1813">
        <f t="shared" si="3"/>
        <v>4000</v>
      </c>
      <c r="G68" s="1814">
        <f t="shared" si="4"/>
        <v>0</v>
      </c>
    </row>
    <row r="69" spans="1:7" x14ac:dyDescent="0.25">
      <c r="A69" s="1959" t="s">
        <v>2246</v>
      </c>
      <c r="B69" s="1962" t="s">
        <v>2247</v>
      </c>
      <c r="C69" s="1961" t="s">
        <v>2249</v>
      </c>
      <c r="D69" s="1865">
        <v>59940</v>
      </c>
      <c r="E69" s="1562">
        <f t="shared" si="2"/>
        <v>25000</v>
      </c>
      <c r="F69" s="1813">
        <f t="shared" si="3"/>
        <v>25000</v>
      </c>
      <c r="G69" s="1814">
        <f t="shared" si="4"/>
        <v>34940</v>
      </c>
    </row>
    <row r="70" spans="1:7" x14ac:dyDescent="0.25">
      <c r="A70" s="1959" t="s">
        <v>2246</v>
      </c>
      <c r="B70" s="1962" t="s">
        <v>2247</v>
      </c>
      <c r="C70" s="1961" t="s">
        <v>2250</v>
      </c>
      <c r="D70" s="1865">
        <v>6500</v>
      </c>
      <c r="E70" s="1562">
        <f t="shared" si="2"/>
        <v>6500</v>
      </c>
      <c r="F70" s="1813">
        <f t="shared" si="3"/>
        <v>6500</v>
      </c>
      <c r="G70" s="1814">
        <f t="shared" si="4"/>
        <v>0</v>
      </c>
    </row>
    <row r="71" spans="1:7" x14ac:dyDescent="0.25">
      <c r="A71" s="1959" t="s">
        <v>2246</v>
      </c>
      <c r="B71" s="1962" t="s">
        <v>2247</v>
      </c>
      <c r="C71" s="1961" t="s">
        <v>2251</v>
      </c>
      <c r="D71" s="1865">
        <v>7800</v>
      </c>
      <c r="E71" s="1562">
        <f t="shared" si="2"/>
        <v>7800</v>
      </c>
      <c r="F71" s="1813">
        <f t="shared" si="3"/>
        <v>7800</v>
      </c>
      <c r="G71" s="1814">
        <f t="shared" si="4"/>
        <v>0</v>
      </c>
    </row>
    <row r="72" spans="1:7" x14ac:dyDescent="0.25">
      <c r="A72" s="1959" t="s">
        <v>2246</v>
      </c>
      <c r="B72" s="1962" t="s">
        <v>2247</v>
      </c>
      <c r="C72" s="1961" t="s">
        <v>2252</v>
      </c>
      <c r="D72" s="1865">
        <v>18780</v>
      </c>
      <c r="E72" s="1562">
        <f t="shared" si="2"/>
        <v>18780</v>
      </c>
      <c r="F72" s="1813">
        <f t="shared" si="3"/>
        <v>18780</v>
      </c>
      <c r="G72" s="1814">
        <f t="shared" si="4"/>
        <v>0</v>
      </c>
    </row>
    <row r="73" spans="1:7" x14ac:dyDescent="0.25">
      <c r="A73" s="1959" t="s">
        <v>2187</v>
      </c>
      <c r="B73" s="1962" t="s">
        <v>2188</v>
      </c>
      <c r="C73" s="1961" t="s">
        <v>2198</v>
      </c>
      <c r="D73" s="1865">
        <v>32000</v>
      </c>
      <c r="E73" s="1562">
        <f t="shared" ref="E73:E84" si="5">IF(D73&lt;=25000,D73,IF(D73&gt;25000,25000,0))</f>
        <v>25000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814">
        <f t="shared" ref="G73:G84" si="7">IF(F73=0,0,D73-F73)</f>
        <v>7000</v>
      </c>
    </row>
    <row r="74" spans="1:7" x14ac:dyDescent="0.25">
      <c r="A74" s="1959" t="s">
        <v>2184</v>
      </c>
      <c r="B74" s="1962" t="s">
        <v>2185</v>
      </c>
      <c r="C74" s="1961" t="s">
        <v>2253</v>
      </c>
      <c r="D74" s="1865">
        <v>80680</v>
      </c>
      <c r="E74" s="1562">
        <f t="shared" si="5"/>
        <v>25000</v>
      </c>
      <c r="F74" s="1813">
        <f t="shared" si="6"/>
        <v>25000</v>
      </c>
      <c r="G74" s="1814">
        <f t="shared" si="7"/>
        <v>55680</v>
      </c>
    </row>
    <row r="75" spans="1:7" x14ac:dyDescent="0.25">
      <c r="A75" s="1959" t="s">
        <v>2184</v>
      </c>
      <c r="B75" s="1962" t="s">
        <v>2185</v>
      </c>
      <c r="C75" s="1961" t="s">
        <v>2254</v>
      </c>
      <c r="D75" s="1865">
        <v>4400</v>
      </c>
      <c r="E75" s="1562">
        <f t="shared" si="5"/>
        <v>4400</v>
      </c>
      <c r="F75" s="1813">
        <f t="shared" si="6"/>
        <v>4400</v>
      </c>
      <c r="G75" s="1814">
        <f t="shared" si="7"/>
        <v>0</v>
      </c>
    </row>
    <row r="76" spans="1:7" x14ac:dyDescent="0.25">
      <c r="A76" s="1959" t="s">
        <v>2184</v>
      </c>
      <c r="B76" s="1962" t="s">
        <v>2185</v>
      </c>
      <c r="C76" s="1961" t="s">
        <v>2255</v>
      </c>
      <c r="D76" s="1865">
        <v>4500</v>
      </c>
      <c r="E76" s="1562">
        <f t="shared" si="5"/>
        <v>4500</v>
      </c>
      <c r="F76" s="1813">
        <f t="shared" si="6"/>
        <v>4500</v>
      </c>
      <c r="G76" s="1814">
        <f t="shared" si="7"/>
        <v>0</v>
      </c>
    </row>
    <row r="77" spans="1:7" x14ac:dyDescent="0.25">
      <c r="A77" s="1959" t="s">
        <v>2184</v>
      </c>
      <c r="B77" s="1962" t="s">
        <v>2185</v>
      </c>
      <c r="C77" s="1961" t="s">
        <v>2256</v>
      </c>
      <c r="D77" s="1865">
        <v>13315</v>
      </c>
      <c r="E77" s="1562">
        <f t="shared" si="5"/>
        <v>13315</v>
      </c>
      <c r="F77" s="1813">
        <f t="shared" si="6"/>
        <v>13315</v>
      </c>
      <c r="G77" s="1814">
        <f t="shared" si="7"/>
        <v>0</v>
      </c>
    </row>
    <row r="78" spans="1:7" x14ac:dyDescent="0.25">
      <c r="A78" s="1959" t="s">
        <v>2184</v>
      </c>
      <c r="B78" s="1962" t="s">
        <v>2185</v>
      </c>
      <c r="C78" s="1961" t="s">
        <v>2257</v>
      </c>
      <c r="D78" s="1865">
        <v>40000</v>
      </c>
      <c r="E78" s="1562">
        <f t="shared" si="5"/>
        <v>25000</v>
      </c>
      <c r="F78" s="1813">
        <f t="shared" si="6"/>
        <v>25000</v>
      </c>
      <c r="G78" s="1814">
        <f t="shared" si="7"/>
        <v>15000</v>
      </c>
    </row>
    <row r="79" spans="1:7" x14ac:dyDescent="0.25">
      <c r="A79" s="1959" t="s">
        <v>2184</v>
      </c>
      <c r="B79" s="1962" t="s">
        <v>2185</v>
      </c>
      <c r="C79" s="1961" t="s">
        <v>2258</v>
      </c>
      <c r="D79" s="1865">
        <v>5000</v>
      </c>
      <c r="E79" s="1562">
        <f t="shared" si="5"/>
        <v>5000</v>
      </c>
      <c r="F79" s="1813">
        <f t="shared" si="6"/>
        <v>5000</v>
      </c>
      <c r="G79" s="1814">
        <f t="shared" si="7"/>
        <v>0</v>
      </c>
    </row>
    <row r="80" spans="1:7" x14ac:dyDescent="0.25">
      <c r="A80" s="1959" t="s">
        <v>2184</v>
      </c>
      <c r="B80" s="1962" t="s">
        <v>2185</v>
      </c>
      <c r="C80" s="1961" t="s">
        <v>2259</v>
      </c>
      <c r="D80" s="1865">
        <v>2620</v>
      </c>
      <c r="E80" s="1562">
        <f t="shared" si="5"/>
        <v>2620</v>
      </c>
      <c r="F80" s="1813">
        <f t="shared" si="6"/>
        <v>2620</v>
      </c>
      <c r="G80" s="1814">
        <f t="shared" si="7"/>
        <v>0</v>
      </c>
    </row>
    <row r="81" spans="1:7" x14ac:dyDescent="0.25">
      <c r="A81" s="1959" t="s">
        <v>2184</v>
      </c>
      <c r="B81" s="1962" t="s">
        <v>2185</v>
      </c>
      <c r="C81" s="1961" t="s">
        <v>2260</v>
      </c>
      <c r="D81" s="1865">
        <v>1600</v>
      </c>
      <c r="E81" s="1562">
        <f t="shared" si="5"/>
        <v>1600</v>
      </c>
      <c r="F81" s="1813">
        <f t="shared" si="6"/>
        <v>1600</v>
      </c>
      <c r="G81" s="1814">
        <f t="shared" si="7"/>
        <v>0</v>
      </c>
    </row>
    <row r="82" spans="1:7" x14ac:dyDescent="0.25">
      <c r="A82" s="1959" t="s">
        <v>2187</v>
      </c>
      <c r="B82" s="1962" t="s">
        <v>2188</v>
      </c>
      <c r="C82" s="1961" t="s">
        <v>2261</v>
      </c>
      <c r="D82" s="1865">
        <v>12362</v>
      </c>
      <c r="E82" s="1562">
        <f t="shared" si="5"/>
        <v>12362</v>
      </c>
      <c r="F82" s="1813">
        <f t="shared" si="6"/>
        <v>12362</v>
      </c>
      <c r="G82" s="1814">
        <f t="shared" si="7"/>
        <v>0</v>
      </c>
    </row>
    <row r="83" spans="1:7" x14ac:dyDescent="0.25">
      <c r="A83" s="1959" t="s">
        <v>2187</v>
      </c>
      <c r="B83" s="1962" t="s">
        <v>2188</v>
      </c>
      <c r="C83" s="1961" t="s">
        <v>2262</v>
      </c>
      <c r="D83" s="1865">
        <v>1500</v>
      </c>
      <c r="E83" s="1562">
        <f t="shared" si="5"/>
        <v>1500</v>
      </c>
      <c r="F83" s="1813">
        <f t="shared" si="6"/>
        <v>1500</v>
      </c>
      <c r="G83" s="1814">
        <f t="shared" si="7"/>
        <v>0</v>
      </c>
    </row>
    <row r="84" spans="1:7" x14ac:dyDescent="0.25">
      <c r="A84" s="1959" t="s">
        <v>2187</v>
      </c>
      <c r="B84" s="1962" t="s">
        <v>2188</v>
      </c>
      <c r="C84" s="1961" t="s">
        <v>2191</v>
      </c>
      <c r="D84" s="1865">
        <v>37194</v>
      </c>
      <c r="E84" s="1562">
        <f t="shared" si="5"/>
        <v>25000</v>
      </c>
      <c r="F84" s="1813">
        <f t="shared" si="6"/>
        <v>25000</v>
      </c>
      <c r="G84" s="1814">
        <f t="shared" si="7"/>
        <v>12194</v>
      </c>
    </row>
    <row r="85" spans="1:7" x14ac:dyDescent="0.25">
      <c r="A85" s="1959" t="s">
        <v>2187</v>
      </c>
      <c r="B85" s="1962" t="s">
        <v>2188</v>
      </c>
      <c r="C85" s="1961" t="s">
        <v>2263</v>
      </c>
      <c r="D85" s="1865">
        <v>3500</v>
      </c>
      <c r="E85" s="1562">
        <f t="shared" si="2"/>
        <v>3500</v>
      </c>
      <c r="F85" s="1813">
        <f t="shared" si="3"/>
        <v>3500</v>
      </c>
      <c r="G85" s="1814">
        <f t="shared" si="4"/>
        <v>0</v>
      </c>
    </row>
    <row r="86" spans="1:7" x14ac:dyDescent="0.25">
      <c r="A86" s="1959" t="s">
        <v>2231</v>
      </c>
      <c r="B86" s="1962" t="s">
        <v>2232</v>
      </c>
      <c r="C86" s="1961" t="s">
        <v>2264</v>
      </c>
      <c r="D86" s="1865">
        <v>8282</v>
      </c>
      <c r="E86" s="1562">
        <f t="shared" si="2"/>
        <v>8282</v>
      </c>
      <c r="F86" s="1813">
        <f t="shared" si="3"/>
        <v>8282</v>
      </c>
      <c r="G86" s="1814">
        <f t="shared" si="4"/>
        <v>0</v>
      </c>
    </row>
    <row r="87" spans="1:7" x14ac:dyDescent="0.25">
      <c r="A87" s="1959" t="s">
        <v>2231</v>
      </c>
      <c r="B87" s="1962" t="s">
        <v>2232</v>
      </c>
      <c r="C87" s="1961" t="s">
        <v>2233</v>
      </c>
      <c r="D87" s="1865">
        <v>2925</v>
      </c>
      <c r="E87" s="1562">
        <f t="shared" si="2"/>
        <v>2925</v>
      </c>
      <c r="F87" s="1813">
        <f t="shared" si="3"/>
        <v>2925</v>
      </c>
      <c r="G87" s="1814">
        <f t="shared" si="4"/>
        <v>0</v>
      </c>
    </row>
    <row r="88" spans="1:7" x14ac:dyDescent="0.25">
      <c r="A88" s="1959" t="s">
        <v>2239</v>
      </c>
      <c r="B88" s="1962" t="s">
        <v>2240</v>
      </c>
      <c r="C88" s="1961" t="s">
        <v>2265</v>
      </c>
      <c r="D88" s="1865">
        <v>7545</v>
      </c>
      <c r="E88" s="1562">
        <f t="shared" si="2"/>
        <v>7545</v>
      </c>
      <c r="F88" s="1813">
        <f t="shared" si="3"/>
        <v>7545</v>
      </c>
      <c r="G88" s="1814">
        <f t="shared" si="4"/>
        <v>0</v>
      </c>
    </row>
    <row r="89" spans="1:7" x14ac:dyDescent="0.25">
      <c r="A89" s="1959" t="s">
        <v>2193</v>
      </c>
      <c r="B89" s="1962" t="s">
        <v>2266</v>
      </c>
      <c r="C89" s="1961" t="s">
        <v>2267</v>
      </c>
      <c r="D89" s="1865">
        <v>30000</v>
      </c>
      <c r="E89" s="1562">
        <f t="shared" si="2"/>
        <v>25000</v>
      </c>
      <c r="F89" s="1813">
        <f t="shared" si="3"/>
        <v>25000</v>
      </c>
      <c r="G89" s="1814">
        <f t="shared" si="4"/>
        <v>5000</v>
      </c>
    </row>
    <row r="90" spans="1:7" x14ac:dyDescent="0.25">
      <c r="A90" s="1959" t="s">
        <v>2193</v>
      </c>
      <c r="B90" s="1962" t="s">
        <v>2194</v>
      </c>
      <c r="C90" s="1961" t="s">
        <v>2245</v>
      </c>
      <c r="D90" s="1865">
        <v>136902</v>
      </c>
      <c r="E90" s="1562">
        <f t="shared" si="2"/>
        <v>25000</v>
      </c>
      <c r="F90" s="1813">
        <f t="shared" si="3"/>
        <v>25000</v>
      </c>
      <c r="G90" s="1814">
        <f t="shared" si="4"/>
        <v>111902</v>
      </c>
    </row>
    <row r="91" spans="1:7" x14ac:dyDescent="0.25">
      <c r="A91" s="1959" t="s">
        <v>2193</v>
      </c>
      <c r="B91" s="1962" t="s">
        <v>2194</v>
      </c>
      <c r="C91" s="1961" t="s">
        <v>2268</v>
      </c>
      <c r="D91" s="1865">
        <v>4100</v>
      </c>
      <c r="E91" s="1562">
        <f t="shared" si="2"/>
        <v>4100</v>
      </c>
      <c r="F91" s="1813">
        <f t="shared" si="3"/>
        <v>4100</v>
      </c>
      <c r="G91" s="1814">
        <f t="shared" si="4"/>
        <v>0</v>
      </c>
    </row>
    <row r="92" spans="1:7" x14ac:dyDescent="0.25">
      <c r="A92" s="1959" t="s">
        <v>2193</v>
      </c>
      <c r="B92" s="1962" t="s">
        <v>2194</v>
      </c>
      <c r="C92" s="1961" t="s">
        <v>2269</v>
      </c>
      <c r="D92" s="1865">
        <v>3200</v>
      </c>
      <c r="E92" s="1562">
        <f t="shared" si="2"/>
        <v>3200</v>
      </c>
      <c r="F92" s="1813">
        <f t="shared" si="3"/>
        <v>3200</v>
      </c>
      <c r="G92" s="1814">
        <f t="shared" si="4"/>
        <v>0</v>
      </c>
    </row>
    <row r="93" spans="1:7" x14ac:dyDescent="0.25">
      <c r="A93" s="1959" t="s">
        <v>2270</v>
      </c>
      <c r="B93" s="1962" t="s">
        <v>2271</v>
      </c>
      <c r="C93" s="1961" t="s">
        <v>2272</v>
      </c>
      <c r="D93" s="1865">
        <v>6480</v>
      </c>
      <c r="E93" s="1562">
        <f t="shared" ref="E93" si="8">IF(D93&lt;=25000,D93,IF(D93&gt;25000,25000,0))</f>
        <v>6480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6480</v>
      </c>
      <c r="G93" s="1814">
        <f t="shared" ref="G93" si="10">IF(F93=0,0,D93-F93)</f>
        <v>0</v>
      </c>
    </row>
    <row r="94" spans="1:7" x14ac:dyDescent="0.25">
      <c r="A94" s="1959" t="s">
        <v>2270</v>
      </c>
      <c r="B94" s="1962" t="s">
        <v>2271</v>
      </c>
      <c r="C94" s="1961" t="s">
        <v>2273</v>
      </c>
      <c r="D94" s="1865">
        <v>33334</v>
      </c>
      <c r="E94" s="1562">
        <f t="shared" si="2"/>
        <v>25000</v>
      </c>
      <c r="F94" s="1813">
        <f t="shared" si="3"/>
        <v>25000</v>
      </c>
      <c r="G94" s="1814">
        <f t="shared" si="4"/>
        <v>8334</v>
      </c>
    </row>
    <row r="95" spans="1:7" x14ac:dyDescent="0.25">
      <c r="A95" s="1959" t="s">
        <v>2270</v>
      </c>
      <c r="B95" s="1962" t="s">
        <v>2271</v>
      </c>
      <c r="C95" s="1961" t="s">
        <v>2274</v>
      </c>
      <c r="D95" s="1865">
        <v>53542</v>
      </c>
      <c r="E95" s="1562">
        <f t="shared" ref="E95:E98" si="11">IF(D95&lt;=25000,D95,IF(D95&gt;25000,25000,0))</f>
        <v>25000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814">
        <f t="shared" ref="G95:G98" si="13">IF(F95=0,0,D95-F95)</f>
        <v>28542</v>
      </c>
    </row>
    <row r="96" spans="1:7" x14ac:dyDescent="0.25">
      <c r="A96" s="1959" t="s">
        <v>2270</v>
      </c>
      <c r="B96" s="1962" t="s">
        <v>2271</v>
      </c>
      <c r="C96" s="1961" t="s">
        <v>2275</v>
      </c>
      <c r="D96" s="1865">
        <v>1856</v>
      </c>
      <c r="E96" s="1562">
        <f t="shared" si="11"/>
        <v>1856</v>
      </c>
      <c r="F96" s="1813">
        <f t="shared" si="12"/>
        <v>1856</v>
      </c>
      <c r="G96" s="1814">
        <f t="shared" si="13"/>
        <v>0</v>
      </c>
    </row>
    <row r="97" spans="1:7" x14ac:dyDescent="0.25">
      <c r="A97" s="1959" t="s">
        <v>2270</v>
      </c>
      <c r="B97" s="1962" t="s">
        <v>2271</v>
      </c>
      <c r="C97" s="1961" t="s">
        <v>2276</v>
      </c>
      <c r="D97" s="1865">
        <v>2611</v>
      </c>
      <c r="E97" s="1562">
        <f t="shared" si="11"/>
        <v>2611</v>
      </c>
      <c r="F97" s="1813">
        <f t="shared" si="12"/>
        <v>2611</v>
      </c>
      <c r="G97" s="1814">
        <f t="shared" si="13"/>
        <v>0</v>
      </c>
    </row>
    <row r="98" spans="1:7" x14ac:dyDescent="0.25">
      <c r="A98" s="1959" t="s">
        <v>2270</v>
      </c>
      <c r="B98" s="1962" t="s">
        <v>2271</v>
      </c>
      <c r="C98" s="1961" t="s">
        <v>2277</v>
      </c>
      <c r="D98" s="1865">
        <v>44358</v>
      </c>
      <c r="E98" s="1562">
        <f t="shared" si="11"/>
        <v>25000</v>
      </c>
      <c r="F98" s="1813">
        <f t="shared" si="12"/>
        <v>25000</v>
      </c>
      <c r="G98" s="1814">
        <f t="shared" si="13"/>
        <v>19358</v>
      </c>
    </row>
    <row r="99" spans="1:7" x14ac:dyDescent="0.25">
      <c r="A99" s="1959" t="s">
        <v>2270</v>
      </c>
      <c r="B99" s="1962" t="s">
        <v>2271</v>
      </c>
      <c r="C99" s="1961" t="s">
        <v>2278</v>
      </c>
      <c r="D99" s="1865">
        <v>4428</v>
      </c>
      <c r="E99" s="1562">
        <f t="shared" ref="E99" si="14">IF(D99&lt;=25000,D99,IF(D99&gt;25000,25000,0))</f>
        <v>4428</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4428</v>
      </c>
      <c r="G99" s="1814">
        <f t="shared" ref="G99" si="16">IF(F99=0,0,D99-F99)</f>
        <v>0</v>
      </c>
    </row>
    <row r="100" spans="1:7" x14ac:dyDescent="0.25">
      <c r="A100" s="1959" t="s">
        <v>2270</v>
      </c>
      <c r="B100" s="1962" t="s">
        <v>2271</v>
      </c>
      <c r="C100" s="1961" t="s">
        <v>2279</v>
      </c>
      <c r="D100" s="1865">
        <v>35834</v>
      </c>
      <c r="E100" s="1562">
        <f t="shared" ref="E100:E112" si="17">IF(D100&lt;=25000,D100,IF(D100&gt;25000,25000,0))</f>
        <v>25000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25000</v>
      </c>
      <c r="G100" s="1814">
        <f t="shared" ref="G100:G112" si="19">IF(F100=0,0,D100-F100)</f>
        <v>10834</v>
      </c>
    </row>
    <row r="101" spans="1:7" x14ac:dyDescent="0.25">
      <c r="A101" s="1959" t="s">
        <v>2270</v>
      </c>
      <c r="B101" s="1962" t="s">
        <v>2271</v>
      </c>
      <c r="C101" s="1961" t="s">
        <v>2280</v>
      </c>
      <c r="D101" s="1865">
        <v>2293</v>
      </c>
      <c r="E101" s="1562">
        <f t="shared" si="17"/>
        <v>2293</v>
      </c>
      <c r="F101" s="1813">
        <f t="shared" si="18"/>
        <v>2293</v>
      </c>
      <c r="G101" s="1814">
        <f t="shared" si="19"/>
        <v>0</v>
      </c>
    </row>
    <row r="102" spans="1:7" x14ac:dyDescent="0.25">
      <c r="A102" s="1959" t="s">
        <v>2270</v>
      </c>
      <c r="B102" s="1962" t="s">
        <v>2271</v>
      </c>
      <c r="C102" s="1961" t="s">
        <v>2281</v>
      </c>
      <c r="D102" s="1865">
        <v>14304</v>
      </c>
      <c r="E102" s="1562">
        <f t="shared" si="17"/>
        <v>14304</v>
      </c>
      <c r="F102" s="1813">
        <f t="shared" si="18"/>
        <v>14304</v>
      </c>
      <c r="G102" s="1814">
        <f t="shared" si="19"/>
        <v>0</v>
      </c>
    </row>
    <row r="103" spans="1:7" x14ac:dyDescent="0.25">
      <c r="A103" s="1959" t="s">
        <v>2270</v>
      </c>
      <c r="B103" s="1962" t="s">
        <v>2271</v>
      </c>
      <c r="C103" s="1961" t="s">
        <v>2282</v>
      </c>
      <c r="D103" s="1865">
        <v>5993</v>
      </c>
      <c r="E103" s="1562">
        <f t="shared" si="17"/>
        <v>5993</v>
      </c>
      <c r="F103" s="1813">
        <f t="shared" si="18"/>
        <v>5993</v>
      </c>
      <c r="G103" s="1814">
        <f t="shared" si="19"/>
        <v>0</v>
      </c>
    </row>
    <row r="104" spans="1:7" x14ac:dyDescent="0.25">
      <c r="A104" s="1959" t="s">
        <v>2283</v>
      </c>
      <c r="B104" s="1962" t="s">
        <v>2284</v>
      </c>
      <c r="C104" s="1961" t="s">
        <v>2233</v>
      </c>
      <c r="D104" s="1865">
        <v>67750</v>
      </c>
      <c r="E104" s="1562">
        <f t="shared" si="17"/>
        <v>25000</v>
      </c>
      <c r="F104" s="1813">
        <f t="shared" si="18"/>
        <v>0</v>
      </c>
      <c r="G104" s="1814">
        <f t="shared" si="19"/>
        <v>0</v>
      </c>
    </row>
    <row r="105" spans="1:7" x14ac:dyDescent="0.25">
      <c r="A105" s="1959" t="s">
        <v>2283</v>
      </c>
      <c r="B105" s="1962" t="s">
        <v>2284</v>
      </c>
      <c r="C105" s="1961" t="s">
        <v>2285</v>
      </c>
      <c r="D105" s="1865">
        <v>47063</v>
      </c>
      <c r="E105" s="1562">
        <f t="shared" si="17"/>
        <v>25000</v>
      </c>
      <c r="F105" s="1813">
        <f t="shared" si="18"/>
        <v>0</v>
      </c>
      <c r="G105" s="1814">
        <f t="shared" si="19"/>
        <v>0</v>
      </c>
    </row>
    <row r="106" spans="1:7" x14ac:dyDescent="0.25">
      <c r="A106" s="1959" t="s">
        <v>2283</v>
      </c>
      <c r="B106" s="1962" t="s">
        <v>2284</v>
      </c>
      <c r="C106" s="1961" t="s">
        <v>2245</v>
      </c>
      <c r="D106" s="1865">
        <v>95954</v>
      </c>
      <c r="E106" s="1562">
        <f t="shared" si="17"/>
        <v>25000</v>
      </c>
      <c r="F106" s="1813">
        <f t="shared" si="18"/>
        <v>0</v>
      </c>
      <c r="G106" s="1814">
        <f t="shared" si="19"/>
        <v>0</v>
      </c>
    </row>
    <row r="107" spans="1:7" x14ac:dyDescent="0.25">
      <c r="A107" s="1959" t="s">
        <v>2283</v>
      </c>
      <c r="B107" s="1962" t="s">
        <v>2284</v>
      </c>
      <c r="C107" s="1961" t="s">
        <v>2264</v>
      </c>
      <c r="D107" s="1865">
        <v>7100</v>
      </c>
      <c r="E107" s="1562">
        <f t="shared" si="17"/>
        <v>7100</v>
      </c>
      <c r="F107" s="1813">
        <f t="shared" si="18"/>
        <v>0</v>
      </c>
      <c r="G107" s="1814">
        <f t="shared" si="19"/>
        <v>0</v>
      </c>
    </row>
    <row r="108" spans="1:7" x14ac:dyDescent="0.25">
      <c r="A108" s="1959" t="s">
        <v>2286</v>
      </c>
      <c r="B108" s="1962" t="s">
        <v>2287</v>
      </c>
      <c r="C108" s="1961" t="s">
        <v>2267</v>
      </c>
      <c r="D108" s="1865">
        <v>45615</v>
      </c>
      <c r="E108" s="1562">
        <f t="shared" si="17"/>
        <v>25000</v>
      </c>
      <c r="F108" s="1813">
        <f t="shared" si="18"/>
        <v>25000</v>
      </c>
      <c r="G108" s="1814">
        <f t="shared" si="19"/>
        <v>20615</v>
      </c>
    </row>
    <row r="109" spans="1:7" x14ac:dyDescent="0.25">
      <c r="A109" s="1959" t="s">
        <v>2286</v>
      </c>
      <c r="B109" s="1962" t="s">
        <v>2287</v>
      </c>
      <c r="C109" s="1961" t="s">
        <v>2245</v>
      </c>
      <c r="D109" s="1865">
        <v>1261563</v>
      </c>
      <c r="E109" s="1562">
        <f t="shared" si="17"/>
        <v>25000</v>
      </c>
      <c r="F109" s="1813">
        <f t="shared" si="18"/>
        <v>25000</v>
      </c>
      <c r="G109" s="1814">
        <f t="shared" si="19"/>
        <v>1236563</v>
      </c>
    </row>
    <row r="110" spans="1:7" x14ac:dyDescent="0.25">
      <c r="A110" s="1959" t="s">
        <v>2286</v>
      </c>
      <c r="B110" s="1962" t="s">
        <v>2287</v>
      </c>
      <c r="C110" s="1961" t="s">
        <v>2288</v>
      </c>
      <c r="D110" s="1865">
        <v>735</v>
      </c>
      <c r="E110" s="1562">
        <f t="shared" si="17"/>
        <v>735</v>
      </c>
      <c r="F110" s="1813">
        <f t="shared" si="18"/>
        <v>735</v>
      </c>
      <c r="G110" s="1814">
        <f t="shared" si="19"/>
        <v>0</v>
      </c>
    </row>
    <row r="111" spans="1:7" x14ac:dyDescent="0.25">
      <c r="A111" s="1675"/>
      <c r="B111" s="1687"/>
      <c r="C111" s="1676"/>
      <c r="D111" s="1865"/>
      <c r="E111" s="1562">
        <f t="shared" si="17"/>
        <v>0</v>
      </c>
      <c r="F111" s="1813">
        <f t="shared" si="18"/>
        <v>0</v>
      </c>
      <c r="G111" s="1814">
        <f t="shared" si="19"/>
        <v>0</v>
      </c>
    </row>
    <row r="112" spans="1:7" x14ac:dyDescent="0.25">
      <c r="A112" s="1675"/>
      <c r="B112" s="1687"/>
      <c r="C112" s="1676"/>
      <c r="D112" s="1865"/>
      <c r="E112" s="1562">
        <f t="shared" si="17"/>
        <v>0</v>
      </c>
      <c r="F112" s="1813">
        <f t="shared" si="18"/>
        <v>0</v>
      </c>
      <c r="G112" s="1814">
        <f t="shared" si="19"/>
        <v>0</v>
      </c>
    </row>
    <row r="113" spans="1:7" x14ac:dyDescent="0.25">
      <c r="A113" s="1675"/>
      <c r="B113" s="1687"/>
      <c r="C113" s="1676"/>
      <c r="D113" s="1865"/>
      <c r="E113" s="1562">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5"/>
      <c r="B114" s="1687"/>
      <c r="C114" s="1676"/>
      <c r="D114" s="1865"/>
      <c r="E114" s="1562">
        <f t="shared" si="20"/>
        <v>0</v>
      </c>
      <c r="F114" s="1813">
        <f t="shared" si="21"/>
        <v>0</v>
      </c>
      <c r="G114" s="1814">
        <f t="shared" si="22"/>
        <v>0</v>
      </c>
    </row>
    <row r="115" spans="1:7" x14ac:dyDescent="0.25">
      <c r="A115" s="1675"/>
      <c r="B115" s="1687"/>
      <c r="C115" s="1676"/>
      <c r="D115" s="1865"/>
      <c r="E115" s="1562">
        <f t="shared" si="20"/>
        <v>0</v>
      </c>
      <c r="F115" s="1813">
        <f t="shared" si="21"/>
        <v>0</v>
      </c>
      <c r="G115" s="1814">
        <f t="shared" si="22"/>
        <v>0</v>
      </c>
    </row>
    <row r="116" spans="1:7" x14ac:dyDescent="0.25">
      <c r="A116" s="1675"/>
      <c r="B116" s="1687"/>
      <c r="C116" s="1676"/>
      <c r="D116" s="1865"/>
      <c r="E116" s="1562">
        <f t="shared" si="20"/>
        <v>0</v>
      </c>
      <c r="F116" s="1813">
        <f t="shared" si="21"/>
        <v>0</v>
      </c>
      <c r="G116" s="1814">
        <f t="shared" si="22"/>
        <v>0</v>
      </c>
    </row>
    <row r="117" spans="1:7" x14ac:dyDescent="0.25">
      <c r="A117" s="1675"/>
      <c r="B117" s="1687"/>
      <c r="C117" s="1676"/>
      <c r="D117" s="1865"/>
      <c r="E117" s="1562">
        <f t="shared" si="20"/>
        <v>0</v>
      </c>
      <c r="F117" s="1813">
        <f t="shared" si="21"/>
        <v>0</v>
      </c>
      <c r="G117" s="1814">
        <f t="shared" si="22"/>
        <v>0</v>
      </c>
    </row>
    <row r="118" spans="1:7" x14ac:dyDescent="0.25">
      <c r="A118" s="1675"/>
      <c r="B118" s="1687"/>
      <c r="C118" s="1676"/>
      <c r="D118" s="1865"/>
      <c r="E118" s="1562">
        <f t="shared" si="20"/>
        <v>0</v>
      </c>
      <c r="F118" s="1813">
        <f t="shared" si="21"/>
        <v>0</v>
      </c>
      <c r="G118" s="1814">
        <f t="shared" si="22"/>
        <v>0</v>
      </c>
    </row>
    <row r="119" spans="1:7" x14ac:dyDescent="0.25">
      <c r="A119" s="1675"/>
      <c r="B119" s="1687"/>
      <c r="C119" s="1676"/>
      <c r="D119" s="1865"/>
      <c r="E119" s="1562">
        <f t="shared" si="20"/>
        <v>0</v>
      </c>
      <c r="F119" s="1813">
        <f t="shared" si="21"/>
        <v>0</v>
      </c>
      <c r="G119" s="1814">
        <f t="shared" si="22"/>
        <v>0</v>
      </c>
    </row>
    <row r="120" spans="1:7" x14ac:dyDescent="0.25">
      <c r="A120" s="1675"/>
      <c r="B120" s="1687"/>
      <c r="C120" s="1676"/>
      <c r="D120" s="1865"/>
      <c r="E120" s="1562">
        <f t="shared" si="20"/>
        <v>0</v>
      </c>
      <c r="F120" s="1813">
        <f t="shared" si="21"/>
        <v>0</v>
      </c>
      <c r="G120" s="1814">
        <f t="shared" si="22"/>
        <v>0</v>
      </c>
    </row>
    <row r="121" spans="1:7" x14ac:dyDescent="0.25">
      <c r="A121" s="1675"/>
      <c r="B121" s="1687"/>
      <c r="C121" s="1676"/>
      <c r="D121" s="1865"/>
      <c r="E121" s="1562">
        <f t="shared" si="20"/>
        <v>0</v>
      </c>
      <c r="F121" s="1813">
        <f t="shared" si="21"/>
        <v>0</v>
      </c>
      <c r="G121" s="1814">
        <f t="shared" si="22"/>
        <v>0</v>
      </c>
    </row>
    <row r="122" spans="1:7" x14ac:dyDescent="0.25">
      <c r="A122" s="1675"/>
      <c r="B122" s="1687"/>
      <c r="C122" s="1676"/>
      <c r="D122" s="1865"/>
      <c r="E122" s="1562">
        <f t="shared" si="20"/>
        <v>0</v>
      </c>
      <c r="F122" s="1813">
        <f t="shared" si="21"/>
        <v>0</v>
      </c>
      <c r="G122" s="1814">
        <f t="shared" si="22"/>
        <v>0</v>
      </c>
    </row>
    <row r="123" spans="1:7" x14ac:dyDescent="0.25">
      <c r="A123" s="1675"/>
      <c r="B123" s="1687"/>
      <c r="C123" s="1676"/>
      <c r="D123" s="1865"/>
      <c r="E123" s="1562">
        <f t="shared" si="20"/>
        <v>0</v>
      </c>
      <c r="F123" s="1813">
        <f t="shared" si="21"/>
        <v>0</v>
      </c>
      <c r="G123" s="1814">
        <f t="shared" si="22"/>
        <v>0</v>
      </c>
    </row>
    <row r="124" spans="1:7" x14ac:dyDescent="0.25">
      <c r="A124" s="1675"/>
      <c r="B124" s="1687"/>
      <c r="C124" s="1676"/>
      <c r="D124" s="1865"/>
      <c r="E124" s="1562">
        <f t="shared" si="20"/>
        <v>0</v>
      </c>
      <c r="F124" s="1813">
        <f t="shared" si="21"/>
        <v>0</v>
      </c>
      <c r="G124" s="1814">
        <f t="shared" si="22"/>
        <v>0</v>
      </c>
    </row>
    <row r="125" spans="1:7" x14ac:dyDescent="0.25">
      <c r="A125" s="1675"/>
      <c r="B125" s="1687"/>
      <c r="C125" s="1676"/>
      <c r="D125" s="1865"/>
      <c r="E125" s="1562">
        <f t="shared" si="20"/>
        <v>0</v>
      </c>
      <c r="F125" s="1813">
        <f t="shared" si="21"/>
        <v>0</v>
      </c>
      <c r="G125" s="1814">
        <f t="shared" si="22"/>
        <v>0</v>
      </c>
    </row>
    <row r="126" spans="1:7" x14ac:dyDescent="0.25">
      <c r="A126" s="1675"/>
      <c r="B126" s="1687"/>
      <c r="C126" s="1676"/>
      <c r="D126" s="1865"/>
      <c r="E126" s="1562">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5"/>
      <c r="B127" s="1687"/>
      <c r="C127" s="1676"/>
      <c r="D127" s="1865"/>
      <c r="E127" s="1562">
        <f t="shared" si="23"/>
        <v>0</v>
      </c>
      <c r="F127" s="1813">
        <f t="shared" si="24"/>
        <v>0</v>
      </c>
      <c r="G127" s="1814">
        <f t="shared" si="25"/>
        <v>0</v>
      </c>
    </row>
    <row r="128" spans="1:7" x14ac:dyDescent="0.25">
      <c r="A128" s="1675"/>
      <c r="B128" s="1687"/>
      <c r="C128" s="1676"/>
      <c r="D128" s="1865"/>
      <c r="E128" s="1562">
        <f t="shared" si="23"/>
        <v>0</v>
      </c>
      <c r="F128" s="1813">
        <f t="shared" si="24"/>
        <v>0</v>
      </c>
      <c r="G128" s="1814">
        <f t="shared" si="25"/>
        <v>0</v>
      </c>
    </row>
    <row r="129" spans="1:7" x14ac:dyDescent="0.25">
      <c r="A129" s="1675"/>
      <c r="B129" s="1687"/>
      <c r="C129" s="1676"/>
      <c r="D129" s="1865"/>
      <c r="E129" s="1562">
        <f t="shared" si="23"/>
        <v>0</v>
      </c>
      <c r="F129" s="1813">
        <f t="shared" si="24"/>
        <v>0</v>
      </c>
      <c r="G129" s="1814">
        <f t="shared" si="25"/>
        <v>0</v>
      </c>
    </row>
    <row r="130" spans="1:7" x14ac:dyDescent="0.25">
      <c r="A130" s="1675"/>
      <c r="B130" s="1687"/>
      <c r="C130" s="1676"/>
      <c r="D130" s="1865"/>
      <c r="E130" s="1562">
        <f t="shared" si="23"/>
        <v>0</v>
      </c>
      <c r="F130" s="1813">
        <f t="shared" si="24"/>
        <v>0</v>
      </c>
      <c r="G130" s="1814">
        <f t="shared" si="25"/>
        <v>0</v>
      </c>
    </row>
    <row r="131" spans="1:7" x14ac:dyDescent="0.25">
      <c r="A131" s="1675"/>
      <c r="B131" s="1858"/>
      <c r="C131" s="1676"/>
      <c r="D131" s="1865"/>
      <c r="E131" s="1562">
        <f t="shared" si="23"/>
        <v>0</v>
      </c>
      <c r="F131" s="1813">
        <f t="shared" si="24"/>
        <v>0</v>
      </c>
      <c r="G131" s="1814">
        <f t="shared" si="25"/>
        <v>0</v>
      </c>
    </row>
    <row r="132" spans="1:7" x14ac:dyDescent="0.25">
      <c r="A132" s="1675"/>
      <c r="B132" s="1858"/>
      <c r="C132" s="1676"/>
      <c r="D132" s="1865"/>
      <c r="E132" s="1562">
        <f t="shared" si="23"/>
        <v>0</v>
      </c>
      <c r="F132" s="1813">
        <f t="shared" si="24"/>
        <v>0</v>
      </c>
      <c r="G132" s="1814">
        <f t="shared" si="25"/>
        <v>0</v>
      </c>
    </row>
    <row r="133" spans="1:7" x14ac:dyDescent="0.25">
      <c r="A133" s="1675"/>
      <c r="B133" s="1687"/>
      <c r="C133" s="1676"/>
      <c r="D133" s="1865"/>
      <c r="E133" s="1562">
        <f t="shared" si="23"/>
        <v>0</v>
      </c>
      <c r="F133" s="1813">
        <f t="shared" si="24"/>
        <v>0</v>
      </c>
      <c r="G133" s="1814">
        <f t="shared" si="25"/>
        <v>0</v>
      </c>
    </row>
    <row r="134" spans="1:7" x14ac:dyDescent="0.25">
      <c r="A134" s="1675"/>
      <c r="B134" s="1687"/>
      <c r="C134" s="1676"/>
      <c r="D134" s="1865"/>
      <c r="E134" s="1562">
        <f t="shared" si="23"/>
        <v>0</v>
      </c>
      <c r="F134" s="1813">
        <f t="shared" si="24"/>
        <v>0</v>
      </c>
      <c r="G134" s="1814">
        <f t="shared" si="25"/>
        <v>0</v>
      </c>
    </row>
    <row r="135" spans="1:7" x14ac:dyDescent="0.25">
      <c r="A135" s="1675"/>
      <c r="B135" s="1687"/>
      <c r="C135" s="1676"/>
      <c r="D135" s="1865"/>
      <c r="E135" s="1562">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5"/>
      <c r="B136" s="1687"/>
      <c r="C136" s="1676"/>
      <c r="D136" s="1865"/>
      <c r="E136" s="1562">
        <f t="shared" si="26"/>
        <v>0</v>
      </c>
      <c r="F136" s="1813">
        <f t="shared" si="27"/>
        <v>0</v>
      </c>
      <c r="G136" s="1814">
        <f t="shared" si="28"/>
        <v>0</v>
      </c>
    </row>
    <row r="137" spans="1:7" x14ac:dyDescent="0.25">
      <c r="A137" s="1675"/>
      <c r="B137" s="1687"/>
      <c r="C137" s="1676"/>
      <c r="D137" s="1865"/>
      <c r="E137" s="1562">
        <f t="shared" si="26"/>
        <v>0</v>
      </c>
      <c r="F137" s="1813">
        <f t="shared" si="27"/>
        <v>0</v>
      </c>
      <c r="G137" s="1814">
        <f t="shared" si="28"/>
        <v>0</v>
      </c>
    </row>
    <row r="138" spans="1:7" x14ac:dyDescent="0.25">
      <c r="A138" s="1675"/>
      <c r="B138" s="1687"/>
      <c r="C138" s="1676"/>
      <c r="D138" s="1865"/>
      <c r="E138" s="1562">
        <f t="shared" si="26"/>
        <v>0</v>
      </c>
      <c r="F138" s="1813">
        <f t="shared" si="27"/>
        <v>0</v>
      </c>
      <c r="G138" s="1814">
        <f t="shared" si="28"/>
        <v>0</v>
      </c>
    </row>
    <row r="139" spans="1:7" x14ac:dyDescent="0.25">
      <c r="A139" s="1675"/>
      <c r="B139" s="1687"/>
      <c r="C139" s="1676"/>
      <c r="D139" s="1865"/>
      <c r="E139" s="1562">
        <f t="shared" si="26"/>
        <v>0</v>
      </c>
      <c r="F139" s="1813">
        <f t="shared" si="27"/>
        <v>0</v>
      </c>
      <c r="G139" s="1814">
        <f t="shared" si="28"/>
        <v>0</v>
      </c>
    </row>
    <row r="140" spans="1:7" x14ac:dyDescent="0.25">
      <c r="A140" s="1675"/>
      <c r="B140" s="1686"/>
      <c r="C140" s="1676"/>
      <c r="D140" s="1865"/>
      <c r="E140" s="1562">
        <f t="shared" si="2"/>
        <v>0</v>
      </c>
      <c r="F140" s="1813">
        <f t="shared" si="3"/>
        <v>0</v>
      </c>
      <c r="G140" s="1814">
        <f t="shared" si="4"/>
        <v>0</v>
      </c>
    </row>
    <row r="141" spans="1:7" x14ac:dyDescent="0.25">
      <c r="A141" s="1817" t="s">
        <v>158</v>
      </c>
      <c r="B141" s="1818"/>
      <c r="C141" s="1819"/>
      <c r="D141" s="1815">
        <f>SUM(D17:D140)</f>
        <v>3099727</v>
      </c>
      <c r="E141" s="1563">
        <f t="shared" si="1"/>
        <v>25000</v>
      </c>
      <c r="F141" s="1815">
        <f>SUM(F17:F140)</f>
        <v>865045</v>
      </c>
      <c r="G141" s="1816">
        <f>SUM(G17:G140)</f>
        <v>2016815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249977111117893"/>
  </sheetPr>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10" t="s">
        <v>1942</v>
      </c>
      <c r="B11" s="2311"/>
      <c r="C11" s="2311"/>
      <c r="D11" s="2312"/>
      <c r="E11" s="978">
        <v>315204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41072010</v>
      </c>
      <c r="F19" s="1820"/>
      <c r="G19" s="1822">
        <f>'Expenditures 15-22'!K33-SUM('Expenditures 15-22'!G33,'Expenditures 15-22'!I33)+'Expenditures 15-22'!D229</f>
        <v>41072010</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4939377</v>
      </c>
      <c r="F21" s="1823"/>
      <c r="G21" s="1826">
        <f>'Expenditures 15-22'!K42-SUM('Expenditures 15-22'!G42,'Expenditures 15-22'!I42)+'Expenditures 15-22'!K120-SUM('Expenditures 15-22'!G120,'Expenditures 15-22'!I120)+'Expenditures 15-22'!K180-SUM('Expenditures 15-22'!G180,'Expenditures 15-22'!I180)+'Expenditures 15-22'!D238</f>
        <v>4939377</v>
      </c>
      <c r="H21" s="988"/>
      <c r="I21" s="162"/>
    </row>
    <row r="22" spans="1:9" s="669" customFormat="1" ht="12" customHeight="1" x14ac:dyDescent="0.2">
      <c r="A22" s="995" t="s">
        <v>585</v>
      </c>
      <c r="B22" s="996"/>
      <c r="C22" s="994">
        <v>2200</v>
      </c>
      <c r="D22" s="1823"/>
      <c r="E22" s="1825">
        <f>'Expenditures 15-22'!K47-SUM('Expenditures 15-22'!G47,'Expenditures 15-22'!I47)+'Expenditures 15-22'!D243</f>
        <v>2133782</v>
      </c>
      <c r="F22" s="1823"/>
      <c r="G22" s="1826">
        <f>'Expenditures 15-22'!K47-SUM('Expenditures 15-22'!G47,'Expenditures 15-22'!I47)+'Expenditures 15-22'!D243</f>
        <v>2133782</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1584602</v>
      </c>
      <c r="F23" s="1823"/>
      <c r="G23" s="1825">
        <f>'Expenditures 15-22'!K53-SUM('Expenditures 15-22'!G53,'Expenditures 15-22'!I53)+'Expenditures 15-22'!D257+'Expenditures 15-22'!K330-SUM('Expenditures 15-22'!G330,'Expenditures 15-22'!I330)</f>
        <v>1584602</v>
      </c>
      <c r="H23" s="988"/>
      <c r="I23" s="162"/>
    </row>
    <row r="24" spans="1:9" s="669" customFormat="1" ht="12" customHeight="1" x14ac:dyDescent="0.2">
      <c r="A24" s="995" t="s">
        <v>587</v>
      </c>
      <c r="B24" s="996"/>
      <c r="C24" s="994">
        <v>2400</v>
      </c>
      <c r="D24" s="1823"/>
      <c r="E24" s="1825">
        <f>'Expenditures 15-22'!K57-SUM('Expenditures 15-22'!G57,'Expenditures 15-22'!I57)+'Expenditures 15-22'!D261</f>
        <v>3658733</v>
      </c>
      <c r="F24" s="1823"/>
      <c r="G24" s="1826">
        <f>'Expenditures 15-22'!K57-SUM('Expenditures 15-22'!G57,'Expenditures 15-22'!I57)+'Expenditures 15-22'!D261</f>
        <v>3658733</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209517</v>
      </c>
      <c r="E26" s="1825">
        <f>'Expenditures 15-22'!K122-SUM('Expenditures 15-22'!G122,'Expenditures 15-22'!I122)+E7</f>
        <v>0</v>
      </c>
      <c r="F26" s="1825">
        <f>'Expenditures 15-22'!K59-SUM('Expenditures 15-22'!G59,'Expenditures 15-22'!I59)+'Expenditures 15-22'!D263-E7</f>
        <v>209517</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332568</v>
      </c>
      <c r="E27" s="1825">
        <f>E8</f>
        <v>0</v>
      </c>
      <c r="F27" s="1825">
        <f>'Expenditures 15-22'!K60-SUM('Expenditures 15-22'!G60,'Expenditures 15-22'!I60)+'Expenditures 15-22'!D264-E8</f>
        <v>332568</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6062467</v>
      </c>
      <c r="F28" s="1827">
        <f>'Expenditures 15-22'!K61-SUM('Expenditures 15-22'!G61,'Expenditures 15-22'!I61)+'Expenditures 15-22'!K124-SUM('Expenditures 15-22'!G124,'Expenditures 15-22'!I124)+'Expenditures 15-22'!D266-E9</f>
        <v>6062467</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1704895</v>
      </c>
      <c r="F29" s="1823"/>
      <c r="G29" s="1826">
        <f>'Expenditures 15-22'!K62-SUM('Expenditures 15-22'!G62,'Expenditures 15-22'!I62)+'Expenditures 15-22'!K125-SUM('Expenditures 15-22'!G125,'Expenditures 15-22'!I125)+'Expenditures 15-22'!K182-SUM('Expenditures 15-22'!G182,'Expenditures 15-22'!I182)+'Expenditures 15-22'!D267</f>
        <v>1704895</v>
      </c>
      <c r="H29" s="986"/>
    </row>
    <row r="30" spans="1:9" ht="12" customHeight="1" x14ac:dyDescent="0.2">
      <c r="A30" s="995" t="s">
        <v>102</v>
      </c>
      <c r="B30" s="998"/>
      <c r="C30" s="994">
        <v>2560</v>
      </c>
      <c r="D30" s="1823"/>
      <c r="E30" s="1825">
        <f>'Expenditures 15-22'!K63-SUM('Expenditures 15-22'!G63,'Expenditures 15-22'!I63)+'Expenditures 15-22'!D268-E10</f>
        <v>3052806</v>
      </c>
      <c r="F30" s="1823"/>
      <c r="G30" s="1825">
        <f>'Expenditures 15-22'!K63-SUM('Expenditures 15-22'!G63,'Expenditures 15-22'!I63)+'Expenditures 15-22'!D268-E10</f>
        <v>3052806</v>
      </c>
    </row>
    <row r="31" spans="1:9" ht="12" customHeight="1" x14ac:dyDescent="0.2">
      <c r="A31" s="995" t="s">
        <v>103</v>
      </c>
      <c r="B31" s="998"/>
      <c r="C31" s="994">
        <v>2570</v>
      </c>
      <c r="D31" s="1825">
        <f>'Expenditures 15-22'!K64-SUM('Expenditures 15-22'!G64,'Expenditures 15-22'!I64)+'Expenditures 15-22'!D269-E12</f>
        <v>19738</v>
      </c>
      <c r="E31" s="1825">
        <f>E12</f>
        <v>0</v>
      </c>
      <c r="F31" s="1825">
        <f>'Expenditures 15-22'!K64-SUM('Expenditures 15-22'!G64,'Expenditures 15-22'!I64)+'Expenditures 15-22'!D269-E12</f>
        <v>19738</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104507</v>
      </c>
      <c r="F35" s="1823"/>
      <c r="G35" s="1825">
        <f>'Expenditures 15-22'!K69-SUM('Expenditures 15-22'!G69,'Expenditures 15-22'!I69)+'Expenditures 15-22'!D274</f>
        <v>104507</v>
      </c>
    </row>
    <row r="36" spans="1:7" ht="12" customHeight="1" x14ac:dyDescent="0.2">
      <c r="A36" s="995" t="s">
        <v>423</v>
      </c>
      <c r="B36" s="998"/>
      <c r="C36" s="994">
        <v>2640</v>
      </c>
      <c r="D36" s="1825">
        <f>'Expenditures 15-22'!K70-SUM('Expenditures 15-22'!G70,'Expenditures 15-22'!I70)+'Expenditures 15-22'!D275-E13</f>
        <v>407156</v>
      </c>
      <c r="E36" s="1825">
        <f>E13</f>
        <v>0</v>
      </c>
      <c r="F36" s="1825">
        <f>'Expenditures 15-22'!K70-SUM('Expenditures 15-22'!G70,'Expenditures 15-22'!I70)+'Expenditures 15-22'!D275-E13</f>
        <v>407156</v>
      </c>
      <c r="G36" s="1825">
        <f>E13</f>
        <v>0</v>
      </c>
    </row>
    <row r="37" spans="1:7" ht="12" customHeight="1" x14ac:dyDescent="0.2">
      <c r="A37" s="995" t="s">
        <v>424</v>
      </c>
      <c r="B37" s="998"/>
      <c r="C37" s="994">
        <v>2660</v>
      </c>
      <c r="D37" s="1825">
        <f>'Expenditures 15-22'!K71-SUM('Expenditures 15-22'!G71,'Expenditures 15-22'!I71)+'Expenditures 15-22'!D276-E14</f>
        <v>912855</v>
      </c>
      <c r="E37" s="1825">
        <f>E14</f>
        <v>0</v>
      </c>
      <c r="F37" s="1825">
        <f>'Expenditures 15-22'!K71-SUM('Expenditures 15-22'!G71,'Expenditures 15-22'!I71)+'Expenditures 15-22'!D276-E14</f>
        <v>912855</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117540</v>
      </c>
      <c r="F38" s="1823"/>
      <c r="G38" s="1825">
        <f>'Expenditures 15-22'!K73-SUM('Expenditures 15-22'!G73,'Expenditures 15-22'!I73)+'Expenditures 15-22'!K128-SUM('Expenditures 15-22'!G128,'Expenditures 15-22'!I128)+'Expenditures 15-22'!K183-SUM('Expenditures 15-22'!G183,'Expenditures 15-22'!I183)+'Expenditures 15-22'!D278</f>
        <v>117540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3418199</v>
      </c>
      <c r="F39" s="1823"/>
      <c r="G39" s="1825">
        <f>'Expenditures 15-22'!K75-SUM('Expenditures 15-22'!G75,'Expenditures 15-22'!I75)+'Expenditures 15-22'!K130-SUM('Expenditures 15-22'!G130,'Expenditures 15-22'!I130)+'Expenditures 15-22'!K185-SUM('Expenditures 15-22'!G185,'Expenditures 15-22'!I185)+'Expenditures 15-22'!D280</f>
        <v>3418199</v>
      </c>
    </row>
    <row r="40" spans="1:7" ht="12" customHeight="1" x14ac:dyDescent="0.2">
      <c r="A40" s="991" t="s">
        <v>1927</v>
      </c>
      <c r="B40" s="992"/>
      <c r="C40" s="994"/>
      <c r="D40" s="1823"/>
      <c r="E40" s="1827">
        <f>-'Contracts Paid in CY 29'!G141</f>
        <v>-2016815</v>
      </c>
      <c r="F40" s="1823"/>
      <c r="G40" s="1827">
        <f>-'Contracts Paid in CY 29'!G141</f>
        <v>-2016815</v>
      </c>
    </row>
    <row r="41" spans="1:7" ht="12" customHeight="1" x14ac:dyDescent="0.2">
      <c r="A41" s="999" t="s">
        <v>158</v>
      </c>
      <c r="B41" s="1000"/>
      <c r="C41" s="1001"/>
      <c r="D41" s="1827">
        <f>SUM(D19:D39)</f>
        <v>1881834</v>
      </c>
      <c r="E41" s="1827">
        <f>SUM(E19:E40)</f>
        <v>65832103</v>
      </c>
      <c r="F41" s="1827">
        <f>SUM(F19:F39)</f>
        <v>7944301</v>
      </c>
      <c r="G41" s="1827">
        <f>SUM(G19:G40)</f>
        <v>59769636</v>
      </c>
    </row>
    <row r="42" spans="1:7" x14ac:dyDescent="0.2">
      <c r="A42" s="988"/>
      <c r="B42" s="162"/>
      <c r="C42" s="1002"/>
      <c r="D42" s="2308" t="s">
        <v>543</v>
      </c>
      <c r="E42" s="2309"/>
      <c r="F42" s="1003" t="s">
        <v>544</v>
      </c>
      <c r="G42" s="1004"/>
    </row>
    <row r="43" spans="1:7" ht="12" customHeight="1" x14ac:dyDescent="0.2">
      <c r="A43" s="988"/>
      <c r="B43" s="162"/>
      <c r="C43" s="1002"/>
      <c r="D43" s="1828" t="s">
        <v>493</v>
      </c>
      <c r="E43" s="1829">
        <f>D41</f>
        <v>1881834</v>
      </c>
      <c r="F43" s="1828" t="s">
        <v>495</v>
      </c>
      <c r="G43" s="1829">
        <f>F41</f>
        <v>7944301</v>
      </c>
    </row>
    <row r="44" spans="1:7" ht="12" customHeight="1" x14ac:dyDescent="0.2">
      <c r="A44" s="988"/>
      <c r="B44" s="162"/>
      <c r="C44" s="1002"/>
      <c r="D44" s="1828" t="s">
        <v>494</v>
      </c>
      <c r="E44" s="1829">
        <f>E41</f>
        <v>65832103</v>
      </c>
      <c r="F44" s="1828" t="s">
        <v>494</v>
      </c>
      <c r="G44" s="1829">
        <f>G41</f>
        <v>59769636</v>
      </c>
    </row>
    <row r="45" spans="1:7" ht="12" customHeight="1" x14ac:dyDescent="0.2">
      <c r="A45" s="988"/>
      <c r="B45" s="162"/>
      <c r="C45" s="162"/>
      <c r="D45" s="1830" t="s">
        <v>1063</v>
      </c>
      <c r="E45" s="1831">
        <f>(E43/E44)</f>
        <v>2.8585354473637276E-2</v>
      </c>
      <c r="F45" s="1830" t="s">
        <v>1063</v>
      </c>
      <c r="G45" s="1831">
        <f>(G43/G44)</f>
        <v>0.13291533179154713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249977111117893"/>
    <pageSetUpPr fitToPage="1"/>
  </sheetPr>
  <dimension ref="A1:L97"/>
  <sheetViews>
    <sheetView showGridLines="0" zoomScale="110" zoomScaleNormal="110" workbookViewId="0">
      <pane ySplit="4" topLeftCell="A5" activePane="bottomLeft" state="frozen"/>
      <selection activeCell="A2" sqref="A2"/>
      <selection pane="bottomLeft" activeCell="A2" sqref="A2"/>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27" t="s">
        <v>1446</v>
      </c>
      <c r="B1" s="2327"/>
      <c r="C1" s="2327"/>
      <c r="D1" s="2327"/>
      <c r="E1" s="2327"/>
      <c r="F1" s="2327"/>
    </row>
    <row r="2" spans="1:10" x14ac:dyDescent="0.2">
      <c r="A2" s="1908" t="s">
        <v>2045</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28" t="s">
        <v>1627</v>
      </c>
      <c r="B5" s="2329"/>
      <c r="C5" s="2330"/>
      <c r="D5" s="2330"/>
      <c r="E5" s="2330"/>
      <c r="F5" s="2330"/>
    </row>
    <row r="6" spans="1:10" ht="12" customHeight="1" x14ac:dyDescent="0.25">
      <c r="A6" s="1871"/>
      <c r="B6" s="1872"/>
      <c r="C6" s="2331" t="str">
        <f>COVER!A17</f>
        <v>Rock Island - Milan School District #41</v>
      </c>
      <c r="D6" s="2331"/>
      <c r="E6" s="2331"/>
      <c r="F6" s="1873"/>
    </row>
    <row r="7" spans="1:10" ht="11.25" customHeight="1" thickBot="1" x14ac:dyDescent="0.3">
      <c r="A7" s="1871"/>
      <c r="B7" s="1872"/>
      <c r="C7" s="2332" t="str">
        <f>COVER!A13</f>
        <v>49-081-0410-25</v>
      </c>
      <c r="D7" s="2332"/>
      <c r="E7" s="2332"/>
      <c r="F7" s="1873"/>
    </row>
    <row r="8" spans="1:10" ht="25.5" customHeight="1" thickBot="1" x14ac:dyDescent="0.25">
      <c r="A8" s="1914" t="s">
        <v>2022</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t="s">
        <v>2079</v>
      </c>
      <c r="D13" s="1886" t="s">
        <v>2079</v>
      </c>
      <c r="E13" s="1889"/>
      <c r="F13" s="1888"/>
      <c r="H13" s="1899">
        <f t="shared" si="0"/>
        <v>5</v>
      </c>
      <c r="I13" s="1899">
        <f t="shared" si="1"/>
        <v>5</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c r="D26" s="1886"/>
      <c r="E26" s="1889"/>
      <c r="F26" s="1888"/>
      <c r="H26" s="1899">
        <f t="shared" si="0"/>
        <v>0</v>
      </c>
      <c r="I26" s="1899">
        <f t="shared" si="1"/>
        <v>0</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5</v>
      </c>
      <c r="I34" s="1899">
        <f>SUM(I11:I32)</f>
        <v>5</v>
      </c>
      <c r="J34" s="1899">
        <f>SUM(J11:J32)</f>
        <v>0</v>
      </c>
      <c r="K34" s="1899">
        <f>SUM(H34:J34)</f>
        <v>10</v>
      </c>
    </row>
    <row r="35" spans="1:11" ht="12" customHeight="1" x14ac:dyDescent="0.2">
      <c r="A35" s="1892" t="s">
        <v>1459</v>
      </c>
      <c r="B35" s="1893"/>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4"/>
      <c r="B39" s="1894"/>
      <c r="C39" s="1894"/>
      <c r="D39" s="1894"/>
      <c r="E39" s="1894"/>
      <c r="F39" s="1894"/>
    </row>
    <row r="40" spans="1:11" s="1891" customFormat="1" ht="12" customHeight="1" x14ac:dyDescent="0.25">
      <c r="A40" s="1895" t="s">
        <v>1458</v>
      </c>
      <c r="B40" s="1896"/>
      <c r="C40" s="2322"/>
      <c r="D40" s="2322"/>
      <c r="E40" s="2322"/>
      <c r="F40" s="2323"/>
      <c r="H40" s="1900"/>
      <c r="I40" s="1900"/>
      <c r="J40" s="1900"/>
      <c r="K40" s="1900"/>
    </row>
    <row r="41" spans="1:11" s="1891" customFormat="1" ht="12" customHeight="1" x14ac:dyDescent="0.25">
      <c r="A41" s="2324"/>
      <c r="B41" s="2325"/>
      <c r="C41" s="2325"/>
      <c r="D41" s="2325"/>
      <c r="E41" s="2325"/>
      <c r="F41" s="2326"/>
      <c r="H41" s="1900"/>
      <c r="I41" s="1900"/>
      <c r="J41" s="1900"/>
      <c r="K41" s="1900"/>
    </row>
    <row r="42" spans="1:11" s="1891" customFormat="1" ht="12" customHeight="1" x14ac:dyDescent="0.25">
      <c r="A42" s="2324"/>
      <c r="B42" s="2325"/>
      <c r="C42" s="2325"/>
      <c r="D42" s="2325"/>
      <c r="E42" s="2325"/>
      <c r="F42" s="2326"/>
      <c r="H42" s="1900"/>
      <c r="I42" s="1900"/>
      <c r="J42" s="1900"/>
      <c r="K42" s="1900"/>
    </row>
    <row r="43" spans="1:11" s="1891" customFormat="1" ht="15" x14ac:dyDescent="0.25">
      <c r="A43" s="2313"/>
      <c r="B43" s="2314"/>
      <c r="C43" s="2314"/>
      <c r="D43" s="2314"/>
      <c r="E43" s="2314"/>
      <c r="F43" s="2315"/>
      <c r="H43" s="1900"/>
      <c r="I43" s="1900"/>
      <c r="J43" s="1900"/>
      <c r="K43" s="1900"/>
    </row>
    <row r="44" spans="1:11" s="1891" customFormat="1" ht="12" hidden="1" customHeight="1" x14ac:dyDescent="0.25">
      <c r="A44" s="2313"/>
      <c r="B44" s="2314"/>
      <c r="C44" s="2314"/>
      <c r="D44" s="2314"/>
      <c r="E44" s="2314"/>
      <c r="F44" s="2315"/>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42" sqref="C4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40" t="str">
        <f>COVER!A17</f>
        <v>Rock Island - Milan School District #41</v>
      </c>
      <c r="J6" s="2341"/>
      <c r="Q6" s="1684"/>
    </row>
    <row r="7" spans="1:17" x14ac:dyDescent="0.2">
      <c r="A7" s="2342" t="s">
        <v>924</v>
      </c>
      <c r="B7" s="2343"/>
      <c r="C7" s="2343"/>
      <c r="D7" s="2343"/>
      <c r="E7" s="2344"/>
      <c r="F7" s="1018"/>
      <c r="G7" s="1010"/>
      <c r="H7" s="1017" t="s">
        <v>390</v>
      </c>
      <c r="I7" s="2345" t="str">
        <f>COVER!A13</f>
        <v>49-081-0410-25</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323847</v>
      </c>
      <c r="F12" s="1040"/>
      <c r="G12" s="1832">
        <f t="shared" ref="G12:G18" si="0">SUM(E12:F12)</f>
        <v>323847</v>
      </c>
      <c r="H12" s="1041">
        <v>351285</v>
      </c>
      <c r="I12" s="1040"/>
      <c r="J12" s="1832">
        <f t="shared" ref="J12:J18" si="1">SUM(H12:I12)</f>
        <v>351285</v>
      </c>
    </row>
    <row r="13" spans="1:17" ht="15" customHeight="1" x14ac:dyDescent="0.2">
      <c r="A13" s="1036">
        <v>2</v>
      </c>
      <c r="B13" s="1037" t="s">
        <v>44</v>
      </c>
      <c r="C13" s="1038"/>
      <c r="D13" s="1039">
        <v>2330</v>
      </c>
      <c r="E13" s="1832">
        <f>'Expenditures 15-22'!K51</f>
        <v>161827</v>
      </c>
      <c r="F13" s="1040"/>
      <c r="G13" s="1832">
        <f t="shared" si="0"/>
        <v>161827</v>
      </c>
      <c r="H13" s="1041">
        <v>136856</v>
      </c>
      <c r="I13" s="1040"/>
      <c r="J13" s="1832">
        <f t="shared" si="1"/>
        <v>136856</v>
      </c>
    </row>
    <row r="14" spans="1:17" ht="15" customHeight="1" x14ac:dyDescent="0.2">
      <c r="A14" s="1036">
        <v>3</v>
      </c>
      <c r="B14" s="1037" t="s">
        <v>45</v>
      </c>
      <c r="C14" s="1038"/>
      <c r="D14" s="1042">
        <v>2490</v>
      </c>
      <c r="E14" s="1832">
        <f>'Expenditures 15-22'!K56</f>
        <v>0</v>
      </c>
      <c r="F14" s="1040"/>
      <c r="G14" s="1832">
        <f t="shared" si="0"/>
        <v>0</v>
      </c>
      <c r="H14" s="1041">
        <v>0</v>
      </c>
      <c r="I14" s="1040"/>
      <c r="J14" s="1832">
        <f t="shared" si="1"/>
        <v>0</v>
      </c>
    </row>
    <row r="15" spans="1:17" ht="15" customHeight="1" x14ac:dyDescent="0.2">
      <c r="A15" s="1036">
        <v>4</v>
      </c>
      <c r="B15" s="1037" t="s">
        <v>1128</v>
      </c>
      <c r="C15" s="1038"/>
      <c r="D15" s="1039">
        <v>2510</v>
      </c>
      <c r="E15" s="1832">
        <f>'Expenditures 15-22'!K59</f>
        <v>201941</v>
      </c>
      <c r="F15" s="1832">
        <f>'Expenditures 15-22'!K122</f>
        <v>0</v>
      </c>
      <c r="G15" s="1832">
        <f t="shared" si="0"/>
        <v>201941</v>
      </c>
      <c r="H15" s="1041">
        <v>245387</v>
      </c>
      <c r="I15" s="1041"/>
      <c r="J15" s="1832">
        <f t="shared" si="1"/>
        <v>245387</v>
      </c>
    </row>
    <row r="16" spans="1:17" ht="15" customHeight="1" x14ac:dyDescent="0.2">
      <c r="A16" s="1036">
        <v>5</v>
      </c>
      <c r="B16" s="1037" t="s">
        <v>103</v>
      </c>
      <c r="C16" s="1038"/>
      <c r="D16" s="1039">
        <v>2570</v>
      </c>
      <c r="E16" s="1832">
        <f>'Expenditures 15-22'!K64</f>
        <v>10432</v>
      </c>
      <c r="F16" s="1040"/>
      <c r="G16" s="1832">
        <f t="shared" si="0"/>
        <v>10432</v>
      </c>
      <c r="H16" s="1041">
        <v>10000</v>
      </c>
      <c r="I16" s="1040"/>
      <c r="J16" s="1832">
        <f t="shared" si="1"/>
        <v>10000</v>
      </c>
    </row>
    <row r="17" spans="1:10" ht="15" customHeight="1" x14ac:dyDescent="0.2">
      <c r="A17" s="1036">
        <v>6</v>
      </c>
      <c r="B17" s="1037" t="s">
        <v>1120</v>
      </c>
      <c r="C17" s="1038"/>
      <c r="D17" s="1039">
        <v>2610</v>
      </c>
      <c r="E17" s="1832">
        <f>'Expenditures 15-22'!K67</f>
        <v>0</v>
      </c>
      <c r="F17" s="1040"/>
      <c r="G17" s="1832">
        <f t="shared" si="0"/>
        <v>0</v>
      </c>
      <c r="H17" s="1041">
        <v>9226</v>
      </c>
      <c r="I17" s="1040"/>
      <c r="J17" s="1832">
        <f t="shared" si="1"/>
        <v>9226</v>
      </c>
    </row>
    <row r="18" spans="1:10" ht="22.5" customHeight="1" x14ac:dyDescent="0.2">
      <c r="A18" s="1043">
        <v>7</v>
      </c>
      <c r="B18" s="2349" t="s">
        <v>7</v>
      </c>
      <c r="C18" s="2350"/>
      <c r="D18" s="2351"/>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698047</v>
      </c>
      <c r="F19" s="1834">
        <f t="shared" si="2"/>
        <v>0</v>
      </c>
      <c r="G19" s="1834">
        <f t="shared" si="2"/>
        <v>698047</v>
      </c>
      <c r="H19" s="1834">
        <f t="shared" si="2"/>
        <v>752754</v>
      </c>
      <c r="I19" s="1834">
        <f t="shared" si="2"/>
        <v>0</v>
      </c>
      <c r="J19" s="1834">
        <f t="shared" si="2"/>
        <v>752754</v>
      </c>
    </row>
    <row r="20" spans="1:10" ht="13.5" thickTop="1" x14ac:dyDescent="0.2">
      <c r="A20" s="1036">
        <v>9</v>
      </c>
      <c r="B20" s="2352" t="s">
        <v>1703</v>
      </c>
      <c r="C20" s="2352"/>
      <c r="D20" s="2353"/>
      <c r="E20" s="1047"/>
      <c r="F20" s="1047"/>
      <c r="G20" s="1047"/>
      <c r="H20" s="1047"/>
      <c r="I20" s="1047"/>
      <c r="J20" s="1835">
        <f>IF(AND(G19&gt;0,J19&gt;0),(((J19-G19)/G19)),"Enter Budget Data")</f>
        <v>7.8371513665985243E-2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t="s">
        <v>2173</v>
      </c>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0"/>
  <sheetViews>
    <sheetView showGridLines="0" zoomScale="110" zoomScaleNormal="110" workbookViewId="0">
      <selection activeCell="E15" sqref="E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ht="14.25" customHeight="1" x14ac:dyDescent="0.2">
      <c r="A5" s="1069">
        <v>1</v>
      </c>
      <c r="B5" s="1952" t="s">
        <v>2182</v>
      </c>
    </row>
    <row r="6" spans="1:2" x14ac:dyDescent="0.2">
      <c r="A6" s="1069">
        <v>3</v>
      </c>
      <c r="B6" s="329" t="s">
        <v>2181</v>
      </c>
    </row>
    <row r="7" spans="1:2" x14ac:dyDescent="0.2">
      <c r="A7" s="1953">
        <v>4</v>
      </c>
      <c r="B7" s="329" t="s">
        <v>2183</v>
      </c>
    </row>
    <row r="8" spans="1:2" x14ac:dyDescent="0.2">
      <c r="A8" s="1953">
        <v>6</v>
      </c>
      <c r="B8" s="329" t="s">
        <v>2140</v>
      </c>
    </row>
    <row r="9" spans="1:2" x14ac:dyDescent="0.2">
      <c r="A9" s="1953">
        <v>7</v>
      </c>
      <c r="B9" s="329" t="s">
        <v>2141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c r="B59" s="258" t="str">
        <f>COVER!A17</f>
        <v>Rock Island - Milan School District #41</v>
      </c>
    </row>
    <row r="60" spans="1:2" x14ac:dyDescent="0.2">
      <c r="B60" s="1071" t="str">
        <f>COVER!A13</f>
        <v>49-081-0410-25</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I84"/>
  <sheetViews>
    <sheetView showGridLines="0" topLeftCell="A55" zoomScale="110" zoomScaleNormal="110" workbookViewId="0">
      <selection activeCell="A2" sqref="A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 sqref="A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 zoomScale="110" zoomScaleNormal="110" workbookViewId="0">
      <selection activeCell="I19" sqref="I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F11" s="1072"/>
    </row>
    <row r="12" spans="1:6" x14ac:dyDescent="0.2">
      <c r="E12" s="1072"/>
    </row>
    <row r="13" spans="1:6" x14ac:dyDescent="0.2">
      <c r="A13" s="1073" t="s">
        <v>1573</v>
      </c>
    </row>
    <row r="15" spans="1:6" x14ac:dyDescent="0.2">
      <c r="A15" s="389" t="s">
        <v>912</v>
      </c>
    </row>
    <row r="16" spans="1:6" s="1072" customFormat="1" ht="45" customHeight="1" x14ac:dyDescent="0.2">
      <c r="A16" s="1074"/>
      <c r="B16" s="1074" t="s">
        <v>1783</v>
      </c>
      <c r="E16" s="329"/>
    </row>
    <row r="17" spans="1:5" ht="6" customHeight="1" x14ac:dyDescent="0.2">
      <c r="E17" s="1072"/>
    </row>
    <row r="18" spans="1:5"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4</xdr:col>
                <xdr:colOff>0</xdr:colOff>
                <xdr:row>9</xdr:row>
                <xdr:rowOff>0</xdr:rowOff>
              </from>
              <to>
                <xdr:col>5</xdr:col>
                <xdr:colOff>285750</xdr:colOff>
                <xdr:row>12</xdr:row>
                <xdr:rowOff>161925</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6</xdr:col>
                <xdr:colOff>0</xdr:colOff>
                <xdr:row>9</xdr:row>
                <xdr:rowOff>0</xdr:rowOff>
              </from>
              <to>
                <xdr:col>7</xdr:col>
                <xdr:colOff>285750</xdr:colOff>
                <xdr:row>12</xdr:row>
                <xdr:rowOff>161925</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8</xdr:col>
                <xdr:colOff>0</xdr:colOff>
                <xdr:row>9</xdr:row>
                <xdr:rowOff>0</xdr:rowOff>
              </from>
              <to>
                <xdr:col>9</xdr:col>
                <xdr:colOff>285750</xdr:colOff>
                <xdr:row>12</xdr:row>
                <xdr:rowOff>161925</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10</xdr:col>
                <xdr:colOff>0</xdr:colOff>
                <xdr:row>9</xdr:row>
                <xdr:rowOff>0</xdr:rowOff>
              </from>
              <to>
                <xdr:col>11</xdr:col>
                <xdr:colOff>285750</xdr:colOff>
                <xdr:row>12</xdr:row>
                <xdr:rowOff>161925</xdr:rowOff>
              </to>
            </anchor>
          </objectPr>
        </oleObject>
      </mc:Choice>
      <mc:Fallback>
        <oleObject progId="AcroExch.Document.7"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 sqref="A2:F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64174247</v>
      </c>
      <c r="C8" s="1836">
        <f>'Acct Summary 7-8'!D8</f>
        <v>5342045</v>
      </c>
      <c r="D8" s="1836">
        <f>'Acct Summary 7-8'!F8</f>
        <v>1974414</v>
      </c>
      <c r="E8" s="1836">
        <f>'Acct Summary 7-8'!I8</f>
        <v>271482</v>
      </c>
      <c r="F8" s="1836">
        <f>SUM(B8:E8)</f>
        <v>71762188</v>
      </c>
    </row>
    <row r="9" spans="1:8" s="1080" customFormat="1" ht="14.25" customHeight="1" thickBot="1" x14ac:dyDescent="0.25">
      <c r="A9" s="1079" t="s">
        <v>1436</v>
      </c>
      <c r="B9" s="1837">
        <f>'Acct Summary 7-8'!C17</f>
        <v>62591994</v>
      </c>
      <c r="C9" s="1837">
        <f>'Acct Summary 7-8'!D17</f>
        <v>5345966</v>
      </c>
      <c r="D9" s="1837">
        <f>'Acct Summary 7-8'!F17</f>
        <v>1537855</v>
      </c>
      <c r="E9" s="1836"/>
      <c r="F9" s="1836">
        <f>SUM(B9:E9)</f>
        <v>69475815</v>
      </c>
    </row>
    <row r="10" spans="1:8" s="1080" customFormat="1" ht="14.25" thickTop="1" thickBot="1" x14ac:dyDescent="0.25">
      <c r="A10" s="1081" t="s">
        <v>1437</v>
      </c>
      <c r="B10" s="1838">
        <f>(B8-B9)</f>
        <v>1582253</v>
      </c>
      <c r="C10" s="1838">
        <f>(C8-C9)</f>
        <v>-3921</v>
      </c>
      <c r="D10" s="1838">
        <f>(D8-D9)</f>
        <v>436559</v>
      </c>
      <c r="E10" s="1837">
        <f>(E8-E9)</f>
        <v>271482</v>
      </c>
      <c r="F10" s="1839">
        <f>SUM(F8-F9)</f>
        <v>2286373</v>
      </c>
    </row>
    <row r="11" spans="1:8" s="1080" customFormat="1" ht="14.25" thickTop="1" thickBot="1" x14ac:dyDescent="0.25">
      <c r="A11" s="1082" t="s">
        <v>1785</v>
      </c>
      <c r="B11" s="1840">
        <f>'Acct Summary 7-8'!C81</f>
        <v>24523003</v>
      </c>
      <c r="C11" s="1840">
        <f>'Acct Summary 7-8'!D81</f>
        <v>5914969</v>
      </c>
      <c r="D11" s="1840">
        <f>'Acct Summary 7-8'!F81</f>
        <v>2447466</v>
      </c>
      <c r="E11" s="1840">
        <f>'Acct Summary 7-8'!I81</f>
        <v>4181360</v>
      </c>
      <c r="F11" s="1841">
        <f>SUM(B11:E11)</f>
        <v>37066798</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29" sqref="D2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49-081-0410-25</v>
      </c>
    </row>
    <row r="3" spans="1:2" x14ac:dyDescent="0.2">
      <c r="A3" t="s">
        <v>1013</v>
      </c>
      <c r="B3" s="138" t="str">
        <f>COVER!A15</f>
        <v>Rock Island</v>
      </c>
    </row>
    <row r="4" spans="1:2" x14ac:dyDescent="0.2">
      <c r="A4" t="s">
        <v>1064</v>
      </c>
      <c r="B4" s="138" t="str">
        <f>COVER!A17</f>
        <v>Rock Island - Milan School District #41</v>
      </c>
    </row>
    <row r="5" spans="1:2" x14ac:dyDescent="0.2">
      <c r="A5" t="s">
        <v>728</v>
      </c>
      <c r="B5" s="138" t="str">
        <f>COVER!A38</f>
        <v>Dr. Michael Oberhaus</v>
      </c>
    </row>
    <row r="6" spans="1:2" x14ac:dyDescent="0.2">
      <c r="A6" t="s">
        <v>733</v>
      </c>
      <c r="B6" s="138">
        <f>COVER!P35</f>
        <v>0</v>
      </c>
    </row>
    <row r="7" spans="1:2" x14ac:dyDescent="0.2">
      <c r="A7" t="s">
        <v>729</v>
      </c>
      <c r="B7" s="138">
        <f>COVER!I38</f>
        <v>0</v>
      </c>
    </row>
    <row r="8" spans="1:2" x14ac:dyDescent="0.2">
      <c r="A8" t="s">
        <v>730</v>
      </c>
      <c r="B8" s="138" t="str">
        <f>COVER!T38</f>
        <v>Ms. Tammy Muerhoff</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066.004397</v>
      </c>
    </row>
    <row r="16" spans="1:2" x14ac:dyDescent="0.2">
      <c r="A16" t="s">
        <v>442</v>
      </c>
      <c r="B16" s="138" t="str">
        <f>COVER!T13</f>
        <v>Bohnsack &amp; Frommelt LLP</v>
      </c>
    </row>
    <row r="17" spans="1:2" x14ac:dyDescent="0.2">
      <c r="A17" t="s">
        <v>939</v>
      </c>
      <c r="B17" s="138" t="str">
        <f>COVER!T15</f>
        <v>Sarah Bohnsack</v>
      </c>
    </row>
    <row r="18" spans="1:2" x14ac:dyDescent="0.2">
      <c r="A18" t="s">
        <v>1212</v>
      </c>
      <c r="B18" s="138" t="str">
        <f>COVER!T17</f>
        <v>1500 River Drive, Suite 200</v>
      </c>
    </row>
    <row r="19" spans="1:2" x14ac:dyDescent="0.2">
      <c r="A19" t="s">
        <v>941</v>
      </c>
      <c r="B19" s="138" t="str">
        <f>COVER!T25</f>
        <v>Sarah@Governmenetalservice.com</v>
      </c>
    </row>
    <row r="20" spans="1:2" x14ac:dyDescent="0.2">
      <c r="A20" t="s">
        <v>942</v>
      </c>
      <c r="B20" s="138" t="str">
        <f>COVER!T19</f>
        <v>Moline</v>
      </c>
    </row>
    <row r="21" spans="1:2" x14ac:dyDescent="0.2">
      <c r="A21" t="s">
        <v>500</v>
      </c>
      <c r="B21" s="138" t="str">
        <f>COVER!X19</f>
        <v>IL</v>
      </c>
    </row>
    <row r="22" spans="1:2" x14ac:dyDescent="0.2">
      <c r="A22" t="s">
        <v>943</v>
      </c>
      <c r="B22" s="138">
        <f>COVER!Z19</f>
        <v>61265</v>
      </c>
    </row>
    <row r="23" spans="1:2" x14ac:dyDescent="0.2">
      <c r="A23" t="s">
        <v>1214</v>
      </c>
      <c r="B23" s="138" t="str">
        <f>COVER!T21</f>
        <v>563-343-9595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20820133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20520383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45837114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17603808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21314111</v>
      </c>
      <c r="C91" s="2" t="s">
        <v>594</v>
      </c>
      <c r="D91" s="2" t="str">
        <f t="shared" si="0"/>
        <v>Error?</v>
      </c>
    </row>
    <row r="92" spans="1:4" x14ac:dyDescent="0.2">
      <c r="A92" s="5">
        <v>31</v>
      </c>
      <c r="B92" s="138">
        <f>'Assets-Liab 5-6'!C39</f>
        <v>24523003</v>
      </c>
      <c r="D92" s="2" t="str">
        <f t="shared" si="0"/>
        <v>Error?</v>
      </c>
    </row>
    <row r="93" spans="1:4" x14ac:dyDescent="0.2">
      <c r="A93" s="5">
        <v>32</v>
      </c>
      <c r="B93" s="138">
        <f>'Assets-Liab 5-6'!C41</f>
        <v>45837114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4820278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10077310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3978896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4162341</v>
      </c>
      <c r="C122" s="2" t="s">
        <v>594</v>
      </c>
      <c r="D122" s="2" t="str">
        <f t="shared" si="0"/>
        <v>Error?</v>
      </c>
    </row>
    <row r="123" spans="1:4" x14ac:dyDescent="0.2">
      <c r="A123" s="5">
        <v>62</v>
      </c>
      <c r="B123" s="138">
        <f>'Assets-Liab 5-6'!D39</f>
        <v>5596295</v>
      </c>
      <c r="D123" s="2" t="str">
        <f t="shared" si="0"/>
        <v>Error?</v>
      </c>
    </row>
    <row r="124" spans="1:4" x14ac:dyDescent="0.2">
      <c r="A124" s="5">
        <v>63</v>
      </c>
      <c r="B124" s="138">
        <f>'Assets-Liab 5-6'!D41</f>
        <v>10077310</v>
      </c>
      <c r="C124" s="2" t="s">
        <v>594</v>
      </c>
      <c r="D124" s="2" t="str">
        <f t="shared" si="0"/>
        <v>Error?</v>
      </c>
    </row>
    <row r="125" spans="1:4" x14ac:dyDescent="0.2">
      <c r="A125" s="10">
        <v>64</v>
      </c>
      <c r="D125" s="2" t="str">
        <f t="shared" si="0"/>
        <v>OK</v>
      </c>
    </row>
    <row r="126" spans="1:4" x14ac:dyDescent="0.2">
      <c r="A126" s="5">
        <v>65</v>
      </c>
      <c r="B126" s="138">
        <f>'Assets-Liab 5-6'!E6</f>
        <v>3542241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5074401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2923162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2923162</v>
      </c>
      <c r="C139" s="2" t="s">
        <v>594</v>
      </c>
      <c r="D139" s="2" t="str">
        <f t="shared" si="1"/>
        <v>Error?</v>
      </c>
    </row>
    <row r="140" spans="1:4" x14ac:dyDescent="0.2">
      <c r="A140" s="5">
        <v>79</v>
      </c>
      <c r="B140" s="138">
        <f>'Assets-Liab 5-6'!E39</f>
        <v>2151239</v>
      </c>
      <c r="D140" s="2" t="str">
        <f t="shared" si="1"/>
        <v>Error?</v>
      </c>
    </row>
    <row r="141" spans="1:4" x14ac:dyDescent="0.2">
      <c r="A141" s="5">
        <v>80</v>
      </c>
      <c r="B141" s="138">
        <f>'Assets-Liab 5-6'!E41</f>
        <v>5074401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1287534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4510409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1979325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2062943</v>
      </c>
      <c r="C169" s="2" t="s">
        <v>594</v>
      </c>
      <c r="D169" s="2" t="str">
        <f t="shared" si="1"/>
        <v>Error?</v>
      </c>
    </row>
    <row r="170" spans="1:4" x14ac:dyDescent="0.2">
      <c r="A170" s="5">
        <v>109</v>
      </c>
      <c r="B170" s="138">
        <f>'Assets-Liab 5-6'!F39</f>
        <v>2447466</v>
      </c>
      <c r="D170" s="2" t="str">
        <f t="shared" si="1"/>
        <v>Error?</v>
      </c>
    </row>
    <row r="171" spans="1:4" x14ac:dyDescent="0.2">
      <c r="A171" s="5">
        <v>110</v>
      </c>
      <c r="B171" s="138">
        <f>'Assets-Liab 5-6'!F41</f>
        <v>4510409</v>
      </c>
      <c r="C171" s="2" t="s">
        <v>594</v>
      </c>
      <c r="D171" s="2" t="str">
        <f t="shared" si="1"/>
        <v>Error?</v>
      </c>
    </row>
    <row r="172" spans="1:4" x14ac:dyDescent="0.2">
      <c r="A172" s="10">
        <v>111</v>
      </c>
      <c r="D172" s="2" t="str">
        <f t="shared" si="1"/>
        <v>OK</v>
      </c>
    </row>
    <row r="173" spans="1:4" x14ac:dyDescent="0.2">
      <c r="A173" s="5">
        <v>112</v>
      </c>
      <c r="B173" s="138">
        <f>'Assets-Liab 5-6'!G6</f>
        <v>2577865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3510220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2122078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2347542</v>
      </c>
      <c r="C188" s="2" t="s">
        <v>594</v>
      </c>
      <c r="D188" s="2" t="str">
        <f t="shared" si="1"/>
        <v>Error?</v>
      </c>
    </row>
    <row r="189" spans="1:4" x14ac:dyDescent="0.2">
      <c r="A189" s="5">
        <v>128</v>
      </c>
      <c r="B189" s="138">
        <f>'Assets-Liab 5-6'!G39</f>
        <v>1162678</v>
      </c>
      <c r="D189" s="2" t="str">
        <f t="shared" si="1"/>
        <v>Error?</v>
      </c>
    </row>
    <row r="190" spans="1:4" x14ac:dyDescent="0.2">
      <c r="A190" s="5">
        <v>129</v>
      </c>
      <c r="B190" s="138">
        <f>'Assets-Liab 5-6'!G41</f>
        <v>3510220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2023613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308325</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1357025</v>
      </c>
      <c r="C211" s="2" t="s">
        <v>594</v>
      </c>
      <c r="D211" s="2" t="str">
        <f t="shared" si="2"/>
        <v>Error?</v>
      </c>
    </row>
    <row r="212" spans="1:4" x14ac:dyDescent="0.2">
      <c r="A212" s="5">
        <v>151</v>
      </c>
      <c r="B212" s="138">
        <f>'Assets-Liab 5-6'!H39</f>
        <v>666588</v>
      </c>
      <c r="D212" s="2" t="str">
        <f t="shared" si="2"/>
        <v>Error?</v>
      </c>
    </row>
    <row r="213" spans="1:4" x14ac:dyDescent="0.2">
      <c r="A213" s="12">
        <v>152</v>
      </c>
      <c r="B213" s="138">
        <f>'Assets-Liab 5-6'!H41</f>
        <v>2023613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2438741</v>
      </c>
      <c r="D273" s="2" t="str">
        <f t="shared" si="3"/>
        <v>Error?</v>
      </c>
    </row>
    <row r="274" spans="1:4" x14ac:dyDescent="0.2">
      <c r="A274" s="5">
        <v>213</v>
      </c>
      <c r="B274" s="138">
        <f>'Assets-Liab 5-6'!M17</f>
        <v>46498231</v>
      </c>
      <c r="D274" s="2" t="str">
        <f t="shared" si="3"/>
        <v>Error?</v>
      </c>
    </row>
    <row r="275" spans="1:4" x14ac:dyDescent="0.2">
      <c r="A275" s="5">
        <v>214</v>
      </c>
      <c r="B275" s="138">
        <f>'Assets-Liab 5-6'!M18</f>
        <v>1209133</v>
      </c>
      <c r="D275" s="2" t="str">
        <f t="shared" si="3"/>
        <v>Error?</v>
      </c>
    </row>
    <row r="276" spans="1:4" x14ac:dyDescent="0.2">
      <c r="A276" s="5">
        <v>215</v>
      </c>
      <c r="B276" s="138">
        <f>'Assets-Liab 5-6'!M19</f>
        <v>679492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52188344</v>
      </c>
      <c r="C279" s="2" t="s">
        <v>594</v>
      </c>
      <c r="D279" s="2" t="str">
        <f t="shared" si="3"/>
        <v>Error?</v>
      </c>
    </row>
    <row r="280" spans="1:4" x14ac:dyDescent="0.2">
      <c r="A280" s="5">
        <v>219</v>
      </c>
      <c r="B280" s="138">
        <f>'Assets-Liab 5-6'!M40</f>
        <v>52188344</v>
      </c>
      <c r="D280" s="2" t="str">
        <f t="shared" si="3"/>
        <v>Error?</v>
      </c>
    </row>
    <row r="281" spans="1:4" x14ac:dyDescent="0.2">
      <c r="A281" s="5">
        <v>220</v>
      </c>
      <c r="B281" s="138">
        <f>'Assets-Liab 5-6'!M41</f>
        <v>52188344</v>
      </c>
      <c r="C281" s="2" t="s">
        <v>594</v>
      </c>
      <c r="D281" s="2" t="str">
        <f t="shared" si="3"/>
        <v>Error?</v>
      </c>
    </row>
    <row r="282" spans="1:4" x14ac:dyDescent="0.2">
      <c r="A282" s="5">
        <v>221</v>
      </c>
      <c r="B282" s="138">
        <f>'Assets-Liab 5-6'!N21</f>
        <v>2151239</v>
      </c>
      <c r="D282" s="2" t="str">
        <f t="shared" si="3"/>
        <v>Error?</v>
      </c>
    </row>
    <row r="283" spans="1:4" x14ac:dyDescent="0.2">
      <c r="A283" s="5">
        <v>222</v>
      </c>
      <c r="B283" s="138">
        <f>'Assets-Liab 5-6'!N22</f>
        <v>25578761</v>
      </c>
      <c r="D283" s="2" t="str">
        <f t="shared" si="3"/>
        <v>Error?</v>
      </c>
    </row>
    <row r="284" spans="1:4" x14ac:dyDescent="0.2">
      <c r="A284" s="5">
        <v>223</v>
      </c>
      <c r="B284" s="138">
        <f>'Assets-Liab 5-6'!N23</f>
        <v>27730000</v>
      </c>
      <c r="C284" s="2" t="s">
        <v>594</v>
      </c>
      <c r="D284" s="2" t="str">
        <f t="shared" si="3"/>
        <v>Error?</v>
      </c>
    </row>
    <row r="285" spans="1:4" x14ac:dyDescent="0.2">
      <c r="A285" s="5">
        <v>224</v>
      </c>
      <c r="B285" s="138">
        <f>'Assets-Liab 5-6'!N36</f>
        <v>27730000</v>
      </c>
      <c r="D285" s="2" t="str">
        <f t="shared" si="3"/>
        <v>Error?</v>
      </c>
    </row>
    <row r="286" spans="1:4" x14ac:dyDescent="0.2">
      <c r="A286" s="10">
        <v>225</v>
      </c>
      <c r="D286" s="2" t="str">
        <f t="shared" si="3"/>
        <v>OK</v>
      </c>
    </row>
    <row r="287" spans="1:4" x14ac:dyDescent="0.2">
      <c r="A287" s="5">
        <v>226</v>
      </c>
      <c r="B287" s="138">
        <f>'Assets-Liab 5-6'!N37</f>
        <v>27730000</v>
      </c>
      <c r="C287" s="2" t="s">
        <v>594</v>
      </c>
      <c r="D287" s="2" t="str">
        <f t="shared" si="3"/>
        <v>Error?</v>
      </c>
    </row>
    <row r="288" spans="1:4" x14ac:dyDescent="0.2">
      <c r="A288" s="5">
        <v>227</v>
      </c>
      <c r="B288" s="138">
        <f>'Assets-Liab 5-6'!N41</f>
        <v>27730000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2173345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20164240</v>
      </c>
      <c r="D705" s="2" t="str">
        <f t="shared" si="10"/>
        <v>Error?</v>
      </c>
    </row>
    <row r="706" spans="1:4" x14ac:dyDescent="0.2">
      <c r="A706" s="5">
        <v>645</v>
      </c>
      <c r="B706" s="138">
        <f>'Expenditures 15-22'!C16</f>
        <v>261267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1179612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666832</v>
      </c>
      <c r="D717" s="2" t="str">
        <f t="shared" si="10"/>
        <v>Error?</v>
      </c>
    </row>
    <row r="718" spans="1:4" x14ac:dyDescent="0.2">
      <c r="A718" s="5">
        <v>657</v>
      </c>
      <c r="B718" s="138">
        <f>'Expenditures 15-22'!C14</f>
        <v>1204296</v>
      </c>
      <c r="D718" s="2" t="str">
        <f t="shared" si="10"/>
        <v>Error?</v>
      </c>
    </row>
    <row r="719" spans="1:4" x14ac:dyDescent="0.2">
      <c r="A719" s="5">
        <v>658</v>
      </c>
      <c r="B719" s="138">
        <f>'Expenditures 15-22'!C15</f>
        <v>58886</v>
      </c>
      <c r="D719" s="2" t="str">
        <f t="shared" si="10"/>
        <v>Error?</v>
      </c>
    </row>
    <row r="720" spans="1:4" x14ac:dyDescent="0.2">
      <c r="A720" s="5">
        <v>659</v>
      </c>
      <c r="B720" s="138">
        <f>'Expenditures 15-22'!C33</f>
        <v>31134798</v>
      </c>
      <c r="C720" s="2" t="s">
        <v>594</v>
      </c>
      <c r="D720" s="2" t="str">
        <f t="shared" si="10"/>
        <v>Error?</v>
      </c>
    </row>
    <row r="721" spans="1:4" x14ac:dyDescent="0.2">
      <c r="A721" s="5">
        <v>660</v>
      </c>
      <c r="B721" s="138">
        <f>'Expenditures 15-22'!C36</f>
        <v>592161</v>
      </c>
      <c r="D721" s="2" t="str">
        <f t="shared" si="10"/>
        <v>Error?</v>
      </c>
    </row>
    <row r="722" spans="1:4" x14ac:dyDescent="0.2">
      <c r="A722" s="5">
        <v>661</v>
      </c>
      <c r="B722" s="138">
        <f>'Expenditures 15-22'!C37</f>
        <v>1166411</v>
      </c>
      <c r="D722" s="2" t="str">
        <f t="shared" si="10"/>
        <v>Error?</v>
      </c>
    </row>
    <row r="723" spans="1:4" x14ac:dyDescent="0.2">
      <c r="A723" s="5">
        <v>662</v>
      </c>
      <c r="B723" s="138">
        <f>'Expenditures 15-22'!C38</f>
        <v>478453</v>
      </c>
      <c r="D723" s="2" t="str">
        <f t="shared" si="10"/>
        <v>Error?</v>
      </c>
    </row>
    <row r="724" spans="1:4" x14ac:dyDescent="0.2">
      <c r="A724" s="5">
        <v>663</v>
      </c>
      <c r="B724" s="138">
        <f>'Expenditures 15-22'!C39</f>
        <v>912063</v>
      </c>
      <c r="D724" s="2" t="str">
        <f t="shared" si="10"/>
        <v>Error?</v>
      </c>
    </row>
    <row r="725" spans="1:4" x14ac:dyDescent="0.2">
      <c r="A725" s="5">
        <v>664</v>
      </c>
      <c r="B725" s="138">
        <f>'Expenditures 15-22'!C40</f>
        <v>689974</v>
      </c>
      <c r="D725" s="2" t="str">
        <f t="shared" si="10"/>
        <v>Error?</v>
      </c>
    </row>
    <row r="726" spans="1:4" x14ac:dyDescent="0.2">
      <c r="A726" s="5">
        <v>665</v>
      </c>
      <c r="B726" s="138">
        <f>'Expenditures 15-22'!C41</f>
        <v>70414</v>
      </c>
      <c r="D726" s="2" t="str">
        <f t="shared" si="10"/>
        <v>Error?</v>
      </c>
    </row>
    <row r="727" spans="1:4" x14ac:dyDescent="0.2">
      <c r="A727" s="5">
        <v>666</v>
      </c>
      <c r="B727" s="138">
        <f>'Expenditures 15-22'!C42</f>
        <v>3909476</v>
      </c>
      <c r="C727" s="2" t="s">
        <v>594</v>
      </c>
      <c r="D727" s="2" t="str">
        <f t="shared" si="10"/>
        <v>Error?</v>
      </c>
    </row>
    <row r="728" spans="1:4" x14ac:dyDescent="0.2">
      <c r="A728" s="5">
        <v>667</v>
      </c>
      <c r="B728" s="138">
        <f>'Expenditures 15-22'!C44</f>
        <v>773899</v>
      </c>
      <c r="D728" s="2" t="str">
        <f t="shared" si="10"/>
        <v>Error?</v>
      </c>
    </row>
    <row r="729" spans="1:4" x14ac:dyDescent="0.2">
      <c r="A729" s="5">
        <v>668</v>
      </c>
      <c r="B729" s="138">
        <f>'Expenditures 15-22'!C45</f>
        <v>269212</v>
      </c>
      <c r="D729" s="2" t="str">
        <f t="shared" si="10"/>
        <v>Error?</v>
      </c>
    </row>
    <row r="730" spans="1:4" x14ac:dyDescent="0.2">
      <c r="A730" s="5">
        <v>669</v>
      </c>
      <c r="B730" s="138">
        <f>'Expenditures 15-22'!C46</f>
        <v>79569</v>
      </c>
      <c r="D730" s="2" t="str">
        <f t="shared" si="10"/>
        <v>Error?</v>
      </c>
    </row>
    <row r="731" spans="1:4" x14ac:dyDescent="0.2">
      <c r="A731" s="5">
        <v>670</v>
      </c>
      <c r="B731" s="138">
        <f>'Expenditures 15-22'!C47</f>
        <v>1122680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234132</v>
      </c>
      <c r="D733" s="2" t="str">
        <f t="shared" si="10"/>
        <v>Error?</v>
      </c>
    </row>
    <row r="734" spans="1:4" x14ac:dyDescent="0.2">
      <c r="A734" s="5">
        <v>673</v>
      </c>
      <c r="B734" s="138">
        <f>'Expenditures 15-22'!C53</f>
        <v>360015</v>
      </c>
      <c r="C734" s="2" t="s">
        <v>594</v>
      </c>
      <c r="D734" s="2" t="str">
        <f t="shared" si="10"/>
        <v>Error?</v>
      </c>
    </row>
    <row r="735" spans="1:4" x14ac:dyDescent="0.2">
      <c r="A735" s="5">
        <v>674</v>
      </c>
      <c r="B735" s="138">
        <f>'Expenditures 15-22'!C55</f>
        <v>2874137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2874137</v>
      </c>
      <c r="C737" s="2" t="s">
        <v>594</v>
      </c>
      <c r="D737" s="2" t="str">
        <f t="shared" si="10"/>
        <v>Error?</v>
      </c>
    </row>
    <row r="738" spans="1:4" x14ac:dyDescent="0.2">
      <c r="A738" s="5">
        <v>677</v>
      </c>
      <c r="B738" s="138">
        <f>'Expenditures 15-22'!C59</f>
        <v>170444</v>
      </c>
      <c r="D738" s="2" t="str">
        <f t="shared" si="10"/>
        <v>Error?</v>
      </c>
    </row>
    <row r="739" spans="1:4" x14ac:dyDescent="0.2">
      <c r="A739" s="5">
        <v>678</v>
      </c>
      <c r="B739" s="138">
        <f>'Expenditures 15-22'!C60</f>
        <v>231762</v>
      </c>
      <c r="D739" s="2" t="str">
        <f t="shared" si="10"/>
        <v>Error?</v>
      </c>
    </row>
    <row r="740" spans="1:4" x14ac:dyDescent="0.2">
      <c r="A740" s="5">
        <v>679</v>
      </c>
      <c r="B740" s="138">
        <f>'Expenditures 15-22'!C61</f>
        <v>238782</v>
      </c>
      <c r="D740" s="2" t="str">
        <f t="shared" si="10"/>
        <v>Error?</v>
      </c>
    </row>
    <row r="741" spans="1:4" x14ac:dyDescent="0.2">
      <c r="A741" s="5">
        <v>680</v>
      </c>
      <c r="B741" s="138">
        <f>'Expenditures 15-22'!C62</f>
        <v>8144</v>
      </c>
      <c r="D741" s="2" t="str">
        <f t="shared" si="10"/>
        <v>Error?</v>
      </c>
    </row>
    <row r="742" spans="1:4" x14ac:dyDescent="0.2">
      <c r="A742" s="5">
        <v>681</v>
      </c>
      <c r="B742" s="138">
        <f>'Expenditures 15-22'!C63</f>
        <v>1152093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1801225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62870</v>
      </c>
      <c r="D748" s="2" t="str">
        <f t="shared" si="10"/>
        <v>Error?</v>
      </c>
    </row>
    <row r="749" spans="1:4" x14ac:dyDescent="0.2">
      <c r="A749" s="5">
        <v>688</v>
      </c>
      <c r="B749" s="138">
        <f>'Expenditures 15-22'!C70</f>
        <v>266720</v>
      </c>
      <c r="D749" s="2" t="str">
        <f t="shared" si="10"/>
        <v>Error?</v>
      </c>
    </row>
    <row r="750" spans="1:4" x14ac:dyDescent="0.2">
      <c r="A750" s="10">
        <v>689</v>
      </c>
      <c r="D750" s="2" t="str">
        <f t="shared" si="10"/>
        <v>OK</v>
      </c>
    </row>
    <row r="751" spans="1:4" x14ac:dyDescent="0.2">
      <c r="A751" s="5">
        <v>690</v>
      </c>
      <c r="B751" s="138">
        <f>'Expenditures 15-22'!C71</f>
        <v>397185</v>
      </c>
      <c r="D751" s="2" t="str">
        <f t="shared" si="10"/>
        <v>Error?</v>
      </c>
    </row>
    <row r="752" spans="1:4" x14ac:dyDescent="0.2">
      <c r="A752" s="10">
        <v>691</v>
      </c>
      <c r="D752" s="2" t="str">
        <f t="shared" si="10"/>
        <v>OK</v>
      </c>
    </row>
    <row r="753" spans="1:4" x14ac:dyDescent="0.2">
      <c r="A753" s="5">
        <v>692</v>
      </c>
      <c r="B753" s="138">
        <f>'Expenditures 15-22'!C72</f>
        <v>726775</v>
      </c>
      <c r="C753" s="2" t="s">
        <v>594</v>
      </c>
      <c r="D753" s="2" t="str">
        <f t="shared" si="10"/>
        <v>Error?</v>
      </c>
    </row>
    <row r="754" spans="1:4" x14ac:dyDescent="0.2">
      <c r="A754" s="5">
        <v>693</v>
      </c>
      <c r="B754" s="138">
        <f>'Expenditures 15-22'!C73</f>
        <v>85464</v>
      </c>
      <c r="D754" s="2" t="str">
        <f t="shared" si="10"/>
        <v>Error?</v>
      </c>
    </row>
    <row r="755" spans="1:4" x14ac:dyDescent="0.2">
      <c r="A755" s="5">
        <v>694</v>
      </c>
      <c r="B755" s="138">
        <f>'Expenditures 15-22'!C74</f>
        <v>10879772</v>
      </c>
      <c r="C755" s="2" t="s">
        <v>594</v>
      </c>
      <c r="D755" s="2" t="str">
        <f t="shared" si="10"/>
        <v>Error?</v>
      </c>
    </row>
    <row r="756" spans="1:4" x14ac:dyDescent="0.2">
      <c r="A756" s="5">
        <v>695</v>
      </c>
      <c r="B756" s="138">
        <f>'Expenditures 15-22'!C75</f>
        <v>1755433</v>
      </c>
      <c r="D756" s="2" t="str">
        <f t="shared" si="10"/>
        <v>Error?</v>
      </c>
    </row>
    <row r="757" spans="1:4" x14ac:dyDescent="0.2">
      <c r="A757" s="5">
        <v>696</v>
      </c>
      <c r="B757" s="138">
        <f>'Expenditures 15-22'!C114</f>
        <v>43770003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4451649</v>
      </c>
      <c r="D763" s="2" t="str">
        <f t="shared" si="10"/>
        <v>Error?</v>
      </c>
    </row>
    <row r="764" spans="1:4" x14ac:dyDescent="0.2">
      <c r="A764" s="5">
        <v>703</v>
      </c>
      <c r="B764" s="138">
        <f>'Expenditures 15-22'!D16</f>
        <v>63748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275958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154962</v>
      </c>
      <c r="D775" s="2" t="str">
        <f t="shared" si="11"/>
        <v>Error?</v>
      </c>
    </row>
    <row r="776" spans="1:4" x14ac:dyDescent="0.2">
      <c r="A776" s="5">
        <v>715</v>
      </c>
      <c r="B776" s="138">
        <f>'Expenditures 15-22'!D14</f>
        <v>116169</v>
      </c>
      <c r="D776" s="2" t="str">
        <f t="shared" si="11"/>
        <v>Error?</v>
      </c>
    </row>
    <row r="777" spans="1:4" x14ac:dyDescent="0.2">
      <c r="A777" s="5">
        <v>716</v>
      </c>
      <c r="B777" s="138">
        <f>'Expenditures 15-22'!D15</f>
        <v>8932</v>
      </c>
      <c r="D777" s="2" t="str">
        <f t="shared" si="11"/>
        <v>Error?</v>
      </c>
    </row>
    <row r="778" spans="1:4" x14ac:dyDescent="0.2">
      <c r="A778" s="5">
        <v>717</v>
      </c>
      <c r="B778" s="138">
        <f>'Expenditures 15-22'!D33</f>
        <v>6874884</v>
      </c>
      <c r="C778" s="2" t="s">
        <v>594</v>
      </c>
      <c r="D778" s="2" t="str">
        <f t="shared" si="11"/>
        <v>Error?</v>
      </c>
    </row>
    <row r="779" spans="1:4" x14ac:dyDescent="0.2">
      <c r="A779" s="5">
        <v>718</v>
      </c>
      <c r="B779" s="138">
        <f>'Expenditures 15-22'!D36</f>
        <v>113734</v>
      </c>
      <c r="D779" s="2" t="str">
        <f t="shared" si="11"/>
        <v>Error?</v>
      </c>
    </row>
    <row r="780" spans="1:4" x14ac:dyDescent="0.2">
      <c r="A780" s="5">
        <v>719</v>
      </c>
      <c r="B780" s="138">
        <f>'Expenditures 15-22'!D37</f>
        <v>265020</v>
      </c>
      <c r="D780" s="2" t="str">
        <f t="shared" si="11"/>
        <v>Error?</v>
      </c>
    </row>
    <row r="781" spans="1:4" x14ac:dyDescent="0.2">
      <c r="A781" s="5">
        <v>720</v>
      </c>
      <c r="B781" s="138">
        <f>'Expenditures 15-22'!D38</f>
        <v>106935</v>
      </c>
      <c r="D781" s="2" t="str">
        <f t="shared" si="11"/>
        <v>Error?</v>
      </c>
    </row>
    <row r="782" spans="1:4" x14ac:dyDescent="0.2">
      <c r="A782" s="5">
        <v>721</v>
      </c>
      <c r="B782" s="138">
        <f>'Expenditures 15-22'!D39</f>
        <v>184925</v>
      </c>
      <c r="D782" s="2" t="str">
        <f t="shared" si="11"/>
        <v>Error?</v>
      </c>
    </row>
    <row r="783" spans="1:4" x14ac:dyDescent="0.2">
      <c r="A783" s="5">
        <v>722</v>
      </c>
      <c r="B783" s="138">
        <f>'Expenditures 15-22'!D40</f>
        <v>136500</v>
      </c>
      <c r="D783" s="2" t="str">
        <f t="shared" si="11"/>
        <v>Error?</v>
      </c>
    </row>
    <row r="784" spans="1:4" x14ac:dyDescent="0.2">
      <c r="A784" s="5">
        <v>723</v>
      </c>
      <c r="B784" s="138">
        <f>'Expenditures 15-22'!D41</f>
        <v>1071</v>
      </c>
      <c r="D784" s="2" t="str">
        <f t="shared" si="11"/>
        <v>Error?</v>
      </c>
    </row>
    <row r="785" spans="1:4" x14ac:dyDescent="0.2">
      <c r="A785" s="5">
        <v>724</v>
      </c>
      <c r="B785" s="138">
        <f>'Expenditures 15-22'!D42</f>
        <v>808185</v>
      </c>
      <c r="C785" s="2" t="s">
        <v>594</v>
      </c>
      <c r="D785" s="2" t="str">
        <f t="shared" si="11"/>
        <v>Error?</v>
      </c>
    </row>
    <row r="786" spans="1:4" x14ac:dyDescent="0.2">
      <c r="A786" s="5">
        <v>725</v>
      </c>
      <c r="B786" s="138">
        <f>'Expenditures 15-22'!D44</f>
        <v>246355</v>
      </c>
      <c r="D786" s="2" t="str">
        <f t="shared" si="11"/>
        <v>Error?</v>
      </c>
    </row>
    <row r="787" spans="1:4" x14ac:dyDescent="0.2">
      <c r="A787" s="5">
        <v>726</v>
      </c>
      <c r="B787" s="138">
        <f>'Expenditures 15-22'!D45</f>
        <v>88458</v>
      </c>
      <c r="D787" s="2" t="str">
        <f t="shared" si="11"/>
        <v>Error?</v>
      </c>
    </row>
    <row r="788" spans="1:4" x14ac:dyDescent="0.2">
      <c r="A788" s="5">
        <v>727</v>
      </c>
      <c r="B788" s="138">
        <f>'Expenditures 15-22'!D46</f>
        <v>23265</v>
      </c>
      <c r="D788" s="2" t="str">
        <f t="shared" si="11"/>
        <v>Error?</v>
      </c>
    </row>
    <row r="789" spans="1:4" x14ac:dyDescent="0.2">
      <c r="A789" s="5">
        <v>728</v>
      </c>
      <c r="B789" s="138">
        <f>'Expenditures 15-22'!D47</f>
        <v>358078</v>
      </c>
      <c r="C789" s="2" t="s">
        <v>594</v>
      </c>
      <c r="D789" s="2" t="str">
        <f t="shared" si="11"/>
        <v>Error?</v>
      </c>
    </row>
    <row r="790" spans="1:4" x14ac:dyDescent="0.2">
      <c r="A790" s="5">
        <v>729</v>
      </c>
      <c r="B790" s="138">
        <f>'Expenditures 15-22'!D49</f>
        <v>12786</v>
      </c>
      <c r="D790" s="2" t="str">
        <f t="shared" si="11"/>
        <v>Error?</v>
      </c>
    </row>
    <row r="791" spans="1:4" x14ac:dyDescent="0.2">
      <c r="A791" s="5">
        <v>730</v>
      </c>
      <c r="B791" s="138">
        <f>'Expenditures 15-22'!D50</f>
        <v>53633</v>
      </c>
      <c r="D791" s="2" t="str">
        <f t="shared" si="11"/>
        <v>Error?</v>
      </c>
    </row>
    <row r="792" spans="1:4" x14ac:dyDescent="0.2">
      <c r="A792" s="5">
        <v>731</v>
      </c>
      <c r="B792" s="138">
        <f>'Expenditures 15-22'!D53</f>
        <v>102363</v>
      </c>
      <c r="C792" s="2" t="s">
        <v>594</v>
      </c>
      <c r="D792" s="2" t="str">
        <f t="shared" si="11"/>
        <v>Error?</v>
      </c>
    </row>
    <row r="793" spans="1:4" x14ac:dyDescent="0.2">
      <c r="A793" s="5">
        <v>732</v>
      </c>
      <c r="B793" s="138">
        <f>'Expenditures 15-22'!D55</f>
        <v>611776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611776</v>
      </c>
      <c r="C795" s="2" t="s">
        <v>594</v>
      </c>
      <c r="D795" s="2" t="str">
        <f t="shared" si="11"/>
        <v>Error?</v>
      </c>
    </row>
    <row r="796" spans="1:4" x14ac:dyDescent="0.2">
      <c r="A796" s="5">
        <v>735</v>
      </c>
      <c r="B796" s="138">
        <f>'Expenditures 15-22'!D59</f>
        <v>27847</v>
      </c>
      <c r="D796" s="2" t="str">
        <f t="shared" si="11"/>
        <v>Error?</v>
      </c>
    </row>
    <row r="797" spans="1:4" x14ac:dyDescent="0.2">
      <c r="A797" s="5">
        <v>736</v>
      </c>
      <c r="B797" s="138">
        <f>'Expenditures 15-22'!D60</f>
        <v>49651</v>
      </c>
      <c r="D797" s="2" t="str">
        <f t="shared" si="11"/>
        <v>Error?</v>
      </c>
    </row>
    <row r="798" spans="1:4" x14ac:dyDescent="0.2">
      <c r="A798" s="5">
        <v>737</v>
      </c>
      <c r="B798" s="138">
        <f>'Expenditures 15-22'!D61</f>
        <v>60715</v>
      </c>
      <c r="D798" s="2" t="str">
        <f t="shared" si="11"/>
        <v>Error?</v>
      </c>
    </row>
    <row r="799" spans="1:4" x14ac:dyDescent="0.2">
      <c r="A799" s="5">
        <v>738</v>
      </c>
      <c r="B799" s="138">
        <f>'Expenditures 15-22'!D62</f>
        <v>1500</v>
      </c>
      <c r="D799" s="2" t="str">
        <f t="shared" si="11"/>
        <v>Error?</v>
      </c>
    </row>
    <row r="800" spans="1:4" x14ac:dyDescent="0.2">
      <c r="A800" s="5">
        <v>739</v>
      </c>
      <c r="B800" s="138">
        <f>'Expenditures 15-22'!D63</f>
        <v>173031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312744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9244</v>
      </c>
      <c r="D806" s="2" t="str">
        <f t="shared" si="11"/>
        <v>Error?</v>
      </c>
    </row>
    <row r="807" spans="1:4" x14ac:dyDescent="0.2">
      <c r="A807" s="5">
        <v>746</v>
      </c>
      <c r="B807" s="138">
        <f>'Expenditures 15-22'!D70</f>
        <v>35383</v>
      </c>
      <c r="D807" s="2" t="str">
        <f t="shared" si="11"/>
        <v>Error?</v>
      </c>
    </row>
    <row r="808" spans="1:4" x14ac:dyDescent="0.2">
      <c r="A808" s="10">
        <v>747</v>
      </c>
      <c r="D808" s="2" t="str">
        <f t="shared" si="11"/>
        <v>OK</v>
      </c>
    </row>
    <row r="809" spans="1:4" x14ac:dyDescent="0.2">
      <c r="A809" s="5">
        <v>748</v>
      </c>
      <c r="B809" s="138">
        <f>'Expenditures 15-22'!D71</f>
        <v>89665</v>
      </c>
      <c r="D809" s="2" t="str">
        <f t="shared" si="11"/>
        <v>Error?</v>
      </c>
    </row>
    <row r="810" spans="1:4" x14ac:dyDescent="0.2">
      <c r="A810" s="10">
        <v>749</v>
      </c>
      <c r="D810" s="2" t="str">
        <f t="shared" si="11"/>
        <v>OK</v>
      </c>
    </row>
    <row r="811" spans="1:4" x14ac:dyDescent="0.2">
      <c r="A811" s="5">
        <v>750</v>
      </c>
      <c r="B811" s="138">
        <f>'Expenditures 15-22'!D72</f>
        <v>134292</v>
      </c>
      <c r="C811" s="2" t="s">
        <v>594</v>
      </c>
      <c r="D811" s="2" t="str">
        <f t="shared" si="11"/>
        <v>Error?</v>
      </c>
    </row>
    <row r="812" spans="1:4" x14ac:dyDescent="0.2">
      <c r="A812" s="5">
        <v>751</v>
      </c>
      <c r="B812" s="138">
        <f>'Expenditures 15-22'!D73</f>
        <v>32076</v>
      </c>
      <c r="D812" s="2" t="str">
        <f t="shared" si="11"/>
        <v>Error?</v>
      </c>
    </row>
    <row r="813" spans="1:4" x14ac:dyDescent="0.2">
      <c r="A813" s="5">
        <v>752</v>
      </c>
      <c r="B813" s="138">
        <f>'Expenditures 15-22'!D74</f>
        <v>2359514</v>
      </c>
      <c r="C813" s="2" t="s">
        <v>594</v>
      </c>
      <c r="D813" s="2" t="str">
        <f t="shared" si="11"/>
        <v>Error?</v>
      </c>
    </row>
    <row r="814" spans="1:4" x14ac:dyDescent="0.2">
      <c r="A814" s="5">
        <v>753</v>
      </c>
      <c r="B814" s="138">
        <f>'Expenditures 15-22'!D75</f>
        <v>519160</v>
      </c>
      <c r="D814" s="2" t="str">
        <f t="shared" si="11"/>
        <v>Error?</v>
      </c>
    </row>
    <row r="815" spans="1:4" x14ac:dyDescent="0.2">
      <c r="A815" s="5">
        <v>754</v>
      </c>
      <c r="B815" s="138">
        <f>'Expenditures 15-22'!D114</f>
        <v>9753558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351870</v>
      </c>
      <c r="D821" s="2" t="str">
        <f t="shared" si="11"/>
        <v>Error?</v>
      </c>
    </row>
    <row r="822" spans="1:4" x14ac:dyDescent="0.2">
      <c r="A822" s="5">
        <v>761</v>
      </c>
      <c r="B822" s="138">
        <f>'Expenditures 15-22'!E16</f>
        <v>272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578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41269</v>
      </c>
      <c r="D833" s="2" t="str">
        <f t="shared" si="12"/>
        <v>Error?</v>
      </c>
    </row>
    <row r="834" spans="1:4" x14ac:dyDescent="0.2">
      <c r="A834" s="5">
        <v>773</v>
      </c>
      <c r="B834" s="138">
        <f>'Expenditures 15-22'!E14</f>
        <v>133413</v>
      </c>
      <c r="D834" s="2" t="str">
        <f t="shared" si="12"/>
        <v>Error?</v>
      </c>
    </row>
    <row r="835" spans="1:4" x14ac:dyDescent="0.2">
      <c r="A835" s="5">
        <v>774</v>
      </c>
      <c r="B835" s="138">
        <f>'Expenditures 15-22'!E15</f>
        <v>57640</v>
      </c>
      <c r="D835" s="2" t="str">
        <f t="shared" si="12"/>
        <v>Error?</v>
      </c>
    </row>
    <row r="836" spans="1:4" x14ac:dyDescent="0.2">
      <c r="A836" s="5">
        <v>775</v>
      </c>
      <c r="B836" s="138">
        <f>'Expenditures 15-22'!E33</f>
        <v>630636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408455</v>
      </c>
      <c r="D844" s="2" t="str">
        <f t="shared" si="12"/>
        <v>Error?</v>
      </c>
    </row>
    <row r="845" spans="1:4" x14ac:dyDescent="0.2">
      <c r="A845" s="5">
        <v>784</v>
      </c>
      <c r="B845" s="138">
        <f>'Expenditures 15-22'!E45</f>
        <v>21512</v>
      </c>
      <c r="D845" s="2" t="str">
        <f t="shared" si="12"/>
        <v>Error?</v>
      </c>
    </row>
    <row r="846" spans="1:4" x14ac:dyDescent="0.2">
      <c r="A846" s="5">
        <v>785</v>
      </c>
      <c r="B846" s="138">
        <f>'Expenditures 15-22'!E46</f>
        <v>1188</v>
      </c>
      <c r="D846" s="2" t="str">
        <f t="shared" si="12"/>
        <v>Error?</v>
      </c>
    </row>
    <row r="847" spans="1:4" x14ac:dyDescent="0.2">
      <c r="A847" s="5">
        <v>786</v>
      </c>
      <c r="B847" s="138">
        <f>'Expenditures 15-22'!E47</f>
        <v>431155</v>
      </c>
      <c r="C847" s="2" t="s">
        <v>594</v>
      </c>
      <c r="D847" s="2" t="str">
        <f t="shared" si="12"/>
        <v>Error?</v>
      </c>
    </row>
    <row r="848" spans="1:4" x14ac:dyDescent="0.2">
      <c r="A848" s="5">
        <v>787</v>
      </c>
      <c r="B848" s="138">
        <f>'Expenditures 15-22'!E49</f>
        <v>209952</v>
      </c>
      <c r="D848" s="2" t="str">
        <f t="shared" si="12"/>
        <v>Error?</v>
      </c>
    </row>
    <row r="849" spans="1:4" x14ac:dyDescent="0.2">
      <c r="A849" s="5">
        <v>788</v>
      </c>
      <c r="B849" s="138">
        <f>'Expenditures 15-22'!E50</f>
        <v>16985</v>
      </c>
      <c r="D849" s="2" t="str">
        <f t="shared" si="12"/>
        <v>Error?</v>
      </c>
    </row>
    <row r="850" spans="1:4" x14ac:dyDescent="0.2">
      <c r="A850" s="5">
        <v>789</v>
      </c>
      <c r="B850" s="138">
        <f>'Expenditures 15-22'!E53</f>
        <v>226937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3650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61931</v>
      </c>
      <c r="D856" s="2" t="str">
        <f t="shared" si="12"/>
        <v>Error?</v>
      </c>
    </row>
    <row r="857" spans="1:4" x14ac:dyDescent="0.2">
      <c r="A857" s="5">
        <v>796</v>
      </c>
      <c r="B857" s="138">
        <f>'Expenditures 15-22'!E62</f>
        <v>156326</v>
      </c>
      <c r="D857" s="2" t="str">
        <f t="shared" si="12"/>
        <v>Error?</v>
      </c>
    </row>
    <row r="858" spans="1:4" x14ac:dyDescent="0.2">
      <c r="A858" s="5">
        <v>797</v>
      </c>
      <c r="B858" s="138">
        <f>'Expenditures 15-22'!E63</f>
        <v>50803</v>
      </c>
      <c r="D858" s="2" t="str">
        <f t="shared" si="12"/>
        <v>Error?</v>
      </c>
    </row>
    <row r="859" spans="1:4" x14ac:dyDescent="0.2">
      <c r="A859" s="5">
        <v>798</v>
      </c>
      <c r="B859" s="138">
        <f>'Expenditures 15-22'!E64</f>
        <v>10432</v>
      </c>
      <c r="D859" s="2" t="str">
        <f t="shared" si="12"/>
        <v>Error?</v>
      </c>
    </row>
    <row r="860" spans="1:4" x14ac:dyDescent="0.2">
      <c r="A860" s="10">
        <v>799</v>
      </c>
      <c r="D860" s="2" t="str">
        <f t="shared" si="12"/>
        <v>OK</v>
      </c>
    </row>
    <row r="861" spans="1:4" x14ac:dyDescent="0.2">
      <c r="A861" s="5">
        <v>800</v>
      </c>
      <c r="B861" s="138">
        <f>'Expenditures 15-22'!E65</f>
        <v>283142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6022</v>
      </c>
      <c r="D864" s="2" t="str">
        <f t="shared" si="12"/>
        <v>Error?</v>
      </c>
    </row>
    <row r="865" spans="1:4" x14ac:dyDescent="0.2">
      <c r="A865" s="5">
        <v>804</v>
      </c>
      <c r="B865" s="138">
        <f>'Expenditures 15-22'!E70</f>
        <v>86551</v>
      </c>
      <c r="D865" s="2" t="str">
        <f t="shared" si="12"/>
        <v>Error?</v>
      </c>
    </row>
    <row r="866" spans="1:4" x14ac:dyDescent="0.2">
      <c r="A866" s="10">
        <v>805</v>
      </c>
      <c r="D866" s="2" t="str">
        <f t="shared" si="12"/>
        <v>OK</v>
      </c>
    </row>
    <row r="867" spans="1:4" x14ac:dyDescent="0.2">
      <c r="A867" s="5">
        <v>806</v>
      </c>
      <c r="B867" s="138">
        <f>'Expenditures 15-22'!E71</f>
        <v>317459</v>
      </c>
      <c r="D867" s="2" t="str">
        <f t="shared" si="12"/>
        <v>Error?</v>
      </c>
    </row>
    <row r="868" spans="1:4" x14ac:dyDescent="0.2">
      <c r="A868" s="10">
        <v>807</v>
      </c>
      <c r="D868" s="2" t="str">
        <f t="shared" si="12"/>
        <v>OK</v>
      </c>
    </row>
    <row r="869" spans="1:4" x14ac:dyDescent="0.2">
      <c r="A869" s="5">
        <v>808</v>
      </c>
      <c r="B869" s="138">
        <f>'Expenditures 15-22'!E72</f>
        <v>410032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1351266</v>
      </c>
      <c r="C871" s="2" t="s">
        <v>594</v>
      </c>
      <c r="D871" s="2" t="str">
        <f t="shared" si="12"/>
        <v>Error?</v>
      </c>
    </row>
    <row r="872" spans="1:4" x14ac:dyDescent="0.2">
      <c r="A872" s="5">
        <v>811</v>
      </c>
      <c r="B872" s="138">
        <f>'Expenditures 15-22'!E75</f>
        <v>976074</v>
      </c>
      <c r="D872" s="2" t="str">
        <f t="shared" si="12"/>
        <v>Error?</v>
      </c>
    </row>
    <row r="873" spans="1:4" x14ac:dyDescent="0.2">
      <c r="A873" s="5">
        <v>812</v>
      </c>
      <c r="B873" s="138">
        <f>'Expenditures 15-22'!E114</f>
        <v>5198585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561851</v>
      </c>
      <c r="D879" s="2" t="str">
        <f t="shared" si="12"/>
        <v>Error?</v>
      </c>
    </row>
    <row r="880" spans="1:4" x14ac:dyDescent="0.2">
      <c r="A880" s="5">
        <v>819</v>
      </c>
      <c r="B880" s="138">
        <f>'Expenditures 15-22'!F16</f>
        <v>2603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7077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31746</v>
      </c>
      <c r="D891" s="2" t="str">
        <f t="shared" si="12"/>
        <v>Error?</v>
      </c>
    </row>
    <row r="892" spans="1:4" x14ac:dyDescent="0.2">
      <c r="A892" s="5">
        <v>831</v>
      </c>
      <c r="B892" s="138">
        <f>'Expenditures 15-22'!F14</f>
        <v>354924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1602432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6357</v>
      </c>
      <c r="C901" s="2" t="s">
        <v>594</v>
      </c>
      <c r="D901" s="2" t="str">
        <f t="shared" si="13"/>
        <v>Error?</v>
      </c>
    </row>
    <row r="902" spans="1:4" x14ac:dyDescent="0.2">
      <c r="A902" s="5">
        <v>841</v>
      </c>
      <c r="B902" s="138">
        <f>'Expenditures 15-22'!F44</f>
        <v>122937</v>
      </c>
      <c r="D902" s="2" t="str">
        <f t="shared" si="13"/>
        <v>Error?</v>
      </c>
    </row>
    <row r="903" spans="1:4" x14ac:dyDescent="0.2">
      <c r="A903" s="5">
        <v>842</v>
      </c>
      <c r="B903" s="138">
        <f>'Expenditures 15-22'!F45</f>
        <v>48764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171701</v>
      </c>
      <c r="C905" s="2" t="s">
        <v>594</v>
      </c>
      <c r="D905" s="2" t="str">
        <f t="shared" si="13"/>
        <v>Error?</v>
      </c>
    </row>
    <row r="906" spans="1:4" x14ac:dyDescent="0.2">
      <c r="A906" s="5">
        <v>845</v>
      </c>
      <c r="B906" s="138">
        <f>'Expenditures 15-22'!F49</f>
        <v>5915</v>
      </c>
      <c r="D906" s="2" t="str">
        <f t="shared" si="13"/>
        <v>Error?</v>
      </c>
    </row>
    <row r="907" spans="1:4" x14ac:dyDescent="0.2">
      <c r="A907" s="5">
        <v>846</v>
      </c>
      <c r="B907" s="138">
        <f>'Expenditures 15-22'!F50</f>
        <v>15444</v>
      </c>
      <c r="D907" s="2" t="str">
        <f t="shared" si="13"/>
        <v>Error?</v>
      </c>
    </row>
    <row r="908" spans="1:4" x14ac:dyDescent="0.2">
      <c r="A908" s="5">
        <v>847</v>
      </c>
      <c r="B908" s="138">
        <f>'Expenditures 15-22'!F53</f>
        <v>21359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1495972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1502910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13869</v>
      </c>
      <c r="D922" s="2" t="str">
        <f t="shared" si="13"/>
        <v>Error?</v>
      </c>
    </row>
    <row r="923" spans="1:4" x14ac:dyDescent="0.2">
      <c r="A923" s="5">
        <v>862</v>
      </c>
      <c r="B923" s="138">
        <f>'Expenditures 15-22'!F70</f>
        <v>1841</v>
      </c>
      <c r="D923" s="2" t="str">
        <f t="shared" si="13"/>
        <v>Error?</v>
      </c>
    </row>
    <row r="924" spans="1:4" x14ac:dyDescent="0.2">
      <c r="A924" s="10">
        <v>863</v>
      </c>
      <c r="D924" s="2" t="str">
        <f t="shared" si="13"/>
        <v>OK</v>
      </c>
    </row>
    <row r="925" spans="1:4" x14ac:dyDescent="0.2">
      <c r="A925" s="5">
        <v>864</v>
      </c>
      <c r="B925" s="138">
        <f>'Expenditures 15-22'!F71</f>
        <v>39086</v>
      </c>
      <c r="D925" s="2" t="str">
        <f t="shared" si="13"/>
        <v>Error?</v>
      </c>
    </row>
    <row r="926" spans="1:4" x14ac:dyDescent="0.2">
      <c r="A926" s="10">
        <v>865</v>
      </c>
      <c r="D926" s="2" t="str">
        <f t="shared" si="13"/>
        <v>OK</v>
      </c>
    </row>
    <row r="927" spans="1:4" x14ac:dyDescent="0.2">
      <c r="A927" s="5">
        <v>866</v>
      </c>
      <c r="B927" s="138">
        <f>'Expenditures 15-22'!F72</f>
        <v>54796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1757123</v>
      </c>
      <c r="C929" s="2" t="s">
        <v>594</v>
      </c>
      <c r="D929" s="2" t="str">
        <f t="shared" si="13"/>
        <v>Error?</v>
      </c>
    </row>
    <row r="930" spans="1:4" x14ac:dyDescent="0.2">
      <c r="A930" s="5">
        <v>869</v>
      </c>
      <c r="B930" s="138">
        <f>'Expenditures 15-22'!F75</f>
        <v>138186</v>
      </c>
      <c r="D930" s="2" t="str">
        <f t="shared" si="13"/>
        <v>Error?</v>
      </c>
    </row>
    <row r="931" spans="1:4" x14ac:dyDescent="0.2">
      <c r="A931" s="5">
        <v>870</v>
      </c>
      <c r="B931" s="138">
        <f>'Expenditures 15-22'!F114</f>
        <v>3497741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54730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54730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2638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2638</v>
      </c>
      <c r="C987" s="2" t="s">
        <v>594</v>
      </c>
      <c r="D987" s="2" t="str">
        <f t="shared" si="14"/>
        <v>Error?</v>
      </c>
    </row>
    <row r="988" spans="1:4" x14ac:dyDescent="0.2">
      <c r="A988" s="5">
        <v>927</v>
      </c>
      <c r="B988" s="138">
        <f>'Expenditures 15-22'!G75</f>
        <v>51068</v>
      </c>
      <c r="D988" s="2" t="str">
        <f t="shared" si="14"/>
        <v>Error?</v>
      </c>
    </row>
    <row r="989" spans="1:4" x14ac:dyDescent="0.2">
      <c r="A989" s="5">
        <v>928</v>
      </c>
      <c r="B989" s="138">
        <f>'Expenditures 15-22'!G114</f>
        <v>108436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6627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6627</v>
      </c>
      <c r="C1021" s="2" t="s">
        <v>594</v>
      </c>
      <c r="D1021" s="2" t="str">
        <f t="shared" si="14"/>
        <v>Error?</v>
      </c>
    </row>
    <row r="1022" spans="1:4" x14ac:dyDescent="0.2">
      <c r="A1022" s="5">
        <v>961</v>
      </c>
      <c r="B1022" s="138">
        <f>'Expenditures 15-22'!H49</f>
        <v>2500</v>
      </c>
      <c r="D1022" s="2" t="str">
        <f t="shared" si="14"/>
        <v>Error?</v>
      </c>
    </row>
    <row r="1023" spans="1:4" x14ac:dyDescent="0.2">
      <c r="A1023" s="5">
        <v>962</v>
      </c>
      <c r="B1023" s="138">
        <f>'Expenditures 15-22'!H50</f>
        <v>2976</v>
      </c>
      <c r="D1023" s="2" t="str">
        <f t="shared" ref="D1023:D1086" si="15">IF(ISBLANK(B1023),"OK",IF(A1023-B1023=0,"OK","Error?"))</f>
        <v>Error?</v>
      </c>
    </row>
    <row r="1024" spans="1:4" x14ac:dyDescent="0.2">
      <c r="A1024" s="5">
        <v>963</v>
      </c>
      <c r="B1024" s="138">
        <f>'Expenditures 15-22'!H53</f>
        <v>5476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519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467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752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13374</v>
      </c>
      <c r="C1045" s="2" t="s">
        <v>594</v>
      </c>
      <c r="D1045" s="2" t="str">
        <f t="shared" si="15"/>
        <v>Error?</v>
      </c>
    </row>
    <row r="1046" spans="1:4" x14ac:dyDescent="0.2">
      <c r="A1046" s="5">
        <v>985</v>
      </c>
      <c r="B1046" s="138">
        <f>'Expenditures 15-22'!H75</f>
        <v>25732</v>
      </c>
      <c r="D1046" s="2" t="str">
        <f t="shared" si="15"/>
        <v>Error?</v>
      </c>
    </row>
    <row r="1047" spans="1:4" x14ac:dyDescent="0.2">
      <c r="A1047" s="5">
        <v>986</v>
      </c>
      <c r="B1047" s="138">
        <f>'Expenditures 15-22'!H102</f>
        <v>34225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74431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25625810</v>
      </c>
      <c r="C1093" s="2" t="s">
        <v>594</v>
      </c>
      <c r="D1093" s="2" t="str">
        <f t="shared" si="16"/>
        <v>Error?</v>
      </c>
    </row>
    <row r="1094" spans="1:4" x14ac:dyDescent="0.2">
      <c r="A1094" s="5">
        <v>1033</v>
      </c>
      <c r="B1094" s="138">
        <f>'Expenditures 15-22'!K16</f>
        <v>327890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1463225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895350</v>
      </c>
      <c r="C1105" s="2" t="s">
        <v>594</v>
      </c>
      <c r="D1105" s="2" t="str">
        <f t="shared" si="16"/>
        <v>Error?</v>
      </c>
    </row>
    <row r="1106" spans="1:4" x14ac:dyDescent="0.2">
      <c r="A1106" s="5">
        <v>1045</v>
      </c>
      <c r="B1106" s="138">
        <f>'Expenditures 15-22'!K14</f>
        <v>1809902</v>
      </c>
      <c r="C1106" s="2" t="s">
        <v>594</v>
      </c>
      <c r="D1106" s="2" t="str">
        <f t="shared" si="16"/>
        <v>Error?</v>
      </c>
    </row>
    <row r="1107" spans="1:4" x14ac:dyDescent="0.2">
      <c r="A1107" s="5">
        <v>1046</v>
      </c>
      <c r="B1107" s="138">
        <f>'Expenditures 15-22'!K15</f>
        <v>125458</v>
      </c>
      <c r="C1107" s="2" t="s">
        <v>594</v>
      </c>
      <c r="D1107" s="2" t="str">
        <f t="shared" si="16"/>
        <v>Error?</v>
      </c>
    </row>
    <row r="1108" spans="1:4" x14ac:dyDescent="0.2">
      <c r="A1108" s="5">
        <v>1047</v>
      </c>
      <c r="B1108" s="138">
        <f>'Expenditures 15-22'!K33</f>
        <v>40370629</v>
      </c>
      <c r="C1108" s="2" t="s">
        <v>594</v>
      </c>
      <c r="D1108" s="2" t="str">
        <f t="shared" si="16"/>
        <v>Error?</v>
      </c>
    </row>
    <row r="1109" spans="1:4" x14ac:dyDescent="0.2">
      <c r="A1109" s="5">
        <v>1048</v>
      </c>
      <c r="B1109" s="138">
        <f>'Expenditures 15-22'!K36</f>
        <v>705895</v>
      </c>
      <c r="C1109" s="2" t="s">
        <v>594</v>
      </c>
      <c r="D1109" s="2" t="str">
        <f t="shared" si="16"/>
        <v>Error?</v>
      </c>
    </row>
    <row r="1110" spans="1:4" x14ac:dyDescent="0.2">
      <c r="A1110" s="5">
        <v>1049</v>
      </c>
      <c r="B1110" s="138">
        <f>'Expenditures 15-22'!K37</f>
        <v>1431431</v>
      </c>
      <c r="C1110" s="2" t="s">
        <v>594</v>
      </c>
      <c r="D1110" s="2" t="str">
        <f t="shared" si="16"/>
        <v>Error?</v>
      </c>
    </row>
    <row r="1111" spans="1:4" x14ac:dyDescent="0.2">
      <c r="A1111" s="5">
        <v>1050</v>
      </c>
      <c r="B1111" s="138">
        <f>'Expenditures 15-22'!K38</f>
        <v>591745</v>
      </c>
      <c r="C1111" s="2" t="s">
        <v>594</v>
      </c>
      <c r="D1111" s="2" t="str">
        <f t="shared" si="16"/>
        <v>Error?</v>
      </c>
    </row>
    <row r="1112" spans="1:4" x14ac:dyDescent="0.2">
      <c r="A1112" s="5">
        <v>1051</v>
      </c>
      <c r="B1112" s="138">
        <f>'Expenditures 15-22'!K39</f>
        <v>1096988</v>
      </c>
      <c r="C1112" s="2" t="s">
        <v>594</v>
      </c>
      <c r="D1112" s="2" t="str">
        <f t="shared" si="16"/>
        <v>Error?</v>
      </c>
    </row>
    <row r="1113" spans="1:4" x14ac:dyDescent="0.2">
      <c r="A1113" s="5">
        <v>1052</v>
      </c>
      <c r="B1113" s="138">
        <f>'Expenditures 15-22'!K40</f>
        <v>826474</v>
      </c>
      <c r="C1113" s="2" t="s">
        <v>594</v>
      </c>
      <c r="D1113" s="2" t="str">
        <f t="shared" si="16"/>
        <v>Error?</v>
      </c>
    </row>
    <row r="1114" spans="1:4" x14ac:dyDescent="0.2">
      <c r="A1114" s="5">
        <v>1053</v>
      </c>
      <c r="B1114" s="138">
        <f>'Expenditures 15-22'!K41</f>
        <v>71485</v>
      </c>
      <c r="C1114" s="2" t="s">
        <v>594</v>
      </c>
      <c r="D1114" s="2" t="str">
        <f t="shared" si="16"/>
        <v>Error?</v>
      </c>
    </row>
    <row r="1115" spans="1:4" x14ac:dyDescent="0.2">
      <c r="A1115" s="5">
        <v>1054</v>
      </c>
      <c r="B1115" s="138">
        <f>'Expenditures 15-22'!K42</f>
        <v>4724018</v>
      </c>
      <c r="C1115" s="2" t="s">
        <v>594</v>
      </c>
      <c r="D1115" s="2" t="str">
        <f t="shared" si="16"/>
        <v>Error?</v>
      </c>
    </row>
    <row r="1116" spans="1:4" x14ac:dyDescent="0.2">
      <c r="A1116" s="5">
        <v>1055</v>
      </c>
      <c r="B1116" s="138">
        <f>'Expenditures 15-22'!K44</f>
        <v>1559672</v>
      </c>
      <c r="C1116" s="2" t="s">
        <v>594</v>
      </c>
      <c r="D1116" s="2" t="str">
        <f t="shared" si="16"/>
        <v>Error?</v>
      </c>
    </row>
    <row r="1117" spans="1:4" x14ac:dyDescent="0.2">
      <c r="A1117" s="5">
        <v>1056</v>
      </c>
      <c r="B1117" s="138">
        <f>'Expenditures 15-22'!K45</f>
        <v>430046</v>
      </c>
      <c r="C1117" s="2" t="s">
        <v>594</v>
      </c>
      <c r="D1117" s="2" t="str">
        <f t="shared" si="16"/>
        <v>Error?</v>
      </c>
    </row>
    <row r="1118" spans="1:4" x14ac:dyDescent="0.2">
      <c r="A1118" s="5">
        <v>1057</v>
      </c>
      <c r="B1118" s="138">
        <f>'Expenditures 15-22'!K46</f>
        <v>104022</v>
      </c>
      <c r="C1118" s="2" t="s">
        <v>594</v>
      </c>
      <c r="D1118" s="2" t="str">
        <f t="shared" si="16"/>
        <v>Error?</v>
      </c>
    </row>
    <row r="1119" spans="1:4" x14ac:dyDescent="0.2">
      <c r="A1119" s="5">
        <v>1058</v>
      </c>
      <c r="B1119" s="138">
        <f>'Expenditures 15-22'!K47</f>
        <v>2093740</v>
      </c>
      <c r="C1119" s="2" t="s">
        <v>594</v>
      </c>
      <c r="D1119" s="2" t="str">
        <f t="shared" si="16"/>
        <v>Error?</v>
      </c>
    </row>
    <row r="1120" spans="1:4" x14ac:dyDescent="0.2">
      <c r="A1120" s="5">
        <v>1059</v>
      </c>
      <c r="B1120" s="138">
        <f>'Expenditures 15-22'!K49</f>
        <v>231153</v>
      </c>
      <c r="C1120" s="2" t="s">
        <v>594</v>
      </c>
      <c r="D1120" s="2" t="str">
        <f t="shared" si="16"/>
        <v>Error?</v>
      </c>
    </row>
    <row r="1121" spans="1:4" x14ac:dyDescent="0.2">
      <c r="A1121" s="5">
        <v>1060</v>
      </c>
      <c r="B1121" s="138">
        <f>'Expenditures 15-22'!K50</f>
        <v>323847</v>
      </c>
      <c r="C1121" s="2" t="s">
        <v>594</v>
      </c>
      <c r="D1121" s="2" t="str">
        <f t="shared" si="16"/>
        <v>Error?</v>
      </c>
    </row>
    <row r="1122" spans="1:4" x14ac:dyDescent="0.2">
      <c r="A1122" s="5">
        <v>1061</v>
      </c>
      <c r="B1122" s="138">
        <f>'Expenditures 15-22'!K53</f>
        <v>716827</v>
      </c>
      <c r="C1122" s="2" t="s">
        <v>594</v>
      </c>
      <c r="D1122" s="2" t="str">
        <f t="shared" si="16"/>
        <v>Error?</v>
      </c>
    </row>
    <row r="1123" spans="1:4" x14ac:dyDescent="0.2">
      <c r="A1123" s="5">
        <v>1062</v>
      </c>
      <c r="B1123" s="138">
        <f>'Expenditures 15-22'!K55</f>
        <v>3485913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3485913</v>
      </c>
      <c r="C1125" s="2" t="s">
        <v>594</v>
      </c>
      <c r="D1125" s="2" t="str">
        <f t="shared" si="16"/>
        <v>Error?</v>
      </c>
    </row>
    <row r="1126" spans="1:4" x14ac:dyDescent="0.2">
      <c r="A1126" s="5">
        <v>1065</v>
      </c>
      <c r="B1126" s="138">
        <f>'Expenditures 15-22'!K59</f>
        <v>201941</v>
      </c>
      <c r="C1126" s="2" t="s">
        <v>594</v>
      </c>
      <c r="D1126" s="2" t="str">
        <f t="shared" si="16"/>
        <v>Error?</v>
      </c>
    </row>
    <row r="1127" spans="1:4" x14ac:dyDescent="0.2">
      <c r="A1127" s="5">
        <v>1066</v>
      </c>
      <c r="B1127" s="138">
        <f>'Expenditures 15-22'!K60</f>
        <v>288351</v>
      </c>
      <c r="C1127" s="2" t="s">
        <v>594</v>
      </c>
      <c r="D1127" s="2" t="str">
        <f t="shared" si="16"/>
        <v>Error?</v>
      </c>
    </row>
    <row r="1128" spans="1:4" x14ac:dyDescent="0.2">
      <c r="A1128" s="5">
        <v>1067</v>
      </c>
      <c r="B1128" s="138">
        <f>'Expenditures 15-22'!K61</f>
        <v>361931</v>
      </c>
      <c r="C1128" s="2" t="s">
        <v>594</v>
      </c>
      <c r="D1128" s="2" t="str">
        <f t="shared" si="16"/>
        <v>Error?</v>
      </c>
    </row>
    <row r="1129" spans="1:4" x14ac:dyDescent="0.2">
      <c r="A1129" s="5">
        <v>1068</v>
      </c>
      <c r="B1129" s="138">
        <f>'Expenditures 15-22'!K62</f>
        <v>165970</v>
      </c>
      <c r="C1129" s="2" t="s">
        <v>594</v>
      </c>
      <c r="D1129" s="2" t="str">
        <f t="shared" si="16"/>
        <v>Error?</v>
      </c>
    </row>
    <row r="1130" spans="1:4" x14ac:dyDescent="0.2">
      <c r="A1130" s="5">
        <v>1069</v>
      </c>
      <c r="B1130" s="138">
        <f>'Expenditures 15-22'!K63</f>
        <v>2886739</v>
      </c>
      <c r="C1130" s="2" t="s">
        <v>594</v>
      </c>
      <c r="D1130" s="2" t="str">
        <f t="shared" si="16"/>
        <v>Error?</v>
      </c>
    </row>
    <row r="1131" spans="1:4" x14ac:dyDescent="0.2">
      <c r="A1131" s="5">
        <v>1070</v>
      </c>
      <c r="B1131" s="138">
        <f>'Expenditures 15-22'!K64</f>
        <v>10432</v>
      </c>
      <c r="C1131" s="2" t="s">
        <v>594</v>
      </c>
      <c r="D1131" s="2" t="str">
        <f t="shared" si="16"/>
        <v>Error?</v>
      </c>
    </row>
    <row r="1132" spans="1:4" x14ac:dyDescent="0.2">
      <c r="A1132" s="10">
        <v>1071</v>
      </c>
      <c r="D1132" s="2" t="str">
        <f t="shared" si="16"/>
        <v>OK</v>
      </c>
    </row>
    <row r="1133" spans="1:4" x14ac:dyDescent="0.2">
      <c r="A1133" s="5">
        <v>1072</v>
      </c>
      <c r="B1133" s="138">
        <f>'Expenditures 15-22'!K65</f>
        <v>3915364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92290</v>
      </c>
      <c r="C1136" s="2" t="s">
        <v>594</v>
      </c>
      <c r="D1136" s="2" t="str">
        <f t="shared" si="16"/>
        <v>Error?</v>
      </c>
    </row>
    <row r="1137" spans="1:4" x14ac:dyDescent="0.2">
      <c r="A1137" s="5">
        <v>1076</v>
      </c>
      <c r="B1137" s="138">
        <f>'Expenditures 15-22'!K70</f>
        <v>391993</v>
      </c>
      <c r="C1137" s="2" t="s">
        <v>594</v>
      </c>
      <c r="D1137" s="2" t="str">
        <f t="shared" si="16"/>
        <v>Error?</v>
      </c>
    </row>
    <row r="1138" spans="1:4" x14ac:dyDescent="0.2">
      <c r="A1138" s="10">
        <v>1077</v>
      </c>
      <c r="D1138" s="2" t="str">
        <f t="shared" si="16"/>
        <v>OK</v>
      </c>
    </row>
    <row r="1139" spans="1:4" x14ac:dyDescent="0.2">
      <c r="A1139" s="5">
        <v>1078</v>
      </c>
      <c r="B1139" s="138">
        <f>'Expenditures 15-22'!K71</f>
        <v>938958</v>
      </c>
      <c r="C1139" s="2" t="s">
        <v>594</v>
      </c>
      <c r="D1139" s="2" t="str">
        <f t="shared" si="16"/>
        <v>Error?</v>
      </c>
    </row>
    <row r="1140" spans="1:4" x14ac:dyDescent="0.2">
      <c r="A1140" s="10">
        <v>1079</v>
      </c>
      <c r="D1140" s="2" t="str">
        <f t="shared" si="16"/>
        <v>OK</v>
      </c>
    </row>
    <row r="1141" spans="1:4" x14ac:dyDescent="0.2">
      <c r="A1141" s="5">
        <v>1080</v>
      </c>
      <c r="B1141" s="138">
        <f>'Expenditures 15-22'!K72</f>
        <v>1423241</v>
      </c>
      <c r="C1141" s="2" t="s">
        <v>594</v>
      </c>
      <c r="D1141" s="2" t="str">
        <f t="shared" si="16"/>
        <v>Error?</v>
      </c>
    </row>
    <row r="1142" spans="1:4" x14ac:dyDescent="0.2">
      <c r="A1142" s="5">
        <v>1081</v>
      </c>
      <c r="B1142" s="138">
        <f>'Expenditures 15-22'!K73</f>
        <v>117540</v>
      </c>
      <c r="C1142" s="2" t="s">
        <v>594</v>
      </c>
      <c r="D1142" s="2" t="str">
        <f t="shared" si="16"/>
        <v>Error?</v>
      </c>
    </row>
    <row r="1143" spans="1:4" x14ac:dyDescent="0.2">
      <c r="A1143" s="5">
        <v>1082</v>
      </c>
      <c r="B1143" s="138">
        <f>'Expenditures 15-22'!K74</f>
        <v>16476643</v>
      </c>
      <c r="C1143" s="2" t="s">
        <v>594</v>
      </c>
      <c r="D1143" s="2" t="str">
        <f t="shared" si="16"/>
        <v>Error?</v>
      </c>
    </row>
    <row r="1144" spans="1:4" x14ac:dyDescent="0.2">
      <c r="A1144" s="5">
        <v>1083</v>
      </c>
      <c r="B1144" s="138">
        <f>'Expenditures 15-22'!K75</f>
        <v>3469888</v>
      </c>
      <c r="C1144" s="2" t="s">
        <v>594</v>
      </c>
      <c r="D1144" s="2" t="str">
        <f t="shared" si="16"/>
        <v>Error?</v>
      </c>
    </row>
    <row r="1145" spans="1:4" x14ac:dyDescent="0.2">
      <c r="A1145" s="5">
        <v>1084</v>
      </c>
      <c r="B1145" s="138">
        <f>'Expenditures 15-22'!K102</f>
        <v>2274834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62591994</v>
      </c>
      <c r="C1152" s="2" t="s">
        <v>594</v>
      </c>
      <c r="D1152" s="2" t="str">
        <f t="shared" si="17"/>
        <v>Error?</v>
      </c>
    </row>
    <row r="1153" spans="1:4" x14ac:dyDescent="0.2">
      <c r="A1153" s="5">
        <v>1092</v>
      </c>
      <c r="B1153" s="138">
        <f>'Expenditures 15-22'!K115</f>
        <v>1582253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2386937</v>
      </c>
      <c r="D1221" s="2" t="str">
        <f t="shared" si="18"/>
        <v>Error?</v>
      </c>
    </row>
    <row r="1222" spans="1:4" x14ac:dyDescent="0.2">
      <c r="A1222" s="10">
        <v>1161</v>
      </c>
      <c r="D1222" s="2" t="str">
        <f t="shared" si="18"/>
        <v>OK</v>
      </c>
    </row>
    <row r="1223" spans="1:4" x14ac:dyDescent="0.2">
      <c r="A1223" s="5">
        <v>1162</v>
      </c>
      <c r="B1223" s="138">
        <f>'Expenditures 15-22'!C127</f>
        <v>2386937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2386937</v>
      </c>
      <c r="C1225" s="2" t="s">
        <v>594</v>
      </c>
      <c r="D1225" s="2" t="str">
        <f t="shared" si="18"/>
        <v>Error?</v>
      </c>
    </row>
    <row r="1226" spans="1:4" x14ac:dyDescent="0.2">
      <c r="A1226" s="5">
        <v>1165</v>
      </c>
      <c r="B1226" s="138">
        <f>'Expenditures 15-22'!C151</f>
        <v>2386937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429235</v>
      </c>
      <c r="D1229" s="2" t="str">
        <f t="shared" si="18"/>
        <v>Error?</v>
      </c>
    </row>
    <row r="1230" spans="1:4" x14ac:dyDescent="0.2">
      <c r="A1230" s="10">
        <v>1169</v>
      </c>
      <c r="D1230" s="2" t="str">
        <f t="shared" si="18"/>
        <v>OK</v>
      </c>
    </row>
    <row r="1231" spans="1:4" x14ac:dyDescent="0.2">
      <c r="A1231" s="5">
        <v>1170</v>
      </c>
      <c r="B1231" s="138">
        <f>'Expenditures 15-22'!D127</f>
        <v>429235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429235</v>
      </c>
      <c r="C1233" s="2" t="s">
        <v>594</v>
      </c>
      <c r="D1233" s="2" t="str">
        <f t="shared" si="18"/>
        <v>Error?</v>
      </c>
    </row>
    <row r="1234" spans="1:4" x14ac:dyDescent="0.2">
      <c r="A1234" s="5">
        <v>1173</v>
      </c>
      <c r="B1234" s="138">
        <f>'Expenditures 15-22'!D151</f>
        <v>429235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1041862</v>
      </c>
      <c r="D1237" s="2" t="str">
        <f t="shared" si="18"/>
        <v>Error?</v>
      </c>
    </row>
    <row r="1238" spans="1:4" x14ac:dyDescent="0.2">
      <c r="A1238" s="10">
        <v>1177</v>
      </c>
      <c r="D1238" s="2" t="str">
        <f t="shared" si="18"/>
        <v>OK</v>
      </c>
    </row>
    <row r="1239" spans="1:4" x14ac:dyDescent="0.2">
      <c r="A1239" s="5">
        <v>1178</v>
      </c>
      <c r="B1239" s="138">
        <f>'Expenditures 15-22'!E127</f>
        <v>1041862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1041862</v>
      </c>
      <c r="C1241" s="2" t="s">
        <v>594</v>
      </c>
      <c r="D1241" s="2" t="str">
        <f t="shared" si="18"/>
        <v>Error?</v>
      </c>
    </row>
    <row r="1242" spans="1:4" x14ac:dyDescent="0.2">
      <c r="A1242" s="5">
        <v>1181</v>
      </c>
      <c r="B1242" s="138">
        <f>'Expenditures 15-22'!E151</f>
        <v>1041862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1334438</v>
      </c>
      <c r="D1245" s="2" t="str">
        <f t="shared" si="18"/>
        <v>Error?</v>
      </c>
    </row>
    <row r="1246" spans="1:4" x14ac:dyDescent="0.2">
      <c r="A1246" s="10">
        <v>1185</v>
      </c>
      <c r="D1246" s="2" t="str">
        <f t="shared" si="18"/>
        <v>OK</v>
      </c>
    </row>
    <row r="1247" spans="1:4" x14ac:dyDescent="0.2">
      <c r="A1247" s="5">
        <v>1186</v>
      </c>
      <c r="B1247" s="138">
        <f>'Expenditures 15-22'!F127</f>
        <v>1334438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1334438</v>
      </c>
      <c r="C1249" s="2" t="s">
        <v>594</v>
      </c>
      <c r="D1249" s="2" t="str">
        <f t="shared" si="18"/>
        <v>Error?</v>
      </c>
    </row>
    <row r="1250" spans="1:4" x14ac:dyDescent="0.2">
      <c r="A1250" s="5">
        <v>1189</v>
      </c>
      <c r="B1250" s="138">
        <f>'Expenditures 15-22'!F151</f>
        <v>1334438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153494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153494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153494</v>
      </c>
      <c r="C1258" s="2" t="s">
        <v>594</v>
      </c>
      <c r="D1258" s="2" t="str">
        <f t="shared" si="18"/>
        <v>Error?</v>
      </c>
    </row>
    <row r="1259" spans="1:4" x14ac:dyDescent="0.2">
      <c r="A1259" s="5">
        <v>1198</v>
      </c>
      <c r="B1259" s="138">
        <f>'Expenditures 15-22'!G151</f>
        <v>153494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5345966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5345966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5345966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5345966</v>
      </c>
      <c r="C1288" s="2" t="s">
        <v>594</v>
      </c>
      <c r="D1288" s="2" t="str">
        <f t="shared" si="19"/>
        <v>Error?</v>
      </c>
    </row>
    <row r="1289" spans="1:4" x14ac:dyDescent="0.2">
      <c r="A1289" s="5">
        <v>1228</v>
      </c>
      <c r="B1289" s="138">
        <f>'Expenditures 15-22'!K152</f>
        <v>-3921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1343842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31295000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32638842</v>
      </c>
      <c r="C1317" s="2" t="s">
        <v>594</v>
      </c>
      <c r="D1317" s="2" t="str">
        <f t="shared" si="19"/>
        <v>Error?</v>
      </c>
    </row>
    <row r="1318" spans="1:4" x14ac:dyDescent="0.2">
      <c r="A1318" s="5">
        <v>1257</v>
      </c>
      <c r="B1318" s="138">
        <f>'Expenditures 15-22'!H174</f>
        <v>32638842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1343842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31295000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32638842</v>
      </c>
      <c r="C1331" s="2" t="s">
        <v>594</v>
      </c>
      <c r="D1331" s="2" t="str">
        <f t="shared" si="19"/>
        <v>Error?</v>
      </c>
    </row>
    <row r="1332" spans="1:4" x14ac:dyDescent="0.2">
      <c r="A1332" s="5">
        <v>1271</v>
      </c>
      <c r="B1332" s="138">
        <f>'Expenditures 15-22'!K174</f>
        <v>32638842</v>
      </c>
      <c r="C1332" s="2" t="s">
        <v>594</v>
      </c>
      <c r="D1332" s="2" t="str">
        <f t="shared" si="19"/>
        <v>Error?</v>
      </c>
    </row>
    <row r="1333" spans="1:4" x14ac:dyDescent="0.2">
      <c r="A1333" s="5">
        <v>1272</v>
      </c>
      <c r="B1333" s="138">
        <f>'Expenditures 15-22'!K175</f>
        <v>-29493815</v>
      </c>
      <c r="C1333" s="2" t="s">
        <v>594</v>
      </c>
      <c r="D1333" s="2" t="str">
        <f t="shared" si="19"/>
        <v>Error?</v>
      </c>
    </row>
    <row r="1334" spans="1:4" x14ac:dyDescent="0.2">
      <c r="A1334" s="10">
        <v>1273</v>
      </c>
      <c r="D1334" s="2" t="str">
        <f t="shared" si="19"/>
        <v>OK</v>
      </c>
    </row>
    <row r="1335" spans="1:4" x14ac:dyDescent="0.2">
      <c r="A1335" s="5">
        <v>1274</v>
      </c>
      <c r="B1335" s="138">
        <f>'Expenditures 15-22'!C182</f>
        <v>5621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5621</v>
      </c>
      <c r="C1339" s="2" t="s">
        <v>594</v>
      </c>
      <c r="D1339" s="2" t="str">
        <f t="shared" si="19"/>
        <v>Error?</v>
      </c>
    </row>
    <row r="1340" spans="1:4" x14ac:dyDescent="0.2">
      <c r="A1340" s="5">
        <v>1279</v>
      </c>
      <c r="B1340" s="138">
        <f>'Expenditures 15-22'!C210</f>
        <v>5621</v>
      </c>
      <c r="C1340" s="2" t="s">
        <v>594</v>
      </c>
      <c r="D1340" s="2" t="str">
        <f t="shared" si="19"/>
        <v>Error?</v>
      </c>
    </row>
    <row r="1341" spans="1:4" x14ac:dyDescent="0.2">
      <c r="A1341" s="5">
        <v>1280</v>
      </c>
      <c r="B1341" s="138">
        <f>'Expenditures 15-22'!D182</f>
        <v>261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261</v>
      </c>
      <c r="C1345" s="2" t="s">
        <v>594</v>
      </c>
      <c r="D1345" s="2" t="str">
        <f t="shared" si="20"/>
        <v>Error?</v>
      </c>
    </row>
    <row r="1346" spans="1:4" x14ac:dyDescent="0.2">
      <c r="A1346" s="5">
        <v>1285</v>
      </c>
      <c r="B1346" s="138">
        <f>'Expenditures 15-22'!D210</f>
        <v>261</v>
      </c>
      <c r="C1346" s="2" t="s">
        <v>594</v>
      </c>
      <c r="D1346" s="2" t="str">
        <f t="shared" si="20"/>
        <v>Error?</v>
      </c>
    </row>
    <row r="1347" spans="1:4" x14ac:dyDescent="0.2">
      <c r="A1347" s="5">
        <v>1286</v>
      </c>
      <c r="B1347" s="138">
        <f>'Expenditures 15-22'!E182</f>
        <v>1531973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1531973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1531973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1537855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1537855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1537855</v>
      </c>
      <c r="C1388" s="2" t="s">
        <v>594</v>
      </c>
      <c r="D1388" s="2" t="str">
        <f t="shared" si="20"/>
        <v>Error?</v>
      </c>
    </row>
    <row r="1389" spans="1:4" x14ac:dyDescent="0.2">
      <c r="A1389" s="5">
        <v>1328</v>
      </c>
      <c r="B1389" s="138">
        <f>'Expenditures 15-22'!K211</f>
        <v>436559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3656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23771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9407</v>
      </c>
      <c r="D1407" s="2" t="str">
        <f t="shared" ref="D1407:D1470" si="21">IF(ISBLANK(B1407),"OK",IF(A1407-B1407=0,"OK","Error?"))</f>
        <v>Error?</v>
      </c>
    </row>
    <row r="1408" spans="1:4" x14ac:dyDescent="0.2">
      <c r="A1408" s="5">
        <v>1347</v>
      </c>
      <c r="B1408" s="138">
        <f>'Expenditures 15-22'!D223</f>
        <v>58804</v>
      </c>
      <c r="D1408" s="2" t="str">
        <f t="shared" si="21"/>
        <v>Error?</v>
      </c>
    </row>
    <row r="1409" spans="1:4" x14ac:dyDescent="0.2">
      <c r="A1409" s="5">
        <v>1348</v>
      </c>
      <c r="B1409" s="138">
        <f>'Expenditures 15-22'!D224</f>
        <v>1733</v>
      </c>
      <c r="D1409" s="2" t="str">
        <f t="shared" si="21"/>
        <v>Error?</v>
      </c>
    </row>
    <row r="1410" spans="1:4" x14ac:dyDescent="0.2">
      <c r="A1410" s="5">
        <v>1349</v>
      </c>
      <c r="B1410" s="138">
        <f>'Expenditures 15-22'!D229</f>
        <v>828160</v>
      </c>
      <c r="C1410" s="2" t="s">
        <v>594</v>
      </c>
      <c r="D1410" s="2" t="str">
        <f t="shared" si="21"/>
        <v>Error?</v>
      </c>
    </row>
    <row r="1411" spans="1:4" x14ac:dyDescent="0.2">
      <c r="A1411" s="5">
        <v>1350</v>
      </c>
      <c r="B1411" s="138">
        <f>'Expenditures 15-22'!D232</f>
        <v>40565</v>
      </c>
      <c r="D1411" s="2" t="str">
        <f t="shared" si="21"/>
        <v>Error?</v>
      </c>
    </row>
    <row r="1412" spans="1:4" x14ac:dyDescent="0.2">
      <c r="A1412" s="5">
        <v>1351</v>
      </c>
      <c r="B1412" s="138">
        <f>'Expenditures 15-22'!D233</f>
        <v>55278</v>
      </c>
      <c r="D1412" s="2" t="str">
        <f t="shared" si="21"/>
        <v>Error?</v>
      </c>
    </row>
    <row r="1413" spans="1:4" x14ac:dyDescent="0.2">
      <c r="A1413" s="5">
        <v>1352</v>
      </c>
      <c r="B1413" s="138">
        <f>'Expenditures 15-22'!D234</f>
        <v>92062</v>
      </c>
      <c r="D1413" s="2" t="str">
        <f t="shared" si="21"/>
        <v>Error?</v>
      </c>
    </row>
    <row r="1414" spans="1:4" x14ac:dyDescent="0.2">
      <c r="A1414" s="5">
        <v>1353</v>
      </c>
      <c r="B1414" s="138">
        <f>'Expenditures 15-22'!D235</f>
        <v>11400</v>
      </c>
      <c r="D1414" s="2" t="str">
        <f t="shared" si="21"/>
        <v>Error?</v>
      </c>
    </row>
    <row r="1415" spans="1:4" x14ac:dyDescent="0.2">
      <c r="A1415" s="5">
        <v>1354</v>
      </c>
      <c r="B1415" s="138">
        <f>'Expenditures 15-22'!D236</f>
        <v>9758</v>
      </c>
      <c r="D1415" s="2" t="str">
        <f t="shared" si="21"/>
        <v>Error?</v>
      </c>
    </row>
    <row r="1416" spans="1:4" x14ac:dyDescent="0.2">
      <c r="A1416" s="5">
        <v>1355</v>
      </c>
      <c r="B1416" s="138">
        <f>'Expenditures 15-22'!D237</f>
        <v>6296</v>
      </c>
      <c r="D1416" s="2" t="str">
        <f t="shared" si="21"/>
        <v>Error?</v>
      </c>
    </row>
    <row r="1417" spans="1:4" x14ac:dyDescent="0.2">
      <c r="A1417" s="5">
        <v>1356</v>
      </c>
      <c r="B1417" s="138">
        <f>'Expenditures 15-22'!D238</f>
        <v>215359</v>
      </c>
      <c r="C1417" s="2" t="s">
        <v>594</v>
      </c>
      <c r="D1417" s="2" t="str">
        <f t="shared" si="21"/>
        <v>Error?</v>
      </c>
    </row>
    <row r="1418" spans="1:4" x14ac:dyDescent="0.2">
      <c r="A1418" s="5">
        <v>1357</v>
      </c>
      <c r="B1418" s="138">
        <f>'Expenditures 15-22'!D240</f>
        <v>6489</v>
      </c>
      <c r="D1418" s="2" t="str">
        <f t="shared" si="21"/>
        <v>Error?</v>
      </c>
    </row>
    <row r="1419" spans="1:4" x14ac:dyDescent="0.2">
      <c r="A1419" s="5">
        <v>1358</v>
      </c>
      <c r="B1419" s="138">
        <f>'Expenditures 15-22'!D241</f>
        <v>36948</v>
      </c>
      <c r="D1419" s="2" t="str">
        <f t="shared" si="21"/>
        <v>Error?</v>
      </c>
    </row>
    <row r="1420" spans="1:4" x14ac:dyDescent="0.2">
      <c r="A1420" s="5">
        <v>1359</v>
      </c>
      <c r="B1420" s="138">
        <f>'Expenditures 15-22'!D242</f>
        <v>104</v>
      </c>
      <c r="D1420" s="2" t="str">
        <f t="shared" si="21"/>
        <v>Error?</v>
      </c>
    </row>
    <row r="1421" spans="1:4" x14ac:dyDescent="0.2">
      <c r="A1421" s="5">
        <v>1360</v>
      </c>
      <c r="B1421" s="138">
        <f>'Expenditures 15-22'!D243</f>
        <v>43541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13468</v>
      </c>
      <c r="D1423" s="2" t="str">
        <f t="shared" si="21"/>
        <v>Error?</v>
      </c>
    </row>
    <row r="1424" spans="1:4" x14ac:dyDescent="0.2">
      <c r="A1424" s="5">
        <v>1363</v>
      </c>
      <c r="B1424" s="138">
        <f>'Expenditures 15-22'!D257</f>
        <v>13753</v>
      </c>
      <c r="C1424" s="2" t="s">
        <v>594</v>
      </c>
      <c r="D1424" s="2" t="str">
        <f t="shared" si="21"/>
        <v>Error?</v>
      </c>
    </row>
    <row r="1425" spans="1:4" x14ac:dyDescent="0.2">
      <c r="A1425" s="5">
        <v>1364</v>
      </c>
      <c r="B1425" s="138">
        <f>'Expenditures 15-22'!D259</f>
        <v>172820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172820</v>
      </c>
      <c r="C1427" s="2" t="s">
        <v>594</v>
      </c>
      <c r="D1427" s="2" t="str">
        <f t="shared" si="21"/>
        <v>Error?</v>
      </c>
    </row>
    <row r="1428" spans="1:4" x14ac:dyDescent="0.2">
      <c r="A1428" s="5">
        <v>1367</v>
      </c>
      <c r="B1428" s="138">
        <f>'Expenditures 15-22'!D263</f>
        <v>7576</v>
      </c>
      <c r="D1428" s="2" t="str">
        <f t="shared" si="21"/>
        <v>Error?</v>
      </c>
    </row>
    <row r="1429" spans="1:4" x14ac:dyDescent="0.2">
      <c r="A1429" s="5">
        <v>1368</v>
      </c>
      <c r="B1429" s="138">
        <f>'Expenditures 15-22'!D264</f>
        <v>44217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508567</v>
      </c>
      <c r="D1431" s="2" t="str">
        <f t="shared" si="21"/>
        <v>Error?</v>
      </c>
    </row>
    <row r="1432" spans="1:4" x14ac:dyDescent="0.2">
      <c r="A1432" s="5">
        <v>1371</v>
      </c>
      <c r="B1432" s="138">
        <f>'Expenditures 15-22'!D267</f>
        <v>1070</v>
      </c>
      <c r="D1432" s="2" t="str">
        <f t="shared" si="21"/>
        <v>Error?</v>
      </c>
    </row>
    <row r="1433" spans="1:4" x14ac:dyDescent="0.2">
      <c r="A1433" s="5">
        <v>1372</v>
      </c>
      <c r="B1433" s="138">
        <f>'Expenditures 15-22'!D268</f>
        <v>180388</v>
      </c>
      <c r="D1433" s="2" t="str">
        <f t="shared" si="21"/>
        <v>Error?</v>
      </c>
    </row>
    <row r="1434" spans="1:4" x14ac:dyDescent="0.2">
      <c r="A1434" s="5">
        <v>1373</v>
      </c>
      <c r="B1434" s="138">
        <f>'Expenditures 15-22'!D269</f>
        <v>9306</v>
      </c>
      <c r="D1434" s="2" t="str">
        <f t="shared" si="21"/>
        <v>Error?</v>
      </c>
    </row>
    <row r="1435" spans="1:4" x14ac:dyDescent="0.2">
      <c r="A1435" s="10">
        <v>1374</v>
      </c>
      <c r="D1435" s="2" t="str">
        <f t="shared" si="21"/>
        <v>OK</v>
      </c>
    </row>
    <row r="1436" spans="1:4" x14ac:dyDescent="0.2">
      <c r="A1436" s="5">
        <v>1375</v>
      </c>
      <c r="B1436" s="138">
        <f>'Expenditures 15-22'!D270</f>
        <v>751124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12217</v>
      </c>
      <c r="D1439" s="2" t="str">
        <f t="shared" si="21"/>
        <v>Error?</v>
      </c>
    </row>
    <row r="1440" spans="1:4" x14ac:dyDescent="0.2">
      <c r="A1440" s="5">
        <v>1379</v>
      </c>
      <c r="B1440" s="138">
        <f>'Expenditures 15-22'!D275</f>
        <v>16194</v>
      </c>
      <c r="D1440" s="2" t="str">
        <f t="shared" si="21"/>
        <v>Error?</v>
      </c>
    </row>
    <row r="1441" spans="1:4" x14ac:dyDescent="0.2">
      <c r="A1441" s="10">
        <v>1380</v>
      </c>
      <c r="D1441" s="2" t="str">
        <f t="shared" si="21"/>
        <v>OK</v>
      </c>
    </row>
    <row r="1442" spans="1:4" x14ac:dyDescent="0.2">
      <c r="A1442" s="5">
        <v>1381</v>
      </c>
      <c r="B1442" s="138">
        <f>'Expenditures 15-22'!D276</f>
        <v>69460</v>
      </c>
      <c r="D1442" s="2" t="str">
        <f t="shared" si="21"/>
        <v>Error?</v>
      </c>
    </row>
    <row r="1443" spans="1:4" x14ac:dyDescent="0.2">
      <c r="A1443" s="10">
        <v>1382</v>
      </c>
      <c r="D1443" s="2" t="str">
        <f t="shared" si="21"/>
        <v>OK</v>
      </c>
    </row>
    <row r="1444" spans="1:4" x14ac:dyDescent="0.2">
      <c r="A1444" s="5">
        <v>1383</v>
      </c>
      <c r="B1444" s="138">
        <f>'Expenditures 15-22'!D277</f>
        <v>97871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1294468</v>
      </c>
      <c r="C1446" s="2" t="s">
        <v>594</v>
      </c>
      <c r="D1446" s="2" t="str">
        <f t="shared" si="21"/>
        <v>Error?</v>
      </c>
    </row>
    <row r="1447" spans="1:4" x14ac:dyDescent="0.2">
      <c r="A1447" s="5">
        <v>1386</v>
      </c>
      <c r="B1447" s="138">
        <f>'Expenditures 15-22'!D280</f>
        <v>3614</v>
      </c>
      <c r="D1447" s="2" t="str">
        <f t="shared" si="21"/>
        <v>Error?</v>
      </c>
    </row>
    <row r="1448" spans="1:4" x14ac:dyDescent="0.2">
      <c r="A1448" s="5">
        <v>1387</v>
      </c>
      <c r="B1448" s="138">
        <f>'Expenditures 15-22'!D295</f>
        <v>2126242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3656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23771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9407</v>
      </c>
      <c r="C1471" s="2" t="s">
        <v>594</v>
      </c>
      <c r="D1471" s="2" t="str">
        <f t="shared" ref="D1471:D1534" si="22">IF(ISBLANK(B1471),"OK",IF(A1471-B1471=0,"OK","Error?"))</f>
        <v>Error?</v>
      </c>
    </row>
    <row r="1472" spans="1:4" x14ac:dyDescent="0.2">
      <c r="A1472" s="5">
        <v>1411</v>
      </c>
      <c r="B1472" s="138">
        <f>'Expenditures 15-22'!K223</f>
        <v>58804</v>
      </c>
      <c r="C1472" s="2" t="s">
        <v>594</v>
      </c>
      <c r="D1472" s="2" t="str">
        <f t="shared" si="22"/>
        <v>Error?</v>
      </c>
    </row>
    <row r="1473" spans="1:4" x14ac:dyDescent="0.2">
      <c r="A1473" s="5">
        <v>1412</v>
      </c>
      <c r="B1473" s="138">
        <f>'Expenditures 15-22'!K224</f>
        <v>1733</v>
      </c>
      <c r="C1473" s="2" t="s">
        <v>594</v>
      </c>
      <c r="D1473" s="2" t="str">
        <f t="shared" si="22"/>
        <v>Error?</v>
      </c>
    </row>
    <row r="1474" spans="1:4" x14ac:dyDescent="0.2">
      <c r="A1474" s="5">
        <v>1413</v>
      </c>
      <c r="B1474" s="138">
        <f>'Expenditures 15-22'!K229</f>
        <v>828160</v>
      </c>
      <c r="C1474" s="2" t="s">
        <v>594</v>
      </c>
      <c r="D1474" s="2" t="str">
        <f t="shared" si="22"/>
        <v>Error?</v>
      </c>
    </row>
    <row r="1475" spans="1:4" x14ac:dyDescent="0.2">
      <c r="A1475" s="5">
        <v>1414</v>
      </c>
      <c r="B1475" s="138">
        <f>'Expenditures 15-22'!K232</f>
        <v>40565</v>
      </c>
      <c r="C1475" s="2" t="s">
        <v>594</v>
      </c>
      <c r="D1475" s="2" t="str">
        <f t="shared" si="22"/>
        <v>Error?</v>
      </c>
    </row>
    <row r="1476" spans="1:4" x14ac:dyDescent="0.2">
      <c r="A1476" s="5">
        <v>1415</v>
      </c>
      <c r="B1476" s="138">
        <f>'Expenditures 15-22'!K233</f>
        <v>55278</v>
      </c>
      <c r="C1476" s="2" t="s">
        <v>594</v>
      </c>
      <c r="D1476" s="2" t="str">
        <f t="shared" si="22"/>
        <v>Error?</v>
      </c>
    </row>
    <row r="1477" spans="1:4" x14ac:dyDescent="0.2">
      <c r="A1477" s="5">
        <v>1416</v>
      </c>
      <c r="B1477" s="138">
        <f>'Expenditures 15-22'!K234</f>
        <v>92062</v>
      </c>
      <c r="C1477" s="2" t="s">
        <v>594</v>
      </c>
      <c r="D1477" s="2" t="str">
        <f t="shared" si="22"/>
        <v>Error?</v>
      </c>
    </row>
    <row r="1478" spans="1:4" x14ac:dyDescent="0.2">
      <c r="A1478" s="5">
        <v>1417</v>
      </c>
      <c r="B1478" s="138">
        <f>'Expenditures 15-22'!K235</f>
        <v>11400</v>
      </c>
      <c r="C1478" s="2" t="s">
        <v>594</v>
      </c>
      <c r="D1478" s="2" t="str">
        <f t="shared" si="22"/>
        <v>Error?</v>
      </c>
    </row>
    <row r="1479" spans="1:4" x14ac:dyDescent="0.2">
      <c r="A1479" s="5">
        <v>1418</v>
      </c>
      <c r="B1479" s="138">
        <f>'Expenditures 15-22'!K236</f>
        <v>9758</v>
      </c>
      <c r="C1479" s="2" t="s">
        <v>594</v>
      </c>
      <c r="D1479" s="2" t="str">
        <f t="shared" si="22"/>
        <v>Error?</v>
      </c>
    </row>
    <row r="1480" spans="1:4" x14ac:dyDescent="0.2">
      <c r="A1480" s="5">
        <v>1419</v>
      </c>
      <c r="B1480" s="138">
        <f>'Expenditures 15-22'!K237</f>
        <v>6296</v>
      </c>
      <c r="C1480" s="2" t="s">
        <v>594</v>
      </c>
      <c r="D1480" s="2" t="str">
        <f t="shared" si="22"/>
        <v>Error?</v>
      </c>
    </row>
    <row r="1481" spans="1:4" x14ac:dyDescent="0.2">
      <c r="A1481" s="5">
        <v>1420</v>
      </c>
      <c r="B1481" s="138">
        <f>'Expenditures 15-22'!K238</f>
        <v>215359</v>
      </c>
      <c r="C1481" s="2" t="s">
        <v>594</v>
      </c>
      <c r="D1481" s="2" t="str">
        <f t="shared" si="22"/>
        <v>Error?</v>
      </c>
    </row>
    <row r="1482" spans="1:4" x14ac:dyDescent="0.2">
      <c r="A1482" s="5">
        <v>1421</v>
      </c>
      <c r="B1482" s="138">
        <f>'Expenditures 15-22'!K240</f>
        <v>6489</v>
      </c>
      <c r="C1482" s="2" t="s">
        <v>594</v>
      </c>
      <c r="D1482" s="2" t="str">
        <f t="shared" si="22"/>
        <v>Error?</v>
      </c>
    </row>
    <row r="1483" spans="1:4" x14ac:dyDescent="0.2">
      <c r="A1483" s="5">
        <v>1422</v>
      </c>
      <c r="B1483" s="138">
        <f>'Expenditures 15-22'!K241</f>
        <v>36948</v>
      </c>
      <c r="C1483" s="2" t="s">
        <v>594</v>
      </c>
      <c r="D1483" s="2" t="str">
        <f t="shared" si="22"/>
        <v>Error?</v>
      </c>
    </row>
    <row r="1484" spans="1:4" x14ac:dyDescent="0.2">
      <c r="A1484" s="5">
        <v>1423</v>
      </c>
      <c r="B1484" s="138">
        <f>'Expenditures 15-22'!K242</f>
        <v>104</v>
      </c>
      <c r="C1484" s="2" t="s">
        <v>594</v>
      </c>
      <c r="D1484" s="2" t="str">
        <f t="shared" si="22"/>
        <v>Error?</v>
      </c>
    </row>
    <row r="1485" spans="1:4" x14ac:dyDescent="0.2">
      <c r="A1485" s="5">
        <v>1424</v>
      </c>
      <c r="B1485" s="138">
        <f>'Expenditures 15-22'!K243</f>
        <v>43541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13468</v>
      </c>
      <c r="C1487" s="2" t="s">
        <v>594</v>
      </c>
      <c r="D1487" s="2" t="str">
        <f t="shared" si="22"/>
        <v>Error?</v>
      </c>
    </row>
    <row r="1488" spans="1:4" x14ac:dyDescent="0.2">
      <c r="A1488" s="5">
        <v>1427</v>
      </c>
      <c r="B1488" s="138">
        <f>'Expenditures 15-22'!K257</f>
        <v>13753</v>
      </c>
      <c r="C1488" s="2" t="s">
        <v>594</v>
      </c>
      <c r="D1488" s="2" t="str">
        <f t="shared" si="22"/>
        <v>Error?</v>
      </c>
    </row>
    <row r="1489" spans="1:4" x14ac:dyDescent="0.2">
      <c r="A1489" s="5">
        <v>1428</v>
      </c>
      <c r="B1489" s="138">
        <f>'Expenditures 15-22'!K259</f>
        <v>172820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172820</v>
      </c>
      <c r="C1491" s="2" t="s">
        <v>594</v>
      </c>
      <c r="D1491" s="2" t="str">
        <f t="shared" si="22"/>
        <v>Error?</v>
      </c>
    </row>
    <row r="1492" spans="1:4" x14ac:dyDescent="0.2">
      <c r="A1492" s="5">
        <v>1431</v>
      </c>
      <c r="B1492" s="138">
        <f>'Expenditures 15-22'!K263</f>
        <v>7576</v>
      </c>
      <c r="C1492" s="2" t="s">
        <v>594</v>
      </c>
      <c r="D1492" s="2" t="str">
        <f t="shared" si="22"/>
        <v>Error?</v>
      </c>
    </row>
    <row r="1493" spans="1:4" x14ac:dyDescent="0.2">
      <c r="A1493" s="5">
        <v>1432</v>
      </c>
      <c r="B1493" s="138">
        <f>'Expenditures 15-22'!K264</f>
        <v>44217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508567</v>
      </c>
      <c r="C1495" s="2" t="s">
        <v>594</v>
      </c>
      <c r="D1495" s="2" t="str">
        <f t="shared" si="22"/>
        <v>Error?</v>
      </c>
    </row>
    <row r="1496" spans="1:4" x14ac:dyDescent="0.2">
      <c r="A1496" s="5">
        <v>1435</v>
      </c>
      <c r="B1496" s="138">
        <f>'Expenditures 15-22'!K267</f>
        <v>1070</v>
      </c>
      <c r="C1496" s="2" t="s">
        <v>594</v>
      </c>
      <c r="D1496" s="2" t="str">
        <f t="shared" si="22"/>
        <v>Error?</v>
      </c>
    </row>
    <row r="1497" spans="1:4" x14ac:dyDescent="0.2">
      <c r="A1497" s="5">
        <v>1436</v>
      </c>
      <c r="B1497" s="138">
        <f>'Expenditures 15-22'!K268</f>
        <v>180388</v>
      </c>
      <c r="C1497" s="2" t="s">
        <v>594</v>
      </c>
      <c r="D1497" s="2" t="str">
        <f t="shared" si="22"/>
        <v>Error?</v>
      </c>
    </row>
    <row r="1498" spans="1:4" x14ac:dyDescent="0.2">
      <c r="A1498" s="5">
        <v>1437</v>
      </c>
      <c r="B1498" s="138">
        <f>'Expenditures 15-22'!K269</f>
        <v>9306</v>
      </c>
      <c r="C1498" s="2" t="s">
        <v>594</v>
      </c>
      <c r="D1498" s="2" t="str">
        <f t="shared" si="22"/>
        <v>Error?</v>
      </c>
    </row>
    <row r="1499" spans="1:4" x14ac:dyDescent="0.2">
      <c r="A1499" s="10">
        <v>1438</v>
      </c>
      <c r="D1499" s="2" t="str">
        <f t="shared" si="22"/>
        <v>OK</v>
      </c>
    </row>
    <row r="1500" spans="1:4" x14ac:dyDescent="0.2">
      <c r="A1500" s="5">
        <v>1439</v>
      </c>
      <c r="B1500" s="138">
        <f>'Expenditures 15-22'!K270</f>
        <v>751124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12217</v>
      </c>
      <c r="C1503" s="2" t="s">
        <v>594</v>
      </c>
      <c r="D1503" s="2" t="str">
        <f t="shared" si="22"/>
        <v>Error?</v>
      </c>
    </row>
    <row r="1504" spans="1:4" x14ac:dyDescent="0.2">
      <c r="A1504" s="5">
        <v>1443</v>
      </c>
      <c r="B1504" s="138">
        <f>'Expenditures 15-22'!K275</f>
        <v>16194</v>
      </c>
      <c r="C1504" s="2" t="s">
        <v>594</v>
      </c>
      <c r="D1504" s="2" t="str">
        <f t="shared" si="22"/>
        <v>Error?</v>
      </c>
    </row>
    <row r="1505" spans="1:4" x14ac:dyDescent="0.2">
      <c r="A1505" s="10">
        <v>1444</v>
      </c>
      <c r="D1505" s="2" t="str">
        <f t="shared" si="22"/>
        <v>OK</v>
      </c>
    </row>
    <row r="1506" spans="1:4" x14ac:dyDescent="0.2">
      <c r="A1506" s="5">
        <v>1445</v>
      </c>
      <c r="B1506" s="138">
        <f>'Expenditures 15-22'!K276</f>
        <v>69460</v>
      </c>
      <c r="C1506" s="2" t="s">
        <v>594</v>
      </c>
      <c r="D1506" s="2" t="str">
        <f t="shared" si="22"/>
        <v>Error?</v>
      </c>
    </row>
    <row r="1507" spans="1:4" x14ac:dyDescent="0.2">
      <c r="A1507" s="10">
        <v>1446</v>
      </c>
      <c r="D1507" s="2" t="str">
        <f t="shared" si="22"/>
        <v>OK</v>
      </c>
    </row>
    <row r="1508" spans="1:4" x14ac:dyDescent="0.2">
      <c r="A1508" s="5">
        <v>1447</v>
      </c>
      <c r="B1508" s="138">
        <f>'Expenditures 15-22'!K277</f>
        <v>97871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1294468</v>
      </c>
      <c r="C1510" s="2" t="s">
        <v>594</v>
      </c>
      <c r="D1510" s="2" t="str">
        <f t="shared" si="22"/>
        <v>Error?</v>
      </c>
    </row>
    <row r="1511" spans="1:4" x14ac:dyDescent="0.2">
      <c r="A1511" s="5">
        <v>1450</v>
      </c>
      <c r="B1511" s="138">
        <f>'Expenditures 15-22'!K280</f>
        <v>3614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2126242</v>
      </c>
      <c r="C1517" s="2" t="s">
        <v>594</v>
      </c>
      <c r="D1517" s="2" t="str">
        <f t="shared" si="22"/>
        <v>Error?</v>
      </c>
    </row>
    <row r="1518" spans="1:4" x14ac:dyDescent="0.2">
      <c r="A1518" s="5">
        <v>1457</v>
      </c>
      <c r="B1518" s="138">
        <f>'Expenditures 15-22'!K296</f>
        <v>153196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2476842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2476842</v>
      </c>
      <c r="C1547" s="2" t="s">
        <v>594</v>
      </c>
      <c r="D1547" s="2" t="str">
        <f t="shared" si="23"/>
        <v>Error?</v>
      </c>
    </row>
    <row r="1548" spans="1:4" x14ac:dyDescent="0.2">
      <c r="A1548" s="5">
        <v>1487</v>
      </c>
      <c r="B1548" s="138">
        <f>'Expenditures 15-22'!G312</f>
        <v>2476842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2476842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2476842</v>
      </c>
      <c r="C1559" s="2" t="s">
        <v>594</v>
      </c>
      <c r="D1559" s="2" t="str">
        <f t="shared" si="23"/>
        <v>Error?</v>
      </c>
    </row>
    <row r="1560" spans="1:4" x14ac:dyDescent="0.2">
      <c r="A1560" s="5">
        <v>1499</v>
      </c>
      <c r="B1560" s="138">
        <f>'Expenditures 15-22'!K312</f>
        <v>2476842</v>
      </c>
      <c r="C1560" s="2" t="s">
        <v>594</v>
      </c>
      <c r="D1560" s="2" t="str">
        <f t="shared" si="23"/>
        <v>Error?</v>
      </c>
    </row>
    <row r="1561" spans="1:4" x14ac:dyDescent="0.2">
      <c r="A1561" s="5">
        <v>1500</v>
      </c>
      <c r="B1561" s="138">
        <f>'Expenditures 15-22'!K313</f>
        <v>666588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22940750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24523003</v>
      </c>
      <c r="C1630" s="2" t="s">
        <v>594</v>
      </c>
      <c r="D1630" s="2" t="str">
        <f t="shared" si="24"/>
        <v>Error?</v>
      </c>
    </row>
    <row r="1631" spans="1:4" x14ac:dyDescent="0.2">
      <c r="A1631" s="5">
        <v>1570</v>
      </c>
      <c r="B1631" s="138">
        <f>'Acct Summary 7-8'!D79</f>
        <v>5918890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5914969</v>
      </c>
      <c r="C1644" s="2" t="s">
        <v>594</v>
      </c>
      <c r="D1644" s="2" t="str">
        <f t="shared" si="24"/>
        <v>Error?</v>
      </c>
    </row>
    <row r="1645" spans="1:4" x14ac:dyDescent="0.2">
      <c r="A1645" s="5">
        <v>1584</v>
      </c>
      <c r="B1645" s="138">
        <f>'Acct Summary 7-8'!E79</f>
        <v>1741709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2151239</v>
      </c>
      <c r="C1658" s="2" t="s">
        <v>594</v>
      </c>
      <c r="D1658" s="2" t="str">
        <f t="shared" si="24"/>
        <v>Error?</v>
      </c>
    </row>
    <row r="1659" spans="1:4" x14ac:dyDescent="0.2">
      <c r="A1659" s="5">
        <v>1598</v>
      </c>
      <c r="B1659" s="138">
        <f>'Acct Summary 7-8'!F79</f>
        <v>2010907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2447466</v>
      </c>
      <c r="C1672" s="2" t="s">
        <v>594</v>
      </c>
      <c r="D1672" s="2" t="str">
        <f t="shared" si="25"/>
        <v>Error?</v>
      </c>
    </row>
    <row r="1673" spans="1:4" x14ac:dyDescent="0.2">
      <c r="A1673" s="5">
        <v>1612</v>
      </c>
      <c r="B1673" s="138">
        <f>'Acct Summary 7-8'!G79</f>
        <v>1009482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1162678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666588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18006521</v>
      </c>
      <c r="C1744" s="2" t="s">
        <v>594</v>
      </c>
      <c r="D1744" s="2" t="str">
        <f t="shared" si="26"/>
        <v>Error?</v>
      </c>
    </row>
    <row r="1745" spans="1:5" x14ac:dyDescent="0.2">
      <c r="A1745" s="5">
        <v>1684</v>
      </c>
      <c r="B1745" s="138">
        <f>'Tax Sched 23'!B5</f>
        <v>4067305</v>
      </c>
      <c r="C1745" s="2" t="s">
        <v>594</v>
      </c>
      <c r="D1745" s="2" t="str">
        <f t="shared" si="26"/>
        <v>Error?</v>
      </c>
    </row>
    <row r="1746" spans="1:5" x14ac:dyDescent="0.2">
      <c r="A1746" s="5">
        <v>1685</v>
      </c>
      <c r="B1746" s="138">
        <f>'Tax Sched 23'!B6</f>
        <v>3126552</v>
      </c>
      <c r="C1746" s="2" t="s">
        <v>594</v>
      </c>
      <c r="D1746" s="2" t="str">
        <f t="shared" si="26"/>
        <v>Error?</v>
      </c>
    </row>
    <row r="1747" spans="1:5" x14ac:dyDescent="0.2">
      <c r="A1747" s="5">
        <v>1686</v>
      </c>
      <c r="B1747" s="138">
        <f>'Tax Sched 23'!B7</f>
        <v>1084917</v>
      </c>
      <c r="C1747" s="2" t="s">
        <v>594</v>
      </c>
      <c r="D1747" s="2" t="str">
        <f t="shared" si="26"/>
        <v>Error?</v>
      </c>
    </row>
    <row r="1748" spans="1:5" x14ac:dyDescent="0.2">
      <c r="A1748" s="5">
        <v>1687</v>
      </c>
      <c r="B1748" s="138">
        <f>'Tax Sched 23'!B8</f>
        <v>1015814</v>
      </c>
      <c r="C1748" s="2" t="s">
        <v>594</v>
      </c>
      <c r="D1748" s="2" t="str">
        <f t="shared" si="26"/>
        <v>Error?</v>
      </c>
    </row>
    <row r="1749" spans="1:5" x14ac:dyDescent="0.2">
      <c r="A1749" s="5">
        <v>1688</v>
      </c>
      <c r="B1749" s="138">
        <f>'Tax Sched 23'!B10</f>
        <v>271355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814100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216983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29784304</v>
      </c>
      <c r="C1759" s="2" t="s">
        <v>594</v>
      </c>
      <c r="D1759" s="2" t="str">
        <f t="shared" si="26"/>
        <v>Error?</v>
      </c>
    </row>
    <row r="1760" spans="1:5" x14ac:dyDescent="0.2">
      <c r="A1760" s="5">
        <v>1699</v>
      </c>
      <c r="B1760" s="138">
        <f>'Tax Sched 23'!D4</f>
        <v>12413191</v>
      </c>
      <c r="C1760" s="2" t="s">
        <v>594</v>
      </c>
      <c r="D1760" s="2" t="str">
        <f t="shared" si="26"/>
        <v>Error?</v>
      </c>
    </row>
    <row r="1761" spans="1:5" x14ac:dyDescent="0.2">
      <c r="A1761" s="5">
        <v>1700</v>
      </c>
      <c r="B1761" s="138">
        <f>'Tax Sched 23'!D5</f>
        <v>2756368</v>
      </c>
      <c r="C1761" s="2" t="s">
        <v>594</v>
      </c>
      <c r="D1761" s="2" t="str">
        <f t="shared" si="26"/>
        <v>Error?</v>
      </c>
    </row>
    <row r="1762" spans="1:5" s="8" customFormat="1" x14ac:dyDescent="0.2">
      <c r="A1762" s="5">
        <v>1701</v>
      </c>
      <c r="B1762" s="138">
        <f>'Tax Sched 23'!D6</f>
        <v>2163450</v>
      </c>
      <c r="C1762" s="2" t="s">
        <v>594</v>
      </c>
      <c r="D1762" s="2" t="str">
        <f t="shared" si="26"/>
        <v>Error?</v>
      </c>
      <c r="E1762" s="9"/>
    </row>
    <row r="1763" spans="1:5" x14ac:dyDescent="0.2">
      <c r="A1763" s="5">
        <v>1702</v>
      </c>
      <c r="B1763" s="138">
        <f>'Tax Sched 23'!D7</f>
        <v>735334</v>
      </c>
      <c r="C1763" s="2" t="s">
        <v>594</v>
      </c>
      <c r="D1763" s="2" t="str">
        <f t="shared" si="26"/>
        <v>Error?</v>
      </c>
    </row>
    <row r="1764" spans="1:5" x14ac:dyDescent="0.2">
      <c r="A1764" s="5">
        <v>1703</v>
      </c>
      <c r="B1764" s="138">
        <f>'Tax Sched 23'!D8</f>
        <v>693149</v>
      </c>
      <c r="C1764" s="2" t="s">
        <v>594</v>
      </c>
      <c r="D1764" s="2" t="str">
        <f t="shared" si="26"/>
        <v>Error?</v>
      </c>
    </row>
    <row r="1765" spans="1:5" x14ac:dyDescent="0.2">
      <c r="A1765" s="5">
        <v>1704</v>
      </c>
      <c r="B1765" s="138">
        <f>'Tax Sched 23'!D10</f>
        <v>183960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554010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147066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20450784</v>
      </c>
      <c r="C1775" s="2" t="s">
        <v>594</v>
      </c>
      <c r="D1775" s="2" t="str">
        <f t="shared" si="26"/>
        <v>Error?</v>
      </c>
    </row>
    <row r="1776" spans="1:5" x14ac:dyDescent="0.2">
      <c r="A1776" s="5">
        <v>1715</v>
      </c>
      <c r="B1776" s="138">
        <f>'Tax Sched 23'!C4</f>
        <v>5593330</v>
      </c>
      <c r="D1776" s="2" t="str">
        <f t="shared" si="26"/>
        <v>Error?</v>
      </c>
    </row>
    <row r="1777" spans="1:4" x14ac:dyDescent="0.2">
      <c r="A1777" s="5">
        <v>1716</v>
      </c>
      <c r="B1777" s="138">
        <f>'Tax Sched 23'!C5</f>
        <v>1310937</v>
      </c>
      <c r="D1777" s="2" t="str">
        <f t="shared" si="26"/>
        <v>Error?</v>
      </c>
    </row>
    <row r="1778" spans="1:4" x14ac:dyDescent="0.2">
      <c r="A1778" s="5">
        <v>1717</v>
      </c>
      <c r="B1778" s="138">
        <f>'Tax Sched 23'!C6</f>
        <v>963102</v>
      </c>
      <c r="D1778" s="2" t="str">
        <f t="shared" si="26"/>
        <v>Error?</v>
      </c>
    </row>
    <row r="1779" spans="1:4" x14ac:dyDescent="0.2">
      <c r="A1779" s="5">
        <v>1718</v>
      </c>
      <c r="B1779" s="138">
        <f>'Tax Sched 23'!C7</f>
        <v>349583</v>
      </c>
      <c r="D1779" s="2" t="str">
        <f t="shared" si="26"/>
        <v>Error?</v>
      </c>
    </row>
    <row r="1780" spans="1:4" x14ac:dyDescent="0.2">
      <c r="A1780" s="5">
        <v>1719</v>
      </c>
      <c r="B1780" s="138">
        <f>'Tax Sched 23'!C8</f>
        <v>322665</v>
      </c>
      <c r="D1780" s="2" t="str">
        <f t="shared" si="26"/>
        <v>Error?</v>
      </c>
    </row>
    <row r="1781" spans="1:4" x14ac:dyDescent="0.2">
      <c r="A1781" s="5">
        <v>1720</v>
      </c>
      <c r="B1781" s="138">
        <f>'Tax Sched 23'!C10</f>
        <v>87395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260090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69917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9333520</v>
      </c>
      <c r="C1791" s="2" t="s">
        <v>594</v>
      </c>
      <c r="D1791" s="2" t="str">
        <f t="shared" ref="D1791:D1854" si="27">IF(ISBLANK(B1791),"OK",IF(A1791-B1791=0,"OK","Error?"))</f>
        <v>Error?</v>
      </c>
    </row>
    <row r="1792" spans="1:4" x14ac:dyDescent="0.2">
      <c r="A1792" s="5">
        <v>1731</v>
      </c>
      <c r="B1792" s="138">
        <f>'Tax Sched 23'!F4</f>
        <v>11942844</v>
      </c>
      <c r="C1792" s="2" t="s">
        <v>594</v>
      </c>
      <c r="D1792" s="2" t="str">
        <f t="shared" si="27"/>
        <v>Error?</v>
      </c>
    </row>
    <row r="1793" spans="1:4" x14ac:dyDescent="0.2">
      <c r="A1793" s="5">
        <v>1732</v>
      </c>
      <c r="B1793" s="138">
        <f>'Tax Sched 23'!F5</f>
        <v>2799104</v>
      </c>
      <c r="C1793" s="2" t="s">
        <v>594</v>
      </c>
      <c r="D1793" s="2" t="str">
        <f t="shared" si="27"/>
        <v>Error?</v>
      </c>
    </row>
    <row r="1794" spans="1:4" x14ac:dyDescent="0.2">
      <c r="A1794" s="5">
        <v>1733</v>
      </c>
      <c r="B1794" s="138">
        <f>'Tax Sched 23'!F6</f>
        <v>2056408</v>
      </c>
      <c r="C1794" s="2" t="s">
        <v>594</v>
      </c>
      <c r="D1794" s="2" t="str">
        <f t="shared" si="27"/>
        <v>Error?</v>
      </c>
    </row>
    <row r="1795" spans="1:4" x14ac:dyDescent="0.2">
      <c r="A1795" s="5">
        <v>1734</v>
      </c>
      <c r="B1795" s="138">
        <f>'Tax Sched 23'!F7</f>
        <v>746428</v>
      </c>
      <c r="C1795" s="2" t="s">
        <v>594</v>
      </c>
      <c r="D1795" s="2" t="str">
        <f t="shared" si="27"/>
        <v>Error?</v>
      </c>
    </row>
    <row r="1796" spans="1:4" x14ac:dyDescent="0.2">
      <c r="A1796" s="5">
        <v>1735</v>
      </c>
      <c r="B1796" s="138">
        <f>'Tax Sched 23'!F8</f>
        <v>688953</v>
      </c>
      <c r="C1796" s="2" t="s">
        <v>594</v>
      </c>
      <c r="D1796" s="2" t="str">
        <f t="shared" si="27"/>
        <v>Error?</v>
      </c>
    </row>
    <row r="1797" spans="1:4" x14ac:dyDescent="0.2">
      <c r="A1797" s="5">
        <v>1736</v>
      </c>
      <c r="B1797" s="138">
        <f>'Tax Sched 23'!F10</f>
        <v>186608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555342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149285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19928875</v>
      </c>
      <c r="C1807" s="2" t="s">
        <v>594</v>
      </c>
      <c r="D1807" s="2" t="str">
        <f t="shared" si="27"/>
        <v>Error?</v>
      </c>
    </row>
    <row r="1808" spans="1:4" x14ac:dyDescent="0.2">
      <c r="A1808" s="5">
        <v>1747</v>
      </c>
      <c r="B1808" s="138">
        <f>'Tax Sched 23'!E4</f>
        <v>17536174</v>
      </c>
      <c r="D1808" s="2" t="str">
        <f t="shared" si="27"/>
        <v>Error?</v>
      </c>
    </row>
    <row r="1809" spans="1:4" x14ac:dyDescent="0.2">
      <c r="A1809" s="5">
        <v>1748</v>
      </c>
      <c r="B1809" s="138">
        <f>'Tax Sched 23'!E5</f>
        <v>4110041</v>
      </c>
      <c r="D1809" s="2" t="str">
        <f t="shared" si="27"/>
        <v>Error?</v>
      </c>
    </row>
    <row r="1810" spans="1:4" x14ac:dyDescent="0.2">
      <c r="A1810" s="5">
        <v>1749</v>
      </c>
      <c r="B1810" s="138">
        <f>'Tax Sched 23'!E6</f>
        <v>3019510</v>
      </c>
      <c r="D1810" s="2" t="str">
        <f t="shared" si="27"/>
        <v>Error?</v>
      </c>
    </row>
    <row r="1811" spans="1:4" x14ac:dyDescent="0.2">
      <c r="A1811" s="5">
        <v>1750</v>
      </c>
      <c r="B1811" s="138">
        <f>'Tax Sched 23'!E7</f>
        <v>1096011</v>
      </c>
      <c r="D1811" s="2" t="str">
        <f t="shared" si="27"/>
        <v>Error?</v>
      </c>
    </row>
    <row r="1812" spans="1:4" x14ac:dyDescent="0.2">
      <c r="A1812" s="5">
        <v>1751</v>
      </c>
      <c r="B1812" s="138">
        <f>'Tax Sched 23'!E8</f>
        <v>1011618</v>
      </c>
      <c r="D1812" s="2" t="str">
        <f t="shared" si="27"/>
        <v>Error?</v>
      </c>
    </row>
    <row r="1813" spans="1:4" x14ac:dyDescent="0.2">
      <c r="A1813" s="5">
        <v>1752</v>
      </c>
      <c r="B1813" s="138">
        <f>'Tax Sched 23'!E10</f>
        <v>274003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815432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219202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29262395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31295000</v>
      </c>
      <c r="C1939" s="2" t="s">
        <v>594</v>
      </c>
      <c r="D1939" s="2" t="str">
        <f t="shared" si="29"/>
        <v>Error?</v>
      </c>
    </row>
    <row r="1940" spans="1:5" x14ac:dyDescent="0.2">
      <c r="A1940" s="5">
        <v>1879</v>
      </c>
      <c r="B1940" s="138">
        <f>'Short-Term Long-Term Debt 24'!F49</f>
        <v>27730000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216983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216983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216983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2432871</v>
      </c>
      <c r="D2008" s="2" t="str">
        <f t="shared" si="30"/>
        <v>Error?</v>
      </c>
    </row>
    <row r="2009" spans="1:4" x14ac:dyDescent="0.2">
      <c r="A2009" s="5">
        <v>1948</v>
      </c>
      <c r="B2009" s="138">
        <f>'Cap Outlay Deprec 26'!C8</f>
        <v>74868078</v>
      </c>
      <c r="D2009" s="2" t="str">
        <f t="shared" si="30"/>
        <v>Error?</v>
      </c>
    </row>
    <row r="2010" spans="1:4" x14ac:dyDescent="0.2">
      <c r="A2010" s="5">
        <v>1949</v>
      </c>
      <c r="B2010" s="138">
        <f>'Cap Outlay Deprec 26'!C10</f>
        <v>3447418</v>
      </c>
      <c r="D2010" s="2" t="str">
        <f t="shared" si="30"/>
        <v>Error?</v>
      </c>
    </row>
    <row r="2011" spans="1:4" x14ac:dyDescent="0.2">
      <c r="A2011" s="5">
        <v>1950</v>
      </c>
      <c r="B2011" s="138">
        <f>'Cap Outlay Deprec 26'!C12</f>
        <v>2406179</v>
      </c>
      <c r="D2011" s="2" t="str">
        <f t="shared" si="30"/>
        <v>Error?</v>
      </c>
    </row>
    <row r="2012" spans="1:4" x14ac:dyDescent="0.2">
      <c r="A2012" s="5">
        <v>1951</v>
      </c>
      <c r="B2012" s="138">
        <f>'Cap Outlay Deprec 26'!C13</f>
        <v>961346</v>
      </c>
      <c r="D2012" s="2" t="str">
        <f t="shared" si="30"/>
        <v>Error?</v>
      </c>
    </row>
    <row r="2013" spans="1:4" x14ac:dyDescent="0.2">
      <c r="A2013" s="5">
        <v>1952</v>
      </c>
      <c r="B2013" s="138">
        <f>'Cap Outlay Deprec 26'!C16</f>
        <v>84535744</v>
      </c>
      <c r="C2013" s="2" t="s">
        <v>594</v>
      </c>
      <c r="D2013" s="2" t="str">
        <f t="shared" si="30"/>
        <v>Error?</v>
      </c>
    </row>
    <row r="2014" spans="1:4" x14ac:dyDescent="0.2">
      <c r="A2014" s="5">
        <v>1953</v>
      </c>
      <c r="B2014" s="138">
        <f>'Cap Outlay Deprec 26'!D5</f>
        <v>5870</v>
      </c>
      <c r="D2014" s="2" t="str">
        <f t="shared" si="30"/>
        <v>Error?</v>
      </c>
    </row>
    <row r="2015" spans="1:4" x14ac:dyDescent="0.2">
      <c r="A2015" s="5">
        <v>1954</v>
      </c>
      <c r="B2015" s="138">
        <f>'Cap Outlay Deprec 26'!D8</f>
        <v>1504405</v>
      </c>
      <c r="D2015" s="2" t="str">
        <f t="shared" si="30"/>
        <v>Error?</v>
      </c>
    </row>
    <row r="2016" spans="1:4" x14ac:dyDescent="0.2">
      <c r="A2016" s="5">
        <v>1955</v>
      </c>
      <c r="B2016" s="138">
        <f>'Cap Outlay Deprec 26'!D10</f>
        <v>5184</v>
      </c>
      <c r="D2016" s="2" t="str">
        <f t="shared" si="30"/>
        <v>Error?</v>
      </c>
    </row>
    <row r="2017" spans="1:4" x14ac:dyDescent="0.2">
      <c r="A2017" s="5">
        <v>1956</v>
      </c>
      <c r="B2017" s="138">
        <f>'Cap Outlay Deprec 26'!D12</f>
        <v>66163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2944369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35350</v>
      </c>
      <c r="C2025" s="2" t="s">
        <v>594</v>
      </c>
      <c r="D2025" s="2" t="str">
        <f t="shared" si="30"/>
        <v>Error?</v>
      </c>
    </row>
    <row r="2026" spans="1:4" x14ac:dyDescent="0.2">
      <c r="A2026" s="5">
        <v>1965</v>
      </c>
      <c r="B2026" s="138">
        <f>'Cap Outlay Deprec 26'!F5</f>
        <v>2438741</v>
      </c>
      <c r="C2026" s="2" t="s">
        <v>594</v>
      </c>
      <c r="D2026" s="2" t="str">
        <f t="shared" si="30"/>
        <v>Error?</v>
      </c>
    </row>
    <row r="2027" spans="1:4" x14ac:dyDescent="0.2">
      <c r="A2027" s="5">
        <v>1966</v>
      </c>
      <c r="B2027" s="138">
        <f>'Cap Outlay Deprec 26'!F8</f>
        <v>76372483</v>
      </c>
      <c r="C2027" s="2" t="s">
        <v>594</v>
      </c>
      <c r="D2027" s="2" t="str">
        <f t="shared" si="30"/>
        <v>Error?</v>
      </c>
    </row>
    <row r="2028" spans="1:4" x14ac:dyDescent="0.2">
      <c r="A2028" s="5">
        <v>1967</v>
      </c>
      <c r="B2028" s="138">
        <f>'Cap Outlay Deprec 26'!F10</f>
        <v>3452602</v>
      </c>
      <c r="C2028" s="2" t="s">
        <v>594</v>
      </c>
      <c r="D2028" s="2" t="str">
        <f t="shared" si="30"/>
        <v>Error?</v>
      </c>
    </row>
    <row r="2029" spans="1:4" x14ac:dyDescent="0.2">
      <c r="A2029" s="5">
        <v>1968</v>
      </c>
      <c r="B2029" s="138">
        <f>'Cap Outlay Deprec 26'!F12</f>
        <v>2472342</v>
      </c>
      <c r="C2029" s="2" t="s">
        <v>594</v>
      </c>
      <c r="D2029" s="2" t="str">
        <f t="shared" si="30"/>
        <v>Error?</v>
      </c>
    </row>
    <row r="2030" spans="1:4" x14ac:dyDescent="0.2">
      <c r="A2030" s="5">
        <v>1969</v>
      </c>
      <c r="B2030" s="138">
        <f>'Cap Outlay Deprec 26'!F13</f>
        <v>961346</v>
      </c>
      <c r="C2030" s="2" t="s">
        <v>594</v>
      </c>
      <c r="D2030" s="2" t="str">
        <f t="shared" si="30"/>
        <v>Error?</v>
      </c>
    </row>
    <row r="2031" spans="1:4" x14ac:dyDescent="0.2">
      <c r="A2031" s="5">
        <v>1970</v>
      </c>
      <c r="B2031" s="138">
        <f>'Cap Outlay Deprec 26'!F16</f>
        <v>87444763</v>
      </c>
      <c r="C2031" s="2" t="s">
        <v>594</v>
      </c>
      <c r="D2031" s="2" t="str">
        <f t="shared" si="30"/>
        <v>Error?</v>
      </c>
    </row>
    <row r="2032" spans="1:4" x14ac:dyDescent="0.2">
      <c r="A2032" s="10">
        <v>1971</v>
      </c>
      <c r="D2032" s="2" t="str">
        <f t="shared" si="30"/>
        <v>OK</v>
      </c>
    </row>
    <row r="2033" spans="1:4" x14ac:dyDescent="0.2">
      <c r="A2033" s="5">
        <v>1972</v>
      </c>
      <c r="B2033" s="138">
        <f>'Cap Outlay Deprec 26'!H8</f>
        <v>28555731</v>
      </c>
      <c r="D2033" s="2" t="str">
        <f t="shared" si="30"/>
        <v>Error?</v>
      </c>
    </row>
    <row r="2034" spans="1:4" x14ac:dyDescent="0.2">
      <c r="A2034" s="5">
        <v>1973</v>
      </c>
      <c r="B2034" s="138">
        <f>'Cap Outlay Deprec 26'!H10</f>
        <v>2117036</v>
      </c>
      <c r="D2034" s="2" t="str">
        <f t="shared" si="30"/>
        <v>Error?</v>
      </c>
    </row>
    <row r="2035" spans="1:4" x14ac:dyDescent="0.2">
      <c r="A2035" s="5">
        <v>1974</v>
      </c>
      <c r="B2035" s="138">
        <f>'Cap Outlay Deprec 26'!H12</f>
        <v>1841793</v>
      </c>
      <c r="D2035" s="2" t="str">
        <f t="shared" si="30"/>
        <v>Error?</v>
      </c>
    </row>
    <row r="2036" spans="1:4" x14ac:dyDescent="0.2">
      <c r="A2036" s="5">
        <v>1975</v>
      </c>
      <c r="B2036" s="138">
        <f>'Cap Outlay Deprec 26'!H13</f>
        <v>778244</v>
      </c>
      <c r="D2036" s="2" t="str">
        <f t="shared" si="30"/>
        <v>Error?</v>
      </c>
    </row>
    <row r="2037" spans="1:4" x14ac:dyDescent="0.2">
      <c r="A2037" s="5">
        <v>1976</v>
      </c>
      <c r="B2037" s="138">
        <f>'Cap Outlay Deprec 26'!H16</f>
        <v>33676329</v>
      </c>
      <c r="C2037" s="2" t="s">
        <v>594</v>
      </c>
      <c r="D2037" s="2" t="str">
        <f t="shared" si="30"/>
        <v>Error?</v>
      </c>
    </row>
    <row r="2038" spans="1:4" x14ac:dyDescent="0.2">
      <c r="A2038" s="10">
        <v>1977</v>
      </c>
      <c r="D2038" s="2" t="str">
        <f t="shared" si="30"/>
        <v>OK</v>
      </c>
    </row>
    <row r="2039" spans="1:4" x14ac:dyDescent="0.2">
      <c r="A2039" s="5">
        <v>1978</v>
      </c>
      <c r="B2039" s="138">
        <f>'Cap Outlay Deprec 26'!I8</f>
        <v>1318521</v>
      </c>
      <c r="D2039" s="2" t="str">
        <f t="shared" si="30"/>
        <v>Error?</v>
      </c>
    </row>
    <row r="2040" spans="1:4" x14ac:dyDescent="0.2">
      <c r="A2040" s="5">
        <v>1979</v>
      </c>
      <c r="B2040" s="138">
        <f>'Cap Outlay Deprec 26'!I10</f>
        <v>126433</v>
      </c>
      <c r="D2040" s="2" t="str">
        <f t="shared" si="30"/>
        <v>Error?</v>
      </c>
    </row>
    <row r="2041" spans="1:4" x14ac:dyDescent="0.2">
      <c r="A2041" s="5">
        <v>1980</v>
      </c>
      <c r="B2041" s="138">
        <f>'Cap Outlay Deprec 26'!I12</f>
        <v>94231</v>
      </c>
      <c r="D2041" s="2" t="str">
        <f t="shared" si="30"/>
        <v>Error?</v>
      </c>
    </row>
    <row r="2042" spans="1:4" x14ac:dyDescent="0.2">
      <c r="A2042" s="5">
        <v>1981</v>
      </c>
      <c r="B2042" s="138">
        <f>'Cap Outlay Deprec 26'!I13</f>
        <v>39928</v>
      </c>
      <c r="D2042" s="2" t="str">
        <f t="shared" si="30"/>
        <v>Error?</v>
      </c>
    </row>
    <row r="2043" spans="1:4" x14ac:dyDescent="0.2">
      <c r="A2043" s="5">
        <v>1982</v>
      </c>
      <c r="B2043" s="138">
        <f>'Cap Outlay Deprec 26'!I16</f>
        <v>1580090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29874252</v>
      </c>
      <c r="C2051" s="2" t="s">
        <v>594</v>
      </c>
      <c r="D2051" s="2" t="str">
        <f t="shared" si="31"/>
        <v>Error?</v>
      </c>
    </row>
    <row r="2052" spans="1:4" x14ac:dyDescent="0.2">
      <c r="A2052" s="5">
        <v>1991</v>
      </c>
      <c r="B2052" s="138">
        <f>'Cap Outlay Deprec 26'!K10</f>
        <v>2243469</v>
      </c>
      <c r="C2052" s="2" t="s">
        <v>594</v>
      </c>
      <c r="D2052" s="2" t="str">
        <f t="shared" si="31"/>
        <v>Error?</v>
      </c>
    </row>
    <row r="2053" spans="1:4" x14ac:dyDescent="0.2">
      <c r="A2053" s="5">
        <v>1992</v>
      </c>
      <c r="B2053" s="138">
        <f>'Cap Outlay Deprec 26'!K12</f>
        <v>1936024</v>
      </c>
      <c r="C2053" s="2" t="s">
        <v>594</v>
      </c>
      <c r="D2053" s="2" t="str">
        <f t="shared" si="31"/>
        <v>Error?</v>
      </c>
    </row>
    <row r="2054" spans="1:4" x14ac:dyDescent="0.2">
      <c r="A2054" s="5">
        <v>1993</v>
      </c>
      <c r="B2054" s="138">
        <f>'Cap Outlay Deprec 26'!K13</f>
        <v>818172</v>
      </c>
      <c r="C2054" s="2" t="s">
        <v>594</v>
      </c>
      <c r="D2054" s="2" t="str">
        <f t="shared" si="31"/>
        <v>Error?</v>
      </c>
    </row>
    <row r="2055" spans="1:4" x14ac:dyDescent="0.2">
      <c r="A2055" s="5">
        <v>1994</v>
      </c>
      <c r="B2055" s="138">
        <f>'Cap Outlay Deprec 26'!K16</f>
        <v>35256419</v>
      </c>
      <c r="C2055" s="2" t="s">
        <v>594</v>
      </c>
      <c r="D2055" s="2" t="str">
        <f t="shared" si="31"/>
        <v>Error?</v>
      </c>
    </row>
    <row r="2056" spans="1:4" x14ac:dyDescent="0.2">
      <c r="A2056" s="5">
        <v>1995</v>
      </c>
      <c r="B2056" s="138">
        <f>'Cap Outlay Deprec 26'!L5</f>
        <v>2438741</v>
      </c>
      <c r="C2056" s="2" t="s">
        <v>594</v>
      </c>
      <c r="D2056" s="2" t="str">
        <f t="shared" si="31"/>
        <v>Error?</v>
      </c>
    </row>
    <row r="2057" spans="1:4" x14ac:dyDescent="0.2">
      <c r="A2057" s="5">
        <v>1996</v>
      </c>
      <c r="B2057" s="138">
        <f>'Cap Outlay Deprec 26'!L8</f>
        <v>46498231</v>
      </c>
      <c r="C2057" s="2" t="s">
        <v>594</v>
      </c>
      <c r="D2057" s="2" t="str">
        <f t="shared" si="31"/>
        <v>Error?</v>
      </c>
    </row>
    <row r="2058" spans="1:4" x14ac:dyDescent="0.2">
      <c r="A2058" s="5">
        <v>1997</v>
      </c>
      <c r="B2058" s="138">
        <f>'Cap Outlay Deprec 26'!L10</f>
        <v>1209133</v>
      </c>
      <c r="C2058" s="2" t="s">
        <v>594</v>
      </c>
      <c r="D2058" s="2" t="str">
        <f t="shared" si="31"/>
        <v>Error?</v>
      </c>
    </row>
    <row r="2059" spans="1:4" x14ac:dyDescent="0.2">
      <c r="A2059" s="5">
        <v>1998</v>
      </c>
      <c r="B2059" s="138">
        <f>'Cap Outlay Deprec 26'!L12</f>
        <v>536318</v>
      </c>
      <c r="C2059" s="2" t="s">
        <v>594</v>
      </c>
      <c r="D2059" s="2" t="str">
        <f t="shared" si="31"/>
        <v>Error?</v>
      </c>
    </row>
    <row r="2060" spans="1:4" x14ac:dyDescent="0.2">
      <c r="A2060" s="5">
        <v>1999</v>
      </c>
      <c r="B2060" s="138">
        <f>'Cap Outlay Deprec 26'!L13</f>
        <v>143174</v>
      </c>
      <c r="C2060" s="2" t="s">
        <v>594</v>
      </c>
      <c r="D2060" s="2" t="str">
        <f t="shared" si="31"/>
        <v>Error?</v>
      </c>
    </row>
    <row r="2061" spans="1:4" x14ac:dyDescent="0.2">
      <c r="A2061" s="5">
        <v>2000</v>
      </c>
      <c r="B2061" s="138">
        <f>'Cap Outlay Deprec 26'!L16</f>
        <v>52188344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2240609</v>
      </c>
      <c r="C2088" s="2" t="s">
        <v>594</v>
      </c>
      <c r="D2088" s="2" t="str">
        <f t="shared" si="31"/>
        <v>Error?</v>
      </c>
    </row>
    <row r="2089" spans="1:4" x14ac:dyDescent="0.2">
      <c r="A2089" s="5">
        <v>2028</v>
      </c>
      <c r="B2089" s="138">
        <f>'Expenditures 15-22'!K92</f>
        <v>34225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318674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24580123</v>
      </c>
      <c r="C2551" s="2" t="s">
        <v>594</v>
      </c>
      <c r="D2551" s="2" t="str">
        <f t="shared" si="38"/>
        <v>Error?</v>
      </c>
    </row>
    <row r="2552" spans="1:4" x14ac:dyDescent="0.2">
      <c r="A2552" s="10">
        <v>2491</v>
      </c>
      <c r="D2552" s="2" t="str">
        <f t="shared" si="38"/>
        <v>OK</v>
      </c>
    </row>
    <row r="2553" spans="1:4" x14ac:dyDescent="0.2">
      <c r="A2553" s="5">
        <v>2492</v>
      </c>
      <c r="B2553" s="138">
        <f>'Acct Summary 7-8'!C6</f>
        <v>27885085</v>
      </c>
      <c r="C2553" s="2" t="s">
        <v>594</v>
      </c>
      <c r="D2553" s="2" t="str">
        <f t="shared" si="38"/>
        <v>Error?</v>
      </c>
    </row>
    <row r="2554" spans="1:4" x14ac:dyDescent="0.2">
      <c r="A2554" s="5">
        <v>2493</v>
      </c>
      <c r="B2554" s="138">
        <f>'Acct Summary 7-8'!C7</f>
        <v>11692439</v>
      </c>
      <c r="C2554" s="2" t="s">
        <v>594</v>
      </c>
      <c r="D2554" s="2" t="str">
        <f t="shared" si="38"/>
        <v>Error?</v>
      </c>
    </row>
    <row r="2555" spans="1:4" x14ac:dyDescent="0.2">
      <c r="A2555" s="5">
        <v>2494</v>
      </c>
      <c r="B2555" s="138">
        <f>'Acct Summary 7-8'!C8</f>
        <v>64174247</v>
      </c>
      <c r="C2555" s="2" t="s">
        <v>594</v>
      </c>
      <c r="D2555" s="2" t="str">
        <f t="shared" si="38"/>
        <v>Error?</v>
      </c>
    </row>
    <row r="2556" spans="1:4" x14ac:dyDescent="0.2">
      <c r="A2556" s="5">
        <v>2495</v>
      </c>
      <c r="B2556" s="138">
        <f>'Acct Summary 7-8'!C12</f>
        <v>40370629</v>
      </c>
      <c r="C2556" s="2" t="s">
        <v>594</v>
      </c>
      <c r="D2556" s="2" t="str">
        <f t="shared" si="38"/>
        <v>Error?</v>
      </c>
    </row>
    <row r="2557" spans="1:4" x14ac:dyDescent="0.2">
      <c r="A2557" s="5">
        <v>2496</v>
      </c>
      <c r="B2557" s="138">
        <f>'Acct Summary 7-8'!C13</f>
        <v>16476643</v>
      </c>
      <c r="C2557" s="2" t="s">
        <v>594</v>
      </c>
      <c r="D2557" s="2" t="str">
        <f t="shared" si="38"/>
        <v>Error?</v>
      </c>
    </row>
    <row r="2558" spans="1:4" x14ac:dyDescent="0.2">
      <c r="A2558" s="5">
        <v>2497</v>
      </c>
      <c r="B2558" s="138">
        <f>'Acct Summary 7-8'!C14</f>
        <v>3469888</v>
      </c>
      <c r="C2558" s="2" t="s">
        <v>594</v>
      </c>
      <c r="D2558" s="2" t="str">
        <f t="shared" si="38"/>
        <v>Error?</v>
      </c>
    </row>
    <row r="2559" spans="1:4" x14ac:dyDescent="0.2">
      <c r="A2559" s="5">
        <v>2498</v>
      </c>
      <c r="B2559" s="138">
        <f>'Acct Summary 7-8'!C15</f>
        <v>2274834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62591994</v>
      </c>
      <c r="C2561" s="2" t="s">
        <v>594</v>
      </c>
      <c r="D2561" s="2" t="str">
        <f t="shared" si="39"/>
        <v>Error?</v>
      </c>
    </row>
    <row r="2562" spans="1:4" x14ac:dyDescent="0.2">
      <c r="A2562" s="5">
        <v>2501</v>
      </c>
      <c r="B2562" s="138">
        <f>'Acct Summary 7-8'!C20</f>
        <v>1582253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4142045</v>
      </c>
      <c r="C2564" s="2" t="s">
        <v>594</v>
      </c>
      <c r="D2564" s="2" t="str">
        <f t="shared" si="39"/>
        <v>Error?</v>
      </c>
    </row>
    <row r="2565" spans="1:4" x14ac:dyDescent="0.2">
      <c r="A2565" s="10">
        <v>2504</v>
      </c>
      <c r="D2565" s="2" t="str">
        <f t="shared" si="39"/>
        <v>OK</v>
      </c>
    </row>
    <row r="2566" spans="1:4" x14ac:dyDescent="0.2">
      <c r="A2566" s="5">
        <v>2505</v>
      </c>
      <c r="B2566" s="138">
        <f>'Acct Summary 7-8'!D6</f>
        <v>1200000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5342045</v>
      </c>
      <c r="C2568" s="2" t="s">
        <v>594</v>
      </c>
      <c r="D2568" s="2" t="str">
        <f t="shared" si="39"/>
        <v>Error?</v>
      </c>
    </row>
    <row r="2569" spans="1:4" x14ac:dyDescent="0.2">
      <c r="A2569" s="5">
        <v>2508</v>
      </c>
      <c r="B2569" s="138">
        <f>'Acct Summary 7-8'!D13</f>
        <v>5345966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5345966</v>
      </c>
      <c r="C2573" s="2" t="s">
        <v>594</v>
      </c>
      <c r="D2573" s="2" t="str">
        <f t="shared" si="39"/>
        <v>Error?</v>
      </c>
    </row>
    <row r="2574" spans="1:4" x14ac:dyDescent="0.2">
      <c r="A2574" s="5">
        <v>2513</v>
      </c>
      <c r="B2574" s="138">
        <f>'Acct Summary 7-8'!D20</f>
        <v>-3921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1110104</v>
      </c>
      <c r="C2591" s="2" t="s">
        <v>594</v>
      </c>
      <c r="D2591" s="2" t="str">
        <f t="shared" si="39"/>
        <v>Error?</v>
      </c>
    </row>
    <row r="2592" spans="1:4" x14ac:dyDescent="0.2">
      <c r="A2592" s="10">
        <v>2531</v>
      </c>
      <c r="D2592" s="2" t="str">
        <f t="shared" si="39"/>
        <v>OK</v>
      </c>
    </row>
    <row r="2593" spans="1:4" x14ac:dyDescent="0.2">
      <c r="A2593" s="5">
        <v>2532</v>
      </c>
      <c r="B2593" s="138">
        <f>'Acct Summary 7-8'!F6</f>
        <v>864310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1974414</v>
      </c>
      <c r="C2595" s="2" t="s">
        <v>594</v>
      </c>
      <c r="D2595" s="2" t="str">
        <f t="shared" si="39"/>
        <v>Error?</v>
      </c>
    </row>
    <row r="2596" spans="1:4" x14ac:dyDescent="0.2">
      <c r="A2596" s="5">
        <v>2535</v>
      </c>
      <c r="B2596" s="138">
        <f>'Acct Summary 7-8'!F13</f>
        <v>1537855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1537855</v>
      </c>
      <c r="C2600" s="2" t="s">
        <v>594</v>
      </c>
      <c r="D2600" s="2" t="str">
        <f t="shared" si="39"/>
        <v>Error?</v>
      </c>
    </row>
    <row r="2601" spans="1:4" x14ac:dyDescent="0.2">
      <c r="A2601" s="5">
        <v>2540</v>
      </c>
      <c r="B2601" s="138">
        <f>'Acct Summary 7-8'!F20</f>
        <v>436559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2279438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2279438</v>
      </c>
      <c r="C2606" s="2" t="s">
        <v>594</v>
      </c>
      <c r="D2606" s="2" t="str">
        <f t="shared" si="39"/>
        <v>Error?</v>
      </c>
    </row>
    <row r="2607" spans="1:4" x14ac:dyDescent="0.2">
      <c r="A2607" s="5">
        <v>2546</v>
      </c>
      <c r="B2607" s="138">
        <f>'Acct Summary 7-8'!G12</f>
        <v>828160</v>
      </c>
      <c r="C2607" s="2" t="s">
        <v>594</v>
      </c>
      <c r="D2607" s="2" t="str">
        <f t="shared" si="39"/>
        <v>Error?</v>
      </c>
    </row>
    <row r="2608" spans="1:4" x14ac:dyDescent="0.2">
      <c r="A2608" s="5">
        <v>2547</v>
      </c>
      <c r="B2608" s="138">
        <f>'Acct Summary 7-8'!G13</f>
        <v>1294468</v>
      </c>
      <c r="C2608" s="2" t="s">
        <v>594</v>
      </c>
      <c r="D2608" s="2" t="str">
        <f t="shared" si="39"/>
        <v>Error?</v>
      </c>
    </row>
    <row r="2609" spans="1:4" x14ac:dyDescent="0.2">
      <c r="A2609" s="5">
        <v>2548</v>
      </c>
      <c r="B2609" s="138">
        <f>'Acct Summary 7-8'!G14</f>
        <v>3614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2126242</v>
      </c>
      <c r="C2612" s="2" t="s">
        <v>594</v>
      </c>
      <c r="D2612" s="2" t="str">
        <f t="shared" si="39"/>
        <v>Error?</v>
      </c>
    </row>
    <row r="2613" spans="1:4" x14ac:dyDescent="0.2">
      <c r="A2613" s="5">
        <v>2552</v>
      </c>
      <c r="B2613" s="138">
        <f>'Acct Summary 7-8'!G20</f>
        <v>153196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3145027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3145027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32638842</v>
      </c>
      <c r="C2634" s="2" t="s">
        <v>594</v>
      </c>
      <c r="D2634" s="2" t="str">
        <f t="shared" si="40"/>
        <v>Error?</v>
      </c>
    </row>
    <row r="2635" spans="1:4" x14ac:dyDescent="0.2">
      <c r="A2635" s="5">
        <v>2574</v>
      </c>
      <c r="B2635" s="138">
        <f>'Acct Summary 7-8'!E17</f>
        <v>32638842</v>
      </c>
      <c r="C2635" s="2" t="s">
        <v>594</v>
      </c>
      <c r="D2635" s="2" t="str">
        <f t="shared" si="40"/>
        <v>Error?</v>
      </c>
    </row>
    <row r="2636" spans="1:4" x14ac:dyDescent="0.2">
      <c r="A2636" s="5">
        <v>2575</v>
      </c>
      <c r="B2636" s="138">
        <f>'Acct Summary 7-8'!E20</f>
        <v>-29493815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3143430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3143430</v>
      </c>
      <c r="C2658" s="2" t="s">
        <v>594</v>
      </c>
      <c r="D2658" s="2" t="str">
        <f t="shared" si="40"/>
        <v>Error?</v>
      </c>
    </row>
    <row r="2659" spans="1:4" x14ac:dyDescent="0.2">
      <c r="A2659" s="5">
        <v>2598</v>
      </c>
      <c r="B2659" s="138">
        <f>'Acct Summary 7-8'!H13</f>
        <v>2476842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2476842</v>
      </c>
      <c r="C2661" s="2" t="s">
        <v>594</v>
      </c>
      <c r="D2661" s="2" t="str">
        <f t="shared" si="40"/>
        <v>Error?</v>
      </c>
    </row>
    <row r="2662" spans="1:4" x14ac:dyDescent="0.2">
      <c r="A2662" s="5">
        <v>2601</v>
      </c>
      <c r="B2662" s="138">
        <f>'Acct Summary 7-8'!H20</f>
        <v>666588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125883</v>
      </c>
      <c r="D2718" s="2" t="str">
        <f t="shared" si="41"/>
        <v>Error?</v>
      </c>
    </row>
    <row r="2719" spans="1:4" x14ac:dyDescent="0.2">
      <c r="A2719" s="5">
        <v>2658</v>
      </c>
      <c r="B2719" s="138">
        <f>'Expenditures 15-22'!D51</f>
        <v>35944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161827</v>
      </c>
      <c r="C2724" s="2" t="s">
        <v>594</v>
      </c>
      <c r="D2724" s="2" t="str">
        <f t="shared" si="41"/>
        <v>Error?</v>
      </c>
    </row>
    <row r="2725" spans="1:4" x14ac:dyDescent="0.2">
      <c r="A2725" s="5">
        <v>2664</v>
      </c>
      <c r="B2725" s="138">
        <f>'Expenditures 15-22'!D247</f>
        <v>285</v>
      </c>
      <c r="D2725" s="2" t="str">
        <f t="shared" si="41"/>
        <v>Error?</v>
      </c>
    </row>
    <row r="2726" spans="1:4" x14ac:dyDescent="0.2">
      <c r="A2726" s="5">
        <v>2665</v>
      </c>
      <c r="B2726" s="138">
        <f>'Expenditures 15-22'!K247</f>
        <v>285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2240609</v>
      </c>
      <c r="C2789" s="2" t="s">
        <v>594</v>
      </c>
      <c r="D2789" s="2" t="str">
        <f t="shared" si="42"/>
        <v>Error?</v>
      </c>
    </row>
    <row r="2790" spans="1:4" x14ac:dyDescent="0.2">
      <c r="A2790" s="5">
        <v>2729</v>
      </c>
      <c r="B2790" s="138">
        <f>'Expenditures 15-22'!E102</f>
        <v>2240609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1362747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323608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4123012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4446620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783476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265260</v>
      </c>
      <c r="D2908" s="2" t="str">
        <f t="shared" si="44"/>
        <v>Error?</v>
      </c>
    </row>
    <row r="2909" spans="1:4" x14ac:dyDescent="0.2">
      <c r="A2909" s="10">
        <v>2848</v>
      </c>
      <c r="D2909" s="2" t="str">
        <f t="shared" si="44"/>
        <v>OK</v>
      </c>
    </row>
    <row r="2910" spans="1:4" x14ac:dyDescent="0.2">
      <c r="A2910" s="5">
        <v>2849</v>
      </c>
      <c r="B2910" s="138">
        <f>'Assets-Liab 5-6'!I34</f>
        <v>265260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4181360</v>
      </c>
      <c r="D2912" s="2" t="str">
        <f t="shared" si="44"/>
        <v>Error?</v>
      </c>
    </row>
    <row r="2913" spans="1:4" x14ac:dyDescent="0.2">
      <c r="A2913" s="5">
        <v>2852</v>
      </c>
      <c r="B2913" s="138">
        <f>'Assets-Liab 5-6'!I41</f>
        <v>4446620</v>
      </c>
      <c r="C2913" s="2" t="s">
        <v>594</v>
      </c>
      <c r="D2913" s="2" t="str">
        <f t="shared" si="44"/>
        <v>Error?</v>
      </c>
    </row>
    <row r="2914" spans="1:4" x14ac:dyDescent="0.2">
      <c r="A2914" s="5">
        <v>2853</v>
      </c>
      <c r="B2914" s="138">
        <f>'Assets-Liab 5-6'!L33</f>
        <v>783476</v>
      </c>
      <c r="D2914" s="2" t="str">
        <f t="shared" si="44"/>
        <v>Error?</v>
      </c>
    </row>
    <row r="2915" spans="1:4" x14ac:dyDescent="0.2">
      <c r="A2915" s="10">
        <v>2854</v>
      </c>
      <c r="D2915" s="2" t="str">
        <f t="shared" si="44"/>
        <v>OK</v>
      </c>
    </row>
    <row r="2916" spans="1:4" x14ac:dyDescent="0.2">
      <c r="A2916" s="5">
        <v>2855</v>
      </c>
      <c r="B2916" s="138">
        <f>'Assets-Liab 5-6'!L34</f>
        <v>783476</v>
      </c>
      <c r="C2916" s="2" t="s">
        <v>594</v>
      </c>
      <c r="D2916" s="2" t="str">
        <f t="shared" si="44"/>
        <v>Error?</v>
      </c>
    </row>
    <row r="2917" spans="1:4" x14ac:dyDescent="0.2">
      <c r="A2917" s="5">
        <v>2856</v>
      </c>
      <c r="B2917" s="138">
        <f>'Assets-Liab 5-6'!L41</f>
        <v>783476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2188099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52510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2188099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52510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472836</v>
      </c>
      <c r="D3055" s="2" t="str">
        <f t="shared" si="46"/>
        <v>Error?</v>
      </c>
    </row>
    <row r="3056" spans="1:4" x14ac:dyDescent="0.2">
      <c r="A3056" s="5">
        <v>2995</v>
      </c>
      <c r="B3056" s="138">
        <f>'Expenditures 15-22'!D10</f>
        <v>207528</v>
      </c>
      <c r="D3056" s="2" t="str">
        <f t="shared" si="46"/>
        <v>Error?</v>
      </c>
    </row>
    <row r="3057" spans="1:4" x14ac:dyDescent="0.2">
      <c r="A3057" s="5">
        <v>2996</v>
      </c>
      <c r="B3057" s="138">
        <f>'Expenditures 15-22'!E10</f>
        <v>24579</v>
      </c>
      <c r="D3057" s="2" t="str">
        <f t="shared" si="46"/>
        <v>Error?</v>
      </c>
    </row>
    <row r="3058" spans="1:4" x14ac:dyDescent="0.2">
      <c r="A3058" s="5">
        <v>2997</v>
      </c>
      <c r="B3058" s="138">
        <f>'Expenditures 15-22'!F10</f>
        <v>618356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1344630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27730000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271482</v>
      </c>
      <c r="C3225" s="2" t="s">
        <v>594</v>
      </c>
      <c r="D3225" s="2" t="str">
        <f t="shared" si="49"/>
        <v>Error?</v>
      </c>
    </row>
    <row r="3226" spans="1:4" x14ac:dyDescent="0.2">
      <c r="A3226" s="5">
        <v>3165</v>
      </c>
      <c r="B3226" s="138">
        <f>'Acct Summary 7-8'!I8</f>
        <v>271482</v>
      </c>
      <c r="C3226" s="2" t="s">
        <v>594</v>
      </c>
      <c r="D3226" s="2" t="str">
        <f t="shared" si="49"/>
        <v>Error?</v>
      </c>
    </row>
    <row r="3227" spans="1:4" x14ac:dyDescent="0.2">
      <c r="A3227" s="5">
        <v>3166</v>
      </c>
      <c r="B3227" s="138">
        <f>'Acct Summary 7-8'!I20</f>
        <v>271482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1582253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436559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153196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29903345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29903345</v>
      </c>
      <c r="C3277" s="2" t="s">
        <v>594</v>
      </c>
      <c r="D3277" s="2" t="str">
        <f t="shared" si="50"/>
        <v>Error?</v>
      </c>
    </row>
    <row r="3278" spans="1:4" x14ac:dyDescent="0.2">
      <c r="A3278" s="5">
        <v>3217</v>
      </c>
      <c r="B3278" s="138">
        <f>'Acct Summary 7-8'!E78</f>
        <v>409530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666588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271482</v>
      </c>
      <c r="C3320" s="2" t="s">
        <v>594</v>
      </c>
      <c r="D3320" s="2" t="str">
        <f t="shared" si="50"/>
        <v>Error?</v>
      </c>
    </row>
    <row r="3321" spans="1:4" x14ac:dyDescent="0.2">
      <c r="A3321" s="5">
        <v>3260</v>
      </c>
      <c r="B3321" s="138">
        <f>'Acct Summary 7-8'!I79</f>
        <v>3909878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4181360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6659506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1539204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19166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22894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8241410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326999</v>
      </c>
      <c r="D3387" s="2" t="str">
        <f t="shared" si="51"/>
        <v>Error?</v>
      </c>
    </row>
    <row r="3388" spans="1:4" x14ac:dyDescent="0.2">
      <c r="A3388" s="5">
        <v>3327</v>
      </c>
      <c r="B3388" s="138">
        <f>'Expenditures 15-22'!D217</f>
        <v>382645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326999</v>
      </c>
      <c r="C3390" s="2" t="s">
        <v>594</v>
      </c>
      <c r="D3390" s="2" t="str">
        <f t="shared" si="51"/>
        <v>Error?</v>
      </c>
    </row>
    <row r="3391" spans="1:4" x14ac:dyDescent="0.2">
      <c r="A3391" s="5">
        <v>3330</v>
      </c>
      <c r="B3391" s="138">
        <f>'Expenditures 15-22'!K217</f>
        <v>382645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16600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5241448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1532160</v>
      </c>
      <c r="D3417" s="2" t="str">
        <f t="shared" si="52"/>
        <v>Error?</v>
      </c>
    </row>
    <row r="3418" spans="1:4" x14ac:dyDescent="0.2">
      <c r="A3418" s="10">
        <v>3357</v>
      </c>
      <c r="D3418" s="2" t="str">
        <f t="shared" si="52"/>
        <v>OK</v>
      </c>
    </row>
    <row r="3419" spans="1:4" x14ac:dyDescent="0.2">
      <c r="A3419" s="5">
        <v>3358</v>
      </c>
      <c r="B3419" s="138">
        <f>'Assets-Liab 5-6'!F4</f>
        <v>2304590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456288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1116003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783476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1180757</v>
      </c>
      <c r="C3446" s="2" t="s">
        <v>594</v>
      </c>
      <c r="D3446" s="2" t="str">
        <f t="shared" si="52"/>
        <v>Error?</v>
      </c>
    </row>
    <row r="3447" spans="1:4" x14ac:dyDescent="0.2">
      <c r="A3447" s="5">
        <v>3386</v>
      </c>
      <c r="B3447" s="138">
        <f>'Tax Sched 23'!D16</f>
        <v>804256</v>
      </c>
      <c r="C3447" s="2" t="s">
        <v>594</v>
      </c>
      <c r="D3447" s="2" t="str">
        <f t="shared" si="52"/>
        <v>Error?</v>
      </c>
    </row>
    <row r="3448" spans="1:4" x14ac:dyDescent="0.2">
      <c r="A3448" s="5">
        <v>3387</v>
      </c>
      <c r="B3448" s="138">
        <f>'Tax Sched 23'!C16</f>
        <v>376501</v>
      </c>
      <c r="D3448" s="2" t="str">
        <f t="shared" si="52"/>
        <v>Error?</v>
      </c>
    </row>
    <row r="3449" spans="1:4" x14ac:dyDescent="0.2">
      <c r="A3449" s="5">
        <v>3388</v>
      </c>
      <c r="B3449" s="138">
        <f>'Tax Sched 23'!F16</f>
        <v>803903</v>
      </c>
      <c r="C3449" s="2" t="s">
        <v>594</v>
      </c>
      <c r="D3449" s="2" t="str">
        <f t="shared" si="52"/>
        <v>Error?</v>
      </c>
    </row>
    <row r="3450" spans="1:4" x14ac:dyDescent="0.2">
      <c r="A3450" s="5">
        <v>3389</v>
      </c>
      <c r="B3450" s="138">
        <f>'Tax Sched 23'!E16</f>
        <v>1180404</v>
      </c>
      <c r="D3450" s="2" t="str">
        <f t="shared" si="52"/>
        <v>Error?</v>
      </c>
    </row>
    <row r="3451" spans="1:4" x14ac:dyDescent="0.2">
      <c r="A3451" s="5">
        <v>3390</v>
      </c>
      <c r="B3451" s="138">
        <f>'Cap Outlay Deprec 26'!C15</f>
        <v>35350</v>
      </c>
      <c r="D3451" s="2" t="str">
        <f t="shared" si="52"/>
        <v>Error?</v>
      </c>
    </row>
    <row r="3452" spans="1:4" x14ac:dyDescent="0.2">
      <c r="A3452" s="5">
        <v>3391</v>
      </c>
      <c r="B3452" s="138">
        <f>'Cap Outlay Deprec 26'!D15</f>
        <v>1362747</v>
      </c>
      <c r="D3452" s="2" t="str">
        <f t="shared" si="52"/>
        <v>Error?</v>
      </c>
    </row>
    <row r="3453" spans="1:4" x14ac:dyDescent="0.2">
      <c r="A3453" s="5">
        <v>3392</v>
      </c>
      <c r="B3453" s="138">
        <f>'Cap Outlay Deprec 26'!E15</f>
        <v>35350</v>
      </c>
      <c r="D3453" s="2" t="str">
        <f t="shared" si="52"/>
        <v>Error?</v>
      </c>
    </row>
    <row r="3454" spans="1:4" x14ac:dyDescent="0.2">
      <c r="A3454" s="5">
        <v>3393</v>
      </c>
      <c r="B3454" s="138">
        <f>'Cap Outlay Deprec 26'!F15</f>
        <v>1362747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1362747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220358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220358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11772</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208586</v>
      </c>
      <c r="D3567" s="2" t="str">
        <f t="shared" si="54"/>
        <v>Error?</v>
      </c>
    </row>
    <row r="3568" spans="1:4" x14ac:dyDescent="0.2">
      <c r="A3568" s="5">
        <v>3507</v>
      </c>
      <c r="B3568" s="138">
        <f>'Assets-Liab 5-6'!K41</f>
        <v>220358</v>
      </c>
      <c r="C3568" s="2" t="s">
        <v>594</v>
      </c>
      <c r="D3568" s="2" t="str">
        <f t="shared" si="54"/>
        <v>Error?</v>
      </c>
    </row>
    <row r="3569" spans="1:4" x14ac:dyDescent="0.2">
      <c r="A3569" s="5">
        <v>3508</v>
      </c>
      <c r="B3569" s="138">
        <f>'Acct Summary 7-8'!K4</f>
        <v>3742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3742</v>
      </c>
      <c r="C3571" s="2" t="s">
        <v>594</v>
      </c>
      <c r="D3571" s="2" t="str">
        <f t="shared" si="54"/>
        <v>Error?</v>
      </c>
    </row>
    <row r="3572" spans="1:4" x14ac:dyDescent="0.2">
      <c r="A3572" s="5">
        <v>3511</v>
      </c>
      <c r="B3572" s="138">
        <f>'Acct Summary 7-8'!K13</f>
        <v>352571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352571</v>
      </c>
      <c r="C3575" s="2" t="s">
        <v>594</v>
      </c>
      <c r="D3575" s="2" t="str">
        <f t="shared" si="54"/>
        <v>Error?</v>
      </c>
    </row>
    <row r="3576" spans="1:4" x14ac:dyDescent="0.2">
      <c r="A3576" s="5">
        <v>3515</v>
      </c>
      <c r="B3576" s="138">
        <f>'Acct Summary 7-8'!K20</f>
        <v>-348829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-348829</v>
      </c>
      <c r="C3588" s="2" t="s">
        <v>594</v>
      </c>
      <c r="D3588" s="2" t="str">
        <f t="shared" si="55"/>
        <v>Error?</v>
      </c>
    </row>
    <row r="3589" spans="1:4" x14ac:dyDescent="0.2">
      <c r="A3589" s="5">
        <v>3528</v>
      </c>
      <c r="B3589" s="138">
        <f>'Acct Summary 7-8'!K79</f>
        <v>557415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208586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352571</v>
      </c>
      <c r="D3646" s="2" t="str">
        <f t="shared" si="55"/>
        <v>Error?</v>
      </c>
    </row>
    <row r="3647" spans="1:4" x14ac:dyDescent="0.2">
      <c r="A3647" s="5">
        <v>3586</v>
      </c>
      <c r="B3647" s="138">
        <f>'Expenditures 15-22'!G350</f>
        <v>352571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352571</v>
      </c>
      <c r="C3649" s="2" t="s">
        <v>594</v>
      </c>
      <c r="D3649" s="2" t="str">
        <f t="shared" si="56"/>
        <v>Error?</v>
      </c>
    </row>
    <row r="3650" spans="1:4" x14ac:dyDescent="0.2">
      <c r="A3650" s="5">
        <v>3589</v>
      </c>
      <c r="B3650" s="138">
        <f>'Expenditures 15-22'!G367</f>
        <v>352571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352571</v>
      </c>
      <c r="C3669" s="2" t="s">
        <v>594</v>
      </c>
      <c r="D3669" s="2" t="str">
        <f t="shared" si="56"/>
        <v>Error?</v>
      </c>
    </row>
    <row r="3670" spans="1:4" x14ac:dyDescent="0.2">
      <c r="A3670" s="5">
        <v>3609</v>
      </c>
      <c r="B3670" s="138">
        <f>'Expenditures 15-22'!K350</f>
        <v>352571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352571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352571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-348829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25838626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90012873</v>
      </c>
      <c r="C4122" s="2" t="s">
        <v>594</v>
      </c>
      <c r="D4122" s="2" t="str">
        <f t="shared" si="63"/>
        <v>Error?</v>
      </c>
    </row>
    <row r="4123" spans="1:4" x14ac:dyDescent="0.2">
      <c r="A4123" s="5">
        <v>4062</v>
      </c>
      <c r="B4123" s="138">
        <f>'Acct Summary 7-8'!D10</f>
        <v>5342045</v>
      </c>
      <c r="C4123" s="2" t="s">
        <v>594</v>
      </c>
      <c r="D4123" s="2" t="str">
        <f t="shared" si="63"/>
        <v>Error?</v>
      </c>
    </row>
    <row r="4124" spans="1:4" x14ac:dyDescent="0.2">
      <c r="A4124" s="5">
        <v>4063</v>
      </c>
      <c r="B4124" s="138">
        <f>'Acct Summary 7-8'!E10</f>
        <v>3145027</v>
      </c>
      <c r="C4124" s="2" t="s">
        <v>594</v>
      </c>
      <c r="D4124" s="2" t="str">
        <f t="shared" si="63"/>
        <v>Error?</v>
      </c>
    </row>
    <row r="4125" spans="1:4" x14ac:dyDescent="0.2">
      <c r="A4125" s="5">
        <v>4064</v>
      </c>
      <c r="B4125" s="138">
        <f>'Acct Summary 7-8'!F10</f>
        <v>1974414</v>
      </c>
      <c r="C4125" s="2" t="s">
        <v>594</v>
      </c>
      <c r="D4125" s="2" t="str">
        <f t="shared" si="63"/>
        <v>Error?</v>
      </c>
    </row>
    <row r="4126" spans="1:4" x14ac:dyDescent="0.2">
      <c r="A4126" s="5">
        <v>4065</v>
      </c>
      <c r="B4126" s="138">
        <f>'Acct Summary 7-8'!G10</f>
        <v>2279438</v>
      </c>
      <c r="C4126" s="2" t="s">
        <v>594</v>
      </c>
      <c r="D4126" s="2" t="str">
        <f t="shared" si="63"/>
        <v>Error?</v>
      </c>
    </row>
    <row r="4127" spans="1:4" x14ac:dyDescent="0.2">
      <c r="A4127" s="5">
        <v>4066</v>
      </c>
      <c r="B4127" s="138">
        <f>'Acct Summary 7-8'!H10</f>
        <v>3143430</v>
      </c>
      <c r="C4127" s="2" t="s">
        <v>594</v>
      </c>
      <c r="D4127" s="2" t="str">
        <f t="shared" si="63"/>
        <v>Error?</v>
      </c>
    </row>
    <row r="4128" spans="1:4" x14ac:dyDescent="0.2">
      <c r="A4128" s="5">
        <v>4067</v>
      </c>
      <c r="B4128" s="138">
        <f>'Acct Summary 7-8'!I10</f>
        <v>271482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3742</v>
      </c>
      <c r="C4130" s="2" t="s">
        <v>594</v>
      </c>
      <c r="D4130" s="2" t="str">
        <f t="shared" si="63"/>
        <v>Error?</v>
      </c>
    </row>
    <row r="4131" spans="1:4" x14ac:dyDescent="0.2">
      <c r="A4131" s="5">
        <v>4070</v>
      </c>
      <c r="B4131" s="138">
        <f>'Acct Summary 7-8'!C18</f>
        <v>25838626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88430620</v>
      </c>
      <c r="C4136" s="2" t="s">
        <v>594</v>
      </c>
      <c r="D4136" s="2" t="str">
        <f t="shared" si="63"/>
        <v>Error?</v>
      </c>
    </row>
    <row r="4137" spans="1:4" x14ac:dyDescent="0.2">
      <c r="A4137" s="5">
        <v>4076</v>
      </c>
      <c r="B4137" s="138">
        <f>'Acct Summary 7-8'!D19</f>
        <v>5345966</v>
      </c>
      <c r="C4137" s="2" t="s">
        <v>594</v>
      </c>
      <c r="D4137" s="2" t="str">
        <f t="shared" si="63"/>
        <v>Error?</v>
      </c>
    </row>
    <row r="4138" spans="1:4" x14ac:dyDescent="0.2">
      <c r="A4138" s="5">
        <v>4077</v>
      </c>
      <c r="B4138" s="138">
        <f>'Acct Summary 7-8'!E19</f>
        <v>32638842</v>
      </c>
      <c r="C4138" s="2" t="s">
        <v>594</v>
      </c>
      <c r="D4138" s="2" t="str">
        <f t="shared" si="63"/>
        <v>Error?</v>
      </c>
    </row>
    <row r="4139" spans="1:4" x14ac:dyDescent="0.2">
      <c r="A4139" s="5">
        <v>4078</v>
      </c>
      <c r="B4139" s="138">
        <f>'Acct Summary 7-8'!F19</f>
        <v>1537855</v>
      </c>
      <c r="C4139" s="2" t="s">
        <v>594</v>
      </c>
      <c r="D4139" s="2" t="str">
        <f t="shared" si="63"/>
        <v>Error?</v>
      </c>
    </row>
    <row r="4140" spans="1:4" x14ac:dyDescent="0.2">
      <c r="A4140" s="5">
        <v>4079</v>
      </c>
      <c r="B4140" s="138">
        <f>'Acct Summary 7-8'!G19</f>
        <v>2126242</v>
      </c>
      <c r="C4140" s="2" t="s">
        <v>594</v>
      </c>
      <c r="D4140" s="2" t="str">
        <f t="shared" si="63"/>
        <v>Error?</v>
      </c>
    </row>
    <row r="4141" spans="1:4" x14ac:dyDescent="0.2">
      <c r="A4141" s="5">
        <v>4080</v>
      </c>
      <c r="B4141" s="138">
        <f>'Acct Summary 7-8'!H19</f>
        <v>2476842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352571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27730000</v>
      </c>
      <c r="C4171" s="2" t="s">
        <v>594</v>
      </c>
      <c r="D4171" s="2" t="str">
        <f t="shared" si="64"/>
        <v>Error?</v>
      </c>
    </row>
    <row r="4172" spans="1:4" x14ac:dyDescent="0.2">
      <c r="A4172" s="5">
        <v>4111</v>
      </c>
      <c r="B4172" s="138">
        <f>'Short-Term Long-Term Debt 24'!J49</f>
        <v>25578761</v>
      </c>
      <c r="C4172" s="2" t="s">
        <v>594</v>
      </c>
      <c r="D4172" s="2" t="str">
        <f t="shared" si="64"/>
        <v>Error?</v>
      </c>
    </row>
    <row r="4173" spans="1:4" x14ac:dyDescent="0.2">
      <c r="A4173" s="5">
        <v>4112</v>
      </c>
      <c r="B4173" s="138">
        <f>'Short-Term Long-Term Debt 24'!H49</f>
        <v>31295000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4150</v>
      </c>
      <c r="C4268" s="2" t="s">
        <v>594</v>
      </c>
      <c r="D4268" s="2" t="str">
        <f t="shared" si="65"/>
        <v>Error?</v>
      </c>
    </row>
    <row r="4269" spans="1:5" x14ac:dyDescent="0.2">
      <c r="A4269" s="12">
        <v>4208</v>
      </c>
      <c r="B4269" s="138">
        <f>'FP Info 3'!J16</f>
        <v>37066798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148513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364400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279936</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279936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68495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301549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30095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1024571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548005431</v>
      </c>
      <c r="D4995" s="2" t="str">
        <f t="shared" si="77"/>
        <v>Error?</v>
      </c>
    </row>
    <row r="4996" spans="1:4" x14ac:dyDescent="0.2">
      <c r="A4996" s="12">
        <v>4935</v>
      </c>
      <c r="B4996" s="138">
        <f>'FP Info 3'!H31</f>
        <v>75624749.478</v>
      </c>
      <c r="D4996" s="2" t="str">
        <f t="shared" si="77"/>
        <v>Error?</v>
      </c>
    </row>
    <row r="4997" spans="1:4" x14ac:dyDescent="0.2">
      <c r="A4997" s="12">
        <v>4936</v>
      </c>
      <c r="B4997" s="138">
        <f>'FP Info 3'!H37</f>
        <v>27730000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18006521</v>
      </c>
      <c r="D5061" s="2" t="str">
        <f t="shared" si="78"/>
        <v>Error?</v>
      </c>
    </row>
    <row r="5062" spans="1:4" x14ac:dyDescent="0.2">
      <c r="A5062" s="10">
        <v>5001</v>
      </c>
      <c r="D5062" s="2" t="str">
        <f t="shared" si="78"/>
        <v>OK</v>
      </c>
    </row>
    <row r="5063" spans="1:4" x14ac:dyDescent="0.2">
      <c r="A5063" s="5">
        <v>5002</v>
      </c>
      <c r="B5063" s="138">
        <f>'Revenues 9-14'!C7</f>
        <v>216983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18223504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4103789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4103789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259108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259108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623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916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58631</v>
      </c>
      <c r="C5096" s="2" t="s">
        <v>594</v>
      </c>
      <c r="D5096" s="2" t="str">
        <f t="shared" si="78"/>
        <v>Error?</v>
      </c>
    </row>
    <row r="5097" spans="1:4" x14ac:dyDescent="0.2">
      <c r="A5097" s="5">
        <v>5036</v>
      </c>
      <c r="B5097" s="138">
        <f>'Revenues 9-14'!C77</f>
        <v>175419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175419</v>
      </c>
      <c r="C5102" s="2" t="s">
        <v>594</v>
      </c>
      <c r="D5102" s="2" t="str">
        <f t="shared" si="78"/>
        <v>Error?</v>
      </c>
    </row>
    <row r="5103" spans="1:4" x14ac:dyDescent="0.2">
      <c r="A5103" s="5">
        <v>5042</v>
      </c>
      <c r="B5103" s="138">
        <f>'Revenues 9-14'!C84</f>
        <v>113861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113861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280822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1355564</v>
      </c>
      <c r="D5119" s="2" t="str">
        <f t="shared" ref="D5119:D5182" si="79">IF(ISBLANK(B5119),"OK",IF(A5119-B5119=0,"OK","Error?"))</f>
        <v>Error?</v>
      </c>
    </row>
    <row r="5120" spans="1:4" x14ac:dyDescent="0.2">
      <c r="A5120" s="5">
        <v>5059</v>
      </c>
      <c r="B5120" s="138">
        <f>'Revenues 9-14'!C108</f>
        <v>1645811</v>
      </c>
      <c r="C5120" s="2" t="s">
        <v>594</v>
      </c>
      <c r="D5120" s="2" t="str">
        <f t="shared" si="79"/>
        <v>Error?</v>
      </c>
    </row>
    <row r="5121" spans="1:4" x14ac:dyDescent="0.2">
      <c r="A5121" s="5">
        <v>5060</v>
      </c>
      <c r="B5121" s="138">
        <f>'Revenues 9-14'!C109</f>
        <v>24580123</v>
      </c>
      <c r="C5121" s="2" t="s">
        <v>594</v>
      </c>
      <c r="D5121" s="2" t="str">
        <f t="shared" si="79"/>
        <v>Error?</v>
      </c>
    </row>
    <row r="5122" spans="1:4" x14ac:dyDescent="0.2">
      <c r="A5122" s="5">
        <v>5061</v>
      </c>
      <c r="B5122" s="138">
        <f>'Revenues 9-14'!C111</f>
        <v>16600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16600</v>
      </c>
      <c r="C5125" s="2" t="s">
        <v>594</v>
      </c>
      <c r="D5125" s="2" t="str">
        <f t="shared" si="79"/>
        <v>Error?</v>
      </c>
    </row>
    <row r="5126" spans="1:4" x14ac:dyDescent="0.2">
      <c r="A5126" s="5">
        <v>5065</v>
      </c>
      <c r="B5126" s="138">
        <f>'Revenues 9-14'!C117</f>
        <v>26242829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26242829</v>
      </c>
      <c r="C5132" s="2" t="s">
        <v>594</v>
      </c>
      <c r="D5132" s="2" t="str">
        <f t="shared" si="79"/>
        <v>Error?</v>
      </c>
    </row>
    <row r="5133" spans="1:4" x14ac:dyDescent="0.2">
      <c r="A5133" s="5">
        <v>5072</v>
      </c>
      <c r="B5133" s="138">
        <f>'Revenues 9-14'!C124</f>
        <v>4478</v>
      </c>
      <c r="D5133" s="2" t="str">
        <f t="shared" si="79"/>
        <v>Error?</v>
      </c>
    </row>
    <row r="5134" spans="1:4" x14ac:dyDescent="0.2">
      <c r="A5134" s="5">
        <v>5073</v>
      </c>
      <c r="B5134" s="138">
        <f>'Revenues 9-14'!C125</f>
        <v>227160</v>
      </c>
      <c r="D5134" s="2" t="str">
        <f t="shared" si="79"/>
        <v>Error?</v>
      </c>
    </row>
    <row r="5135" spans="1:4" x14ac:dyDescent="0.2">
      <c r="A5135" s="5">
        <v>5074</v>
      </c>
      <c r="B5135" s="138">
        <f>'Revenues 9-14'!C126</f>
        <v>262859</v>
      </c>
      <c r="D5135" s="2" t="str">
        <f t="shared" si="79"/>
        <v>Error?</v>
      </c>
    </row>
    <row r="5136" spans="1:4" x14ac:dyDescent="0.2">
      <c r="A5136" s="10">
        <v>5075</v>
      </c>
      <c r="D5136" s="2" t="str">
        <f t="shared" si="79"/>
        <v>OK</v>
      </c>
    </row>
    <row r="5137" spans="1:4" x14ac:dyDescent="0.2">
      <c r="A5137" s="5">
        <v>5076</v>
      </c>
      <c r="B5137" s="138">
        <f>'Revenues 9-14'!C127</f>
        <v>166784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19551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680832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275540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275540</v>
      </c>
      <c r="C5165" s="2" t="s">
        <v>594</v>
      </c>
      <c r="D5165" s="2" t="str">
        <f t="shared" si="79"/>
        <v>Error?</v>
      </c>
    </row>
    <row r="5166" spans="1:4" x14ac:dyDescent="0.2">
      <c r="A5166" s="10">
        <v>5105</v>
      </c>
      <c r="D5166" s="2" t="str">
        <f t="shared" si="79"/>
        <v>OK</v>
      </c>
    </row>
    <row r="5167" spans="1:4" x14ac:dyDescent="0.2">
      <c r="A5167" s="5">
        <v>5106</v>
      </c>
      <c r="B5167" s="138">
        <f>'Revenues 9-14'!C145</f>
        <v>59363</v>
      </c>
      <c r="D5167" s="2" t="str">
        <f t="shared" si="79"/>
        <v>Error?</v>
      </c>
    </row>
    <row r="5168" spans="1:4" x14ac:dyDescent="0.2">
      <c r="A5168" s="5">
        <v>5107</v>
      </c>
      <c r="B5168" s="138">
        <f>'Revenues 9-14'!C147</f>
        <v>75955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520471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1642256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27885085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2391694</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2391694</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2705352</v>
      </c>
      <c r="D5239" s="2" t="str">
        <f t="shared" si="80"/>
        <v>Error?</v>
      </c>
    </row>
    <row r="5240" spans="1:4" x14ac:dyDescent="0.2">
      <c r="A5240" s="5">
        <v>5179</v>
      </c>
      <c r="B5240" s="138">
        <f>'Revenues 9-14'!C195</f>
        <v>1870</v>
      </c>
      <c r="D5240" s="2" t="str">
        <f t="shared" si="80"/>
        <v>Error?</v>
      </c>
    </row>
    <row r="5241" spans="1:4" x14ac:dyDescent="0.2">
      <c r="A5241" s="5">
        <v>5180</v>
      </c>
      <c r="B5241" s="138">
        <f>'Revenues 9-14'!C196</f>
        <v>795853</v>
      </c>
      <c r="D5241" s="2" t="str">
        <f t="shared" si="80"/>
        <v>Error?</v>
      </c>
    </row>
    <row r="5242" spans="1:4" x14ac:dyDescent="0.2">
      <c r="A5242" s="5">
        <v>5181</v>
      </c>
      <c r="B5242" s="138">
        <f>'Revenues 9-14'!C197</f>
        <v>32624</v>
      </c>
      <c r="D5242" s="2" t="str">
        <f t="shared" si="80"/>
        <v>Error?</v>
      </c>
    </row>
    <row r="5243" spans="1:4" x14ac:dyDescent="0.2">
      <c r="A5243" s="5">
        <v>5182</v>
      </c>
      <c r="B5243" s="138">
        <f>'Revenues 9-14'!C198</f>
        <v>71217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3656344</v>
      </c>
      <c r="C5246" s="2" t="s">
        <v>594</v>
      </c>
      <c r="D5246" s="2" t="str">
        <f t="shared" si="80"/>
        <v>Error?</v>
      </c>
    </row>
    <row r="5247" spans="1:4" x14ac:dyDescent="0.2">
      <c r="A5247" s="5">
        <v>5186</v>
      </c>
      <c r="B5247" s="138">
        <f>'Revenues 9-14'!C203</f>
        <v>2103233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2103233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1347391</v>
      </c>
      <c r="D5278" s="2" t="str">
        <f t="shared" si="81"/>
        <v>Error?</v>
      </c>
    </row>
    <row r="5279" spans="1:4" x14ac:dyDescent="0.2">
      <c r="A5279" s="5">
        <v>5218</v>
      </c>
      <c r="B5279" s="138">
        <f>'Revenues 9-14'!C221</f>
        <v>6313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1353704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9300745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11692439</v>
      </c>
      <c r="C5326" s="2" t="s">
        <v>594</v>
      </c>
      <c r="D5326" s="2" t="str">
        <f t="shared" si="82"/>
        <v>Error?</v>
      </c>
    </row>
    <row r="5327" spans="1:4" x14ac:dyDescent="0.2">
      <c r="A5327" s="5">
        <v>5266</v>
      </c>
      <c r="B5327" s="138">
        <f>'Revenues 9-14'!C275</f>
        <v>64174247</v>
      </c>
      <c r="C5327" s="2" t="s">
        <v>594</v>
      </c>
      <c r="D5327" s="2" t="str">
        <f t="shared" si="82"/>
        <v>Error?</v>
      </c>
    </row>
    <row r="5328" spans="1:4" x14ac:dyDescent="0.2">
      <c r="A5328" s="5">
        <v>5267</v>
      </c>
      <c r="B5328" s="138">
        <f>'Revenues 9-14'!D5</f>
        <v>4067305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4067305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60976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60976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13764</v>
      </c>
      <c r="D5354" s="2" t="str">
        <f t="shared" si="82"/>
        <v>Error?</v>
      </c>
    </row>
    <row r="5355" spans="1:4" x14ac:dyDescent="0.2">
      <c r="A5355" s="5">
        <v>5294</v>
      </c>
      <c r="B5355" s="138">
        <f>'Revenues 9-14'!D108</f>
        <v>13764</v>
      </c>
      <c r="C5355" s="2" t="s">
        <v>594</v>
      </c>
      <c r="D5355" s="2" t="str">
        <f t="shared" si="82"/>
        <v>Error?</v>
      </c>
    </row>
    <row r="5356" spans="1:4" x14ac:dyDescent="0.2">
      <c r="A5356" s="5">
        <v>5295</v>
      </c>
      <c r="B5356" s="138">
        <f>'Revenues 9-14'!D109</f>
        <v>4142045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5342045</v>
      </c>
      <c r="C5508" s="2" t="s">
        <v>594</v>
      </c>
      <c r="D5508" s="2" t="str">
        <f t="shared" si="85"/>
        <v>Error?</v>
      </c>
    </row>
    <row r="5509" spans="1:4" x14ac:dyDescent="0.2">
      <c r="A5509" s="5">
        <v>5448</v>
      </c>
      <c r="B5509" s="138">
        <f>'Revenues 9-14'!E5</f>
        <v>3126552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3126552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18475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18475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3145027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3145027</v>
      </c>
      <c r="C5552" s="2" t="s">
        <v>594</v>
      </c>
      <c r="D5552" s="2" t="str">
        <f t="shared" si="85"/>
        <v>Error?</v>
      </c>
    </row>
    <row r="5553" spans="1:4" x14ac:dyDescent="0.2">
      <c r="A5553" s="5">
        <v>5492</v>
      </c>
      <c r="B5553" s="138">
        <f>'Revenues 9-14'!F5</f>
        <v>1084917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1084917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25187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25187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1110104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864310</v>
      </c>
      <c r="D5617" s="2" t="str">
        <f t="shared" si="86"/>
        <v>Error?</v>
      </c>
    </row>
    <row r="5618" spans="1:4" x14ac:dyDescent="0.2">
      <c r="A5618" s="5">
        <v>5557</v>
      </c>
      <c r="B5618" s="138">
        <f>'Revenues 9-14'!F154</f>
        <v>864310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864310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864310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1974414</v>
      </c>
      <c r="C5720" s="2" t="s">
        <v>594</v>
      </c>
      <c r="D5720" s="2" t="str">
        <f t="shared" si="88"/>
        <v>Error?</v>
      </c>
    </row>
    <row r="5721" spans="1:4" x14ac:dyDescent="0.2">
      <c r="A5721" s="5">
        <v>5660</v>
      </c>
      <c r="B5721" s="138">
        <f>'Revenues 9-14'!G5</f>
        <v>1015814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1180757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2196571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75000</v>
      </c>
      <c r="C5730" s="2" t="s">
        <v>594</v>
      </c>
      <c r="D5730" s="2" t="str">
        <f t="shared" si="88"/>
        <v>Error?</v>
      </c>
    </row>
    <row r="5731" spans="1:4" x14ac:dyDescent="0.2">
      <c r="A5731" s="5">
        <v>5670</v>
      </c>
      <c r="B5731" s="138">
        <f>'Revenues 9-14'!G65</f>
        <v>7867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7867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2279438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6673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6673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3136757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3143430</v>
      </c>
      <c r="C5915" s="2" t="s">
        <v>594</v>
      </c>
      <c r="D5915" s="2" t="str">
        <f t="shared" si="91"/>
        <v>Error?</v>
      </c>
    </row>
    <row r="5916" spans="1:4" x14ac:dyDescent="0.2">
      <c r="A5916" s="5">
        <v>5855</v>
      </c>
      <c r="B5916" s="138">
        <f>'Revenues 9-14'!I5</f>
        <v>271355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271355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271482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3742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3742</v>
      </c>
      <c r="C6023" s="2" t="s">
        <v>594</v>
      </c>
      <c r="D6023" s="2" t="str">
        <f t="shared" si="93"/>
        <v>Error?</v>
      </c>
    </row>
    <row r="6024" spans="1:5" x14ac:dyDescent="0.2">
      <c r="A6024" s="5">
        <v>5963</v>
      </c>
      <c r="B6024" s="138">
        <f>'Revenues 9-14'!G109</f>
        <v>2279438</v>
      </c>
      <c r="C6024" s="2" t="s">
        <v>594</v>
      </c>
      <c r="D6024" s="2" t="str">
        <f t="shared" si="93"/>
        <v>Error?</v>
      </c>
    </row>
    <row r="6025" spans="1:5" x14ac:dyDescent="0.2">
      <c r="A6025" s="5">
        <v>5964</v>
      </c>
      <c r="B6025" s="138">
        <f>'Revenues 9-14'!H109</f>
        <v>3143430</v>
      </c>
      <c r="C6025" s="2" t="s">
        <v>594</v>
      </c>
      <c r="D6025" s="2" t="str">
        <f t="shared" si="93"/>
        <v>Error?</v>
      </c>
    </row>
    <row r="6026" spans="1:5" x14ac:dyDescent="0.2">
      <c r="A6026" s="5">
        <v>5965</v>
      </c>
      <c r="B6026" s="138">
        <f>'Revenues 9-14'!I109</f>
        <v>271482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3742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57092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315204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5910.84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48130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476067</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4448468</v>
      </c>
      <c r="D6099" s="2" t="str">
        <f t="shared" si="94"/>
        <v>Error?</v>
      </c>
      <c r="E6099" s="2" t="s">
        <v>199</v>
      </c>
    </row>
    <row r="6100" spans="1:5" x14ac:dyDescent="0.2">
      <c r="A6100">
        <v>6039</v>
      </c>
      <c r="B6100" s="138">
        <f>'Assets-Liab 5-6'!D9</f>
        <v>15584</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918285</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907610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1542858</v>
      </c>
      <c r="D6124" s="2" t="str">
        <f t="shared" si="94"/>
        <v>Error?</v>
      </c>
      <c r="E6124" s="2" t="s">
        <v>199</v>
      </c>
    </row>
    <row r="6125" spans="1:5" x14ac:dyDescent="0.2">
      <c r="A6125">
        <v>6064</v>
      </c>
      <c r="B6125" s="138">
        <f>'Assets-Liab 5-6'!C25</f>
        <v>476067</v>
      </c>
      <c r="D6125" s="2" t="str">
        <f t="shared" si="94"/>
        <v>Error?</v>
      </c>
      <c r="E6125" s="2" t="s">
        <v>199</v>
      </c>
    </row>
    <row r="6126" spans="1:5" x14ac:dyDescent="0.2">
      <c r="A6126">
        <v>6065</v>
      </c>
      <c r="B6126" s="138">
        <f>'Assets-Liab 5-6'!D25</f>
        <v>2514</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45615</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187208</v>
      </c>
      <c r="D6142" s="2" t="str">
        <f t="shared" si="94"/>
        <v>Error?</v>
      </c>
      <c r="E6142" s="2" t="s">
        <v>199</v>
      </c>
    </row>
    <row r="6143" spans="1:5" x14ac:dyDescent="0.2">
      <c r="A6143">
        <v>6082</v>
      </c>
      <c r="B6143" s="138">
        <f>'Assets-Liab 5-6'!D27</f>
        <v>161547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38003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1048700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3345</v>
      </c>
      <c r="D6149" s="2" t="str">
        <f t="shared" si="95"/>
        <v>Error?</v>
      </c>
      <c r="E6149" s="2" t="s">
        <v>199</v>
      </c>
    </row>
    <row r="6150" spans="1:5" x14ac:dyDescent="0.2">
      <c r="A6150">
        <v>6089</v>
      </c>
      <c r="B6150" s="138">
        <f>'Assets-Liab 5-6'!K27</f>
        <v>11772</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3047028</v>
      </c>
      <c r="D6169" s="2" t="str">
        <f t="shared" si="95"/>
        <v>Error?</v>
      </c>
      <c r="E6169" s="2" t="s">
        <v>199</v>
      </c>
    </row>
    <row r="6170" spans="1:5" x14ac:dyDescent="0.2">
      <c r="A6170">
        <v>6109</v>
      </c>
      <c r="B6170" s="138">
        <f>'Assets-Liab 5-6'!D30</f>
        <v>19384</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225464</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789413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792758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750100</v>
      </c>
      <c r="D6215" s="2" t="str">
        <f t="shared" si="96"/>
        <v>Error?</v>
      </c>
      <c r="E6215" s="2" t="s">
        <v>199</v>
      </c>
    </row>
    <row r="6216" spans="1:5" x14ac:dyDescent="0.2">
      <c r="A6216">
        <v>6155</v>
      </c>
      <c r="B6216" s="138">
        <f>'Assets-Liab 5-6'!J41</f>
        <v>1542858</v>
      </c>
      <c r="D6216" s="2" t="str">
        <f t="shared" si="96"/>
        <v>Error?</v>
      </c>
      <c r="E6216" s="2" t="s">
        <v>199</v>
      </c>
    </row>
    <row r="6217" spans="1:5" x14ac:dyDescent="0.2">
      <c r="A6217">
        <v>6156</v>
      </c>
      <c r="B6217" s="138">
        <f>'Assets-Liab 5-6'!J4</f>
        <v>579800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963058</v>
      </c>
      <c r="D6219" s="2" t="str">
        <f t="shared" si="96"/>
        <v>Error?</v>
      </c>
      <c r="E6219" s="2" t="s">
        <v>199</v>
      </c>
    </row>
    <row r="6220" spans="1:5" x14ac:dyDescent="0.2">
      <c r="A6220">
        <v>6159</v>
      </c>
      <c r="B6220" s="138">
        <f>'Acct Summary 7-8'!J4</f>
        <v>821177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821177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821177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854699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854699</v>
      </c>
      <c r="D6229" s="2" t="str">
        <f t="shared" si="96"/>
        <v>Error?</v>
      </c>
      <c r="E6229" s="2" t="s">
        <v>199</v>
      </c>
    </row>
    <row r="6230" spans="1:5" x14ac:dyDescent="0.2">
      <c r="A6230">
        <v>6169</v>
      </c>
      <c r="B6230" s="138">
        <f>'Acct Summary 7-8'!J20</f>
        <v>-33522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-33522</v>
      </c>
      <c r="D6263" s="2" t="str">
        <f t="shared" si="96"/>
        <v>Error?</v>
      </c>
      <c r="E6263" s="2" t="s">
        <v>199</v>
      </c>
    </row>
    <row r="6264" spans="1:5" x14ac:dyDescent="0.2">
      <c r="A6264">
        <v>6203</v>
      </c>
      <c r="B6264" s="138">
        <f>'Acct Summary 7-8'!J79</f>
        <v>783622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750100</v>
      </c>
      <c r="D6266" s="2" t="str">
        <f t="shared" si="96"/>
        <v>Error?</v>
      </c>
      <c r="E6266" s="2" t="s">
        <v>199</v>
      </c>
    </row>
    <row r="6267" spans="1:5" x14ac:dyDescent="0.2">
      <c r="A6267">
        <v>6206</v>
      </c>
      <c r="B6267" s="138">
        <f>'Acct Summary 7-8'!C82</f>
        <v>1582253</v>
      </c>
      <c r="D6267" s="2" t="str">
        <f t="shared" si="96"/>
        <v>Error?</v>
      </c>
      <c r="E6267" s="2" t="s">
        <v>199</v>
      </c>
    </row>
    <row r="6268" spans="1:5" x14ac:dyDescent="0.2">
      <c r="A6268">
        <v>6207</v>
      </c>
      <c r="B6268" s="138">
        <f>'Acct Summary 7-8'!D82</f>
        <v>-3921</v>
      </c>
      <c r="D6268" s="2" t="str">
        <f t="shared" si="96"/>
        <v>Error?</v>
      </c>
      <c r="E6268" s="2" t="s">
        <v>199</v>
      </c>
    </row>
    <row r="6269" spans="1:5" x14ac:dyDescent="0.2">
      <c r="A6269">
        <v>6208</v>
      </c>
      <c r="B6269" s="138">
        <f>'Acct Summary 7-8'!E82</f>
        <v>409530</v>
      </c>
      <c r="D6269" s="2" t="str">
        <f t="shared" si="96"/>
        <v>Error?</v>
      </c>
      <c r="E6269" s="2" t="s">
        <v>199</v>
      </c>
    </row>
    <row r="6270" spans="1:5" x14ac:dyDescent="0.2">
      <c r="A6270">
        <v>6209</v>
      </c>
      <c r="B6270" s="138">
        <f>'Acct Summary 7-8'!F82</f>
        <v>436559</v>
      </c>
      <c r="D6270" s="2" t="str">
        <f t="shared" si="96"/>
        <v>Error?</v>
      </c>
      <c r="E6270" s="2" t="s">
        <v>199</v>
      </c>
    </row>
    <row r="6271" spans="1:5" x14ac:dyDescent="0.2">
      <c r="A6271">
        <v>6210</v>
      </c>
      <c r="B6271" s="138">
        <f>'Acct Summary 7-8'!G82</f>
        <v>153196</v>
      </c>
      <c r="D6271" s="2" t="str">
        <f t="shared" ref="D6271:D6334" si="97">IF(ISBLANK(B6271),"OK",IF(A6271-B6271=0,"OK","Error?"))</f>
        <v>Error?</v>
      </c>
      <c r="E6271" s="2" t="s">
        <v>199</v>
      </c>
    </row>
    <row r="6272" spans="1:5" x14ac:dyDescent="0.2">
      <c r="A6272">
        <v>6211</v>
      </c>
      <c r="B6272" s="138">
        <f>'Acct Summary 7-8'!H82</f>
        <v>666588</v>
      </c>
      <c r="D6272" s="2" t="str">
        <f t="shared" si="97"/>
        <v>Error?</v>
      </c>
      <c r="E6272" s="2" t="s">
        <v>199</v>
      </c>
    </row>
    <row r="6273" spans="1:5" x14ac:dyDescent="0.2">
      <c r="A6273">
        <v>6212</v>
      </c>
      <c r="B6273" s="138">
        <f>'Acct Summary 7-8'!I82</f>
        <v>271482</v>
      </c>
      <c r="D6273" s="2" t="str">
        <f t="shared" si="97"/>
        <v>Error?</v>
      </c>
      <c r="E6273" s="2" t="s">
        <v>199</v>
      </c>
    </row>
    <row r="6274" spans="1:5" x14ac:dyDescent="0.2">
      <c r="A6274">
        <v>6213</v>
      </c>
      <c r="B6274" s="138">
        <f>'Acct Summary 7-8'!J82</f>
        <v>-33522</v>
      </c>
      <c r="D6274" s="2" t="str">
        <f t="shared" si="97"/>
        <v>Error?</v>
      </c>
      <c r="E6274" s="2" t="s">
        <v>199</v>
      </c>
    </row>
    <row r="6275" spans="1:5" x14ac:dyDescent="0.2">
      <c r="A6275">
        <v>6214</v>
      </c>
      <c r="B6275" s="138">
        <f>'Acct Summary 7-8'!K82</f>
        <v>-348829</v>
      </c>
      <c r="D6275" s="2" t="str">
        <f t="shared" si="97"/>
        <v>Error?</v>
      </c>
      <c r="E6275" s="2" t="s">
        <v>199</v>
      </c>
    </row>
    <row r="6276" spans="1:5" x14ac:dyDescent="0.2">
      <c r="A6276">
        <v>6215</v>
      </c>
      <c r="B6276" s="138">
        <f>'Acct Summary 7-8'!C83</f>
        <v>6.4521176301287411E-2</v>
      </c>
      <c r="D6276" s="2" t="str">
        <f t="shared" si="97"/>
        <v>Error?</v>
      </c>
      <c r="E6276" s="2" t="s">
        <v>199</v>
      </c>
    </row>
    <row r="6277" spans="1:5" x14ac:dyDescent="0.2">
      <c r="A6277">
        <v>6216</v>
      </c>
      <c r="B6277" s="138">
        <f>'Acct Summary 7-8'!D83</f>
        <v>-6.6289442937063575E-4</v>
      </c>
      <c r="D6277" s="2" t="str">
        <f t="shared" si="97"/>
        <v>Error?</v>
      </c>
      <c r="E6277" s="2" t="s">
        <v>199</v>
      </c>
    </row>
    <row r="6278" spans="1:5" x14ac:dyDescent="0.2">
      <c r="A6278">
        <v>6217</v>
      </c>
      <c r="B6278" s="138">
        <f>'Acct Summary 7-8'!E83</f>
        <v>0.19036936388750855</v>
      </c>
      <c r="D6278" s="2" t="str">
        <f t="shared" si="97"/>
        <v>Error?</v>
      </c>
      <c r="E6278" s="2" t="s">
        <v>199</v>
      </c>
    </row>
    <row r="6279" spans="1:5" x14ac:dyDescent="0.2">
      <c r="A6279">
        <v>6218</v>
      </c>
      <c r="B6279" s="138">
        <f>'Acct Summary 7-8'!F83</f>
        <v>0.17837183437890455</v>
      </c>
      <c r="D6279" s="2" t="str">
        <f t="shared" si="97"/>
        <v>Error?</v>
      </c>
      <c r="E6279" s="2" t="s">
        <v>199</v>
      </c>
    </row>
    <row r="6280" spans="1:5" x14ac:dyDescent="0.2">
      <c r="A6280">
        <v>6219</v>
      </c>
      <c r="B6280" s="138">
        <f>'Acct Summary 7-8'!G83</f>
        <v>0.13176133030813347</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6.4926722406107099E-2</v>
      </c>
      <c r="D6282" s="2" t="str">
        <f t="shared" si="97"/>
        <v>Error?</v>
      </c>
      <c r="E6282" s="2" t="s">
        <v>199</v>
      </c>
    </row>
    <row r="6283" spans="1:5" x14ac:dyDescent="0.2">
      <c r="A6283">
        <v>6222</v>
      </c>
      <c r="B6283" s="138">
        <f>'Acct Summary 7-8'!J83</f>
        <v>-4.4690041327822956E-2</v>
      </c>
      <c r="D6283" s="2" t="str">
        <f t="shared" si="97"/>
        <v>Error?</v>
      </c>
      <c r="E6283" s="2" t="s">
        <v>199</v>
      </c>
    </row>
    <row r="6284" spans="1:5" x14ac:dyDescent="0.2">
      <c r="A6284">
        <v>6223</v>
      </c>
      <c r="B6284" s="138">
        <f>'Acct Summary 7-8'!K83</f>
        <v>-1.6723509727402606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814100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814100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7077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7077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9425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821177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270775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41470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8067</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340406</v>
      </c>
      <c r="D6848" s="2" t="str">
        <f t="shared" si="106"/>
        <v>Error?</v>
      </c>
    </row>
    <row r="6849" spans="1:4" x14ac:dyDescent="0.2">
      <c r="A6849">
        <v>6788</v>
      </c>
      <c r="B6849" s="138">
        <f>'Expenditures 15-22'!I8</f>
        <v>640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196548</v>
      </c>
      <c r="D6853" s="2" t="str">
        <f t="shared" si="106"/>
        <v>Error?</v>
      </c>
    </row>
    <row r="6854" spans="1:4" x14ac:dyDescent="0.2">
      <c r="A6854">
        <v>6793</v>
      </c>
      <c r="B6854" s="138">
        <f>'Expenditures 15-22'!I10</f>
        <v>21331</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541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72049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1399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2100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3499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677</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677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503</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11683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12186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1031</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95563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96594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112956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4235</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34225</v>
      </c>
      <c r="D6987" s="2" t="str">
        <f t="shared" si="108"/>
        <v>Error?</v>
      </c>
    </row>
    <row r="6988" spans="1:4" x14ac:dyDescent="0.2">
      <c r="A6988">
        <v>6927</v>
      </c>
      <c r="B6988" s="138">
        <f>'Expenditures 15-22'!K88</f>
        <v>34225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34225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189240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854699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821177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21145</v>
      </c>
      <c r="D7077" s="2" t="str">
        <f t="shared" si="109"/>
        <v>Error?</v>
      </c>
    </row>
    <row r="7078" spans="1:4" x14ac:dyDescent="0.2">
      <c r="A7078">
        <v>7017</v>
      </c>
      <c r="B7078" s="138">
        <f>'Expenditures 15-22'!K220</f>
        <v>21145</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476642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476642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86684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86684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30090</v>
      </c>
      <c r="D7156" s="2" t="str">
        <f t="shared" si="110"/>
        <v>Error?</v>
      </c>
    </row>
    <row r="7157" spans="1:4" x14ac:dyDescent="0.2">
      <c r="A7157">
        <v>7096</v>
      </c>
      <c r="B7157" s="138">
        <f>'Expenditures 15-22'!F323</f>
        <v>4425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34515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41162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41162</v>
      </c>
      <c r="D7198" s="2" t="str">
        <f t="shared" si="111"/>
        <v>Error?</v>
      </c>
    </row>
    <row r="7199" spans="1:4" x14ac:dyDescent="0.2">
      <c r="A7199">
        <v>7138</v>
      </c>
      <c r="B7199" s="138">
        <f>'Expenditures 15-22'!C330</f>
        <v>300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849974</v>
      </c>
      <c r="D7201" s="2" t="str">
        <f t="shared" si="111"/>
        <v>Error?</v>
      </c>
    </row>
    <row r="7202" spans="1:4" x14ac:dyDescent="0.2">
      <c r="A7202">
        <v>7141</v>
      </c>
      <c r="B7202" s="138">
        <f>'Expenditures 15-22'!F330</f>
        <v>4425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854699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849974</v>
      </c>
      <c r="D7218" s="2" t="str">
        <f t="shared" si="111"/>
        <v>Error?</v>
      </c>
    </row>
    <row r="7219" spans="1:4" x14ac:dyDescent="0.2">
      <c r="A7219">
        <v>7158</v>
      </c>
      <c r="B7219" s="138">
        <f>'Expenditures 15-22'!F342</f>
        <v>4425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854699</v>
      </c>
      <c r="D7224" s="2" t="str">
        <f t="shared" si="111"/>
        <v>Error?</v>
      </c>
    </row>
    <row r="7225" spans="1:4" x14ac:dyDescent="0.2">
      <c r="A7225">
        <v>7164</v>
      </c>
      <c r="B7225" s="138">
        <f>'Expenditures 15-22'!K343</f>
        <v>-33522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56734</v>
      </c>
      <c r="D7246" s="2" t="str">
        <f t="shared" si="112"/>
        <v>Error?</v>
      </c>
    </row>
    <row r="7247" spans="1:4" x14ac:dyDescent="0.2">
      <c r="A7247">
        <f t="shared" si="113"/>
        <v>7186</v>
      </c>
      <c r="B7247" s="138">
        <f>'Expenditures 15-22'!E7</f>
        <v>1849</v>
      </c>
      <c r="D7247" s="2" t="str">
        <f t="shared" si="112"/>
        <v>Error?</v>
      </c>
    </row>
    <row r="7248" spans="1:4" x14ac:dyDescent="0.2">
      <c r="A7248">
        <f t="shared" si="113"/>
        <v>7187</v>
      </c>
      <c r="B7248" s="138">
        <f>'Expenditures 15-22'!F7</f>
        <v>2981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196548</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384502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384502</v>
      </c>
      <c r="D7618" s="2" t="str">
        <f t="shared" si="124"/>
        <v>Error?</v>
      </c>
      <c r="E7618" s="2" t="s">
        <v>19</v>
      </c>
    </row>
    <row r="7619" spans="1:5" x14ac:dyDescent="0.2">
      <c r="A7619">
        <f t="shared" si="123"/>
        <v>7558</v>
      </c>
      <c r="B7619" s="138">
        <f>'Cap Outlay Deprec 26'!H14</f>
        <v>383525</v>
      </c>
      <c r="D7619" s="2" t="str">
        <f t="shared" si="124"/>
        <v>Error?</v>
      </c>
      <c r="E7619" s="2" t="s">
        <v>19</v>
      </c>
    </row>
    <row r="7620" spans="1:5" x14ac:dyDescent="0.2">
      <c r="A7620">
        <f t="shared" si="123"/>
        <v>7559</v>
      </c>
      <c r="B7620" s="138">
        <f>'Cap Outlay Deprec 26'!I14</f>
        <v>977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384502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189240</v>
      </c>
      <c r="D7624" s="2" t="str">
        <f t="shared" si="124"/>
        <v>Error?</v>
      </c>
      <c r="E7624" s="2" t="s">
        <v>19</v>
      </c>
    </row>
    <row r="7625" spans="1:5" x14ac:dyDescent="0.2">
      <c r="A7625">
        <f t="shared" si="123"/>
        <v>7564</v>
      </c>
      <c r="B7625" s="138">
        <f>'Cap Outlay Deprec 26'!I17</f>
        <v>18924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1599014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49428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215396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215396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75955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75955</v>
      </c>
      <c r="D7719" s="2" t="str">
        <f t="shared" si="126"/>
        <v>Error?</v>
      </c>
      <c r="E7719" s="2" t="s">
        <v>881</v>
      </c>
    </row>
    <row r="7720" spans="1:6" x14ac:dyDescent="0.2">
      <c r="A7720">
        <v>7659</v>
      </c>
      <c r="B7720" s="138">
        <f>'Rest Tax Levies-Tort Im 25'!H14</f>
        <v>216983</v>
      </c>
      <c r="D7720" s="2" t="str">
        <f t="shared" si="126"/>
        <v>Error?</v>
      </c>
      <c r="E7720" s="2" t="s">
        <v>881</v>
      </c>
    </row>
    <row r="7721" spans="1:6" x14ac:dyDescent="0.2">
      <c r="A7721">
        <v>7660</v>
      </c>
      <c r="B7721" s="138">
        <f>'Rest Tax Levies-Tort Im 25'!K14</f>
        <v>75955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3136757</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3099727</v>
      </c>
      <c r="D7797" s="2" t="str">
        <f t="shared" si="127"/>
        <v>Error?</v>
      </c>
      <c r="E7797" s="4" t="s">
        <v>2017</v>
      </c>
    </row>
    <row r="7798" spans="1:5" x14ac:dyDescent="0.2">
      <c r="A7798">
        <v>7737</v>
      </c>
      <c r="B7798" s="138">
        <f>'Contracts Paid in CY 29'!F141</f>
        <v>865045</v>
      </c>
      <c r="D7798" s="2" t="str">
        <f t="shared" si="127"/>
        <v>Error?</v>
      </c>
      <c r="E7798" s="4" t="s">
        <v>2017</v>
      </c>
    </row>
    <row r="7799" spans="1:5" x14ac:dyDescent="0.2">
      <c r="A7799">
        <v>7738</v>
      </c>
      <c r="B7799" s="138">
        <f>'Contracts Paid in CY 29'!G141</f>
        <v>2016815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8" zoomScale="110" zoomScaleNormal="110" workbookViewId="0">
      <selection activeCell="A2" sqref="A2:L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Rock Island - Milan School District #41</v>
      </c>
      <c r="B7" s="2408"/>
      <c r="C7" s="2408"/>
      <c r="D7" s="2445"/>
      <c r="E7" s="2446" t="str">
        <f>COVER!A13</f>
        <v>49-081-0410-25</v>
      </c>
      <c r="F7" s="2447"/>
      <c r="G7" s="2414" t="str">
        <f>COVER!T23</f>
        <v>066.004397</v>
      </c>
      <c r="H7" s="2415"/>
      <c r="I7" s="2415"/>
      <c r="J7" s="2415"/>
      <c r="K7" s="2415"/>
      <c r="L7" s="241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Bohnsack &amp; Frommelt LLP</v>
      </c>
      <c r="H9" s="2421"/>
      <c r="I9" s="2421"/>
      <c r="J9" s="2421"/>
      <c r="K9" s="2421"/>
      <c r="L9" s="2422"/>
    </row>
    <row r="10" spans="1:29" ht="13.5" customHeight="1" x14ac:dyDescent="0.2">
      <c r="A10" s="2404" t="str">
        <f>COVER!A38</f>
        <v>Dr. Michael Oberhaus</v>
      </c>
      <c r="B10" s="2405"/>
      <c r="C10" s="2405"/>
      <c r="D10" s="2405"/>
      <c r="E10" s="2405"/>
      <c r="F10" s="2406"/>
      <c r="G10" s="2420" t="str">
        <f>COVER!T17</f>
        <v>1500 River Drive, Suite 200</v>
      </c>
      <c r="H10" s="2433"/>
      <c r="I10" s="2433"/>
      <c r="J10" s="2433"/>
      <c r="K10" s="2433"/>
      <c r="L10" s="2434"/>
    </row>
    <row r="11" spans="1:29" ht="13.5" customHeight="1" x14ac:dyDescent="0.2">
      <c r="A11" s="1185" t="s">
        <v>1599</v>
      </c>
      <c r="B11" s="1186"/>
      <c r="C11" s="1187"/>
      <c r="D11" s="1192"/>
      <c r="E11" s="1187"/>
      <c r="F11" s="1191"/>
      <c r="G11" s="2420" t="str">
        <f>COVER!T19</f>
        <v>Moline</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Sarah@Governmenetalservice.com</v>
      </c>
      <c r="J13" s="2442"/>
      <c r="K13" s="2442"/>
      <c r="L13" s="2443"/>
    </row>
    <row r="14" spans="1:29" ht="13.5" customHeight="1" x14ac:dyDescent="0.2">
      <c r="A14" s="2420" t="str">
        <f>COVER!A19</f>
        <v>2101 Sixth Avenue</v>
      </c>
      <c r="B14" s="2433"/>
      <c r="C14" s="2433"/>
      <c r="D14" s="2433"/>
      <c r="E14" s="2433"/>
      <c r="F14" s="2434"/>
      <c r="G14" s="1196" t="s">
        <v>1247</v>
      </c>
      <c r="H14" s="1194"/>
      <c r="I14" s="1194"/>
      <c r="J14" s="1194"/>
      <c r="K14" s="1194"/>
      <c r="L14" s="1195"/>
    </row>
    <row r="15" spans="1:29" ht="13.5" customHeight="1" x14ac:dyDescent="0.2">
      <c r="A15" s="2420" t="str">
        <f>COVER!A21</f>
        <v>Rock Island</v>
      </c>
      <c r="B15" s="2433"/>
      <c r="C15" s="2433"/>
      <c r="D15" s="2433"/>
      <c r="E15" s="2433"/>
      <c r="F15" s="2434"/>
      <c r="G15" s="2430" t="str">
        <f>COVER!T15</f>
        <v>Sarah Bohnsack</v>
      </c>
      <c r="H15" s="2431"/>
      <c r="I15" s="2431"/>
      <c r="J15" s="2431"/>
      <c r="K15" s="2431"/>
      <c r="L15" s="2432"/>
    </row>
    <row r="16" spans="1:29" ht="12.2" customHeight="1" x14ac:dyDescent="0.2">
      <c r="A16" s="2410">
        <f>COVER!A25</f>
        <v>61201</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563-343-9595</v>
      </c>
      <c r="H18" s="2408"/>
      <c r="I18" s="2408"/>
      <c r="J18" s="2408"/>
      <c r="K18" s="2407">
        <f>COVER!X21</f>
        <v>0</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1"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Rock Island - Milan School District #41</v>
      </c>
      <c r="B1" s="2444"/>
      <c r="C1" s="2444"/>
      <c r="D1" s="2444"/>
    </row>
    <row r="2" spans="1:11" s="1215" customFormat="1" ht="12.75" x14ac:dyDescent="0.2">
      <c r="A2" s="2449" t="str">
        <f>'Single Audit Cover'!E7</f>
        <v>49-081-0410-25</v>
      </c>
      <c r="B2" s="2450"/>
      <c r="C2" s="2450"/>
      <c r="D2" s="2450"/>
    </row>
    <row r="3" spans="1:11" s="1215" customFormat="1" ht="12.75" x14ac:dyDescent="0.2">
      <c r="A3" s="2448" t="s">
        <v>1593</v>
      </c>
      <c r="B3" s="2444"/>
      <c r="C3" s="2444"/>
      <c r="D3" s="244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Rock Island - Milan School District #41</v>
      </c>
      <c r="B1" s="2452"/>
      <c r="C1" s="2452"/>
      <c r="D1" s="2452"/>
      <c r="E1" s="2452"/>
    </row>
    <row r="2" spans="1:5" x14ac:dyDescent="0.2">
      <c r="A2" s="2453" t="str">
        <f>'Single Audit Cover'!E7</f>
        <v>49-081-0410-25</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11692439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315204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-364400</v>
      </c>
    </row>
    <row r="19" spans="1:4" ht="13.5" thickBot="1" x14ac:dyDescent="0.25">
      <c r="A19" s="1265" t="s">
        <v>1297</v>
      </c>
      <c r="D19" s="1266">
        <f>SUM(D10:D17)</f>
        <v>11643243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11643243</v>
      </c>
    </row>
    <row r="33" spans="1:4" x14ac:dyDescent="0.2">
      <c r="D33" s="1269"/>
    </row>
    <row r="34" spans="1:4" x14ac:dyDescent="0.2">
      <c r="A34" s="317" t="s">
        <v>1294</v>
      </c>
    </row>
    <row r="35" spans="1:4" x14ac:dyDescent="0.2">
      <c r="A35" s="317" t="s">
        <v>1293</v>
      </c>
      <c r="B35" s="1258" t="s">
        <v>1292</v>
      </c>
      <c r="D35" s="1270">
        <f>+' SEFA (4)'!F26</f>
        <v>11649431</v>
      </c>
    </row>
    <row r="37" spans="1:4" x14ac:dyDescent="0.2">
      <c r="A37" s="1260" t="s">
        <v>1291</v>
      </c>
    </row>
    <row r="39" spans="1:4" ht="13.35" customHeight="1" x14ac:dyDescent="0.2">
      <c r="A39" s="1267" t="s">
        <v>1290</v>
      </c>
    </row>
    <row r="40" spans="1:4" x14ac:dyDescent="0.2">
      <c r="A40" s="2451" t="s">
        <v>2171</v>
      </c>
      <c r="B40" s="2451"/>
      <c r="D40" s="1268">
        <v>-6188</v>
      </c>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11643243</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Rock Island - Milan School District #41</v>
      </c>
      <c r="B1" s="2457"/>
      <c r="C1" s="2457"/>
      <c r="D1" s="2457"/>
      <c r="E1" s="2457"/>
      <c r="F1" s="2457"/>
    </row>
    <row r="2" spans="1:7" ht="13.5" customHeight="1" x14ac:dyDescent="0.2">
      <c r="A2" s="2458" t="str">
        <f>'Single Audit Cover'!E7</f>
        <v>49-081-0410-25</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2172</v>
      </c>
      <c r="B7" s="2456"/>
      <c r="C7" s="2456"/>
      <c r="D7" s="2456"/>
      <c r="E7" s="2456"/>
      <c r="F7" s="245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2173</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24" customHeight="1" x14ac:dyDescent="0.2">
      <c r="A13" s="2456" t="s">
        <v>2174</v>
      </c>
      <c r="B13" s="2456"/>
      <c r="C13" s="2456"/>
      <c r="D13" s="2456"/>
      <c r="E13" s="2456"/>
      <c r="F13" s="2456"/>
    </row>
    <row r="14" spans="1:7" ht="9.75" customHeight="1" x14ac:dyDescent="0.2">
      <c r="C14" s="1260"/>
      <c r="D14" s="1260"/>
    </row>
    <row r="15" spans="1:7" ht="13.5" customHeight="1" x14ac:dyDescent="0.2">
      <c r="C15" s="1867" t="s">
        <v>1332</v>
      </c>
      <c r="D15" s="2462" t="s">
        <v>1331</v>
      </c>
      <c r="E15" s="2462"/>
      <c r="F15" s="2462"/>
    </row>
    <row r="16" spans="1:7" ht="13.5" customHeight="1" x14ac:dyDescent="0.2">
      <c r="A16" s="1282"/>
      <c r="B16" s="1276" t="s">
        <v>1330</v>
      </c>
      <c r="C16" s="1867" t="s">
        <v>1329</v>
      </c>
      <c r="D16" s="2463" t="s">
        <v>1670</v>
      </c>
      <c r="E16" s="2463"/>
      <c r="F16" s="2463"/>
    </row>
    <row r="17" spans="1:6" ht="20.45" customHeight="1" x14ac:dyDescent="0.2">
      <c r="A17" s="1283"/>
      <c r="B17" s="1284" t="s">
        <v>2175</v>
      </c>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65" t="s">
        <v>2176</v>
      </c>
      <c r="B32" s="2465"/>
      <c r="C32" s="2465"/>
      <c r="D32" s="2465"/>
      <c r="E32" s="2465"/>
      <c r="F32" s="2465"/>
    </row>
    <row r="33" spans="1:6" ht="13.5" customHeight="1" x14ac:dyDescent="0.2">
      <c r="A33" s="328" t="s">
        <v>1509</v>
      </c>
      <c r="B33" s="328"/>
      <c r="C33" s="1288">
        <v>230257</v>
      </c>
      <c r="D33" s="1924"/>
      <c r="E33" s="1286"/>
    </row>
    <row r="34" spans="1:6" ht="13.5" customHeight="1" x14ac:dyDescent="0.2">
      <c r="A34" s="328" t="s">
        <v>1946</v>
      </c>
      <c r="B34" s="328"/>
      <c r="C34" s="1289">
        <v>84947</v>
      </c>
      <c r="D34" s="1924" t="s">
        <v>1671</v>
      </c>
      <c r="E34" s="2466">
        <f>+C33+C34</f>
        <v>315204</v>
      </c>
      <c r="F34" s="2467"/>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v>0</v>
      </c>
      <c r="D38" s="1924"/>
      <c r="E38" s="1286"/>
    </row>
    <row r="39" spans="1:6" ht="14.25" customHeight="1" x14ac:dyDescent="0.2">
      <c r="A39" s="328"/>
      <c r="B39" s="328" t="s">
        <v>1511</v>
      </c>
      <c r="C39" s="1292">
        <v>0</v>
      </c>
      <c r="D39" s="1924"/>
      <c r="E39" s="1286"/>
    </row>
    <row r="40" spans="1:6" ht="14.25" customHeight="1" x14ac:dyDescent="0.2">
      <c r="A40" s="328"/>
      <c r="B40" s="328" t="s">
        <v>1512</v>
      </c>
      <c r="C40" s="1292">
        <v>0</v>
      </c>
      <c r="D40" s="1924"/>
      <c r="E40" s="1286"/>
    </row>
    <row r="41" spans="1:6" ht="14.25" customHeight="1" x14ac:dyDescent="0.2">
      <c r="A41" s="328"/>
      <c r="B41" s="328" t="s">
        <v>1513</v>
      </c>
      <c r="C41" s="1292">
        <v>0</v>
      </c>
      <c r="D41" s="1924"/>
      <c r="E41" s="1286"/>
    </row>
    <row r="42" spans="1:6" ht="14.25" customHeight="1" x14ac:dyDescent="0.2">
      <c r="A42" s="328" t="s">
        <v>1514</v>
      </c>
      <c r="B42" s="328"/>
      <c r="C42" s="1922">
        <v>0</v>
      </c>
      <c r="D42" s="1924"/>
      <c r="E42" s="1286"/>
    </row>
    <row r="43" spans="1:6" ht="14.25" customHeight="1" x14ac:dyDescent="0.2">
      <c r="A43" s="328" t="s">
        <v>1515</v>
      </c>
      <c r="B43" s="328"/>
      <c r="C43" s="1293" t="s">
        <v>593</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1672</v>
      </c>
      <c r="C49" s="2468"/>
      <c r="D49" s="2468"/>
      <c r="E49" s="1399"/>
    </row>
    <row r="50" spans="1:5" s="1300" customFormat="1" ht="3.75" customHeight="1" x14ac:dyDescent="0.2">
      <c r="A50" s="1299"/>
      <c r="B50" s="1866"/>
      <c r="C50" s="1866"/>
      <c r="D50" s="1866"/>
      <c r="E50" s="1399"/>
    </row>
    <row r="51" spans="1:5" s="1300" customFormat="1" ht="20.25" customHeight="1" x14ac:dyDescent="0.2">
      <c r="A51" s="1301">
        <v>6</v>
      </c>
      <c r="B51" s="2464" t="s">
        <v>1632</v>
      </c>
      <c r="C51" s="2464"/>
      <c r="D51" s="2464"/>
    </row>
    <row r="52" spans="1:5" ht="14.25" customHeight="1" x14ac:dyDescent="0.2">
      <c r="A52" s="1301"/>
      <c r="B52" s="2464"/>
      <c r="C52" s="2464"/>
      <c r="D52" s="24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4" firstPageNumber="39" orientation="portrait" useFirstPageNumber="1" r:id="rId1"/>
  <headerFooter alignWithMargins="0">
    <oddHeader>&amp;L&amp;8Page 41&amp;R&amp;8Page 41</oddHeader>
  </headerFooter>
  <ignoredErrors>
    <ignoredError sqref="E3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1:N152"/>
  <sheetViews>
    <sheetView showGridLines="0" topLeftCell="A4" zoomScaleNormal="100" workbookViewId="0">
      <selection activeCell="F14" sqref="F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Rock Island - Milan School District #41</v>
      </c>
      <c r="C1" s="2469"/>
      <c r="D1" s="2469"/>
      <c r="E1" s="2469"/>
      <c r="F1" s="2469"/>
      <c r="G1" s="2469"/>
      <c r="H1" s="2469"/>
      <c r="I1" s="2469"/>
      <c r="J1" s="2469"/>
      <c r="K1" s="2469"/>
      <c r="L1" s="2469"/>
      <c r="M1" s="2469"/>
    </row>
    <row r="2" spans="2:14" ht="15" x14ac:dyDescent="0.2">
      <c r="B2" s="2458" t="str">
        <f>'Single Audit Cover'!E7</f>
        <v>49-081-0410-25</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2099</v>
      </c>
      <c r="C11" s="1338"/>
      <c r="D11" s="1339"/>
      <c r="E11" s="1340"/>
      <c r="F11" s="1340"/>
      <c r="G11" s="1340"/>
      <c r="H11" s="1340"/>
      <c r="I11" s="1340"/>
      <c r="J11" s="1340"/>
      <c r="K11" s="1340"/>
      <c r="L11" s="1340">
        <f>+G11+I11+K11</f>
        <v>0</v>
      </c>
      <c r="M11" s="1340"/>
    </row>
    <row r="12" spans="2:14" ht="20.100000000000001" customHeight="1" x14ac:dyDescent="0.2">
      <c r="B12" s="1337" t="s">
        <v>2100</v>
      </c>
      <c r="C12" s="1341"/>
      <c r="D12" s="1342"/>
      <c r="E12" s="1343"/>
      <c r="F12" s="1343"/>
      <c r="G12" s="1343"/>
      <c r="H12" s="1343"/>
      <c r="I12" s="1343"/>
      <c r="J12" s="1343"/>
      <c r="K12" s="1343"/>
      <c r="L12" s="1340">
        <f t="shared" ref="L12:L26" si="0">+G12+I12+K12</f>
        <v>0</v>
      </c>
      <c r="M12" s="1343"/>
    </row>
    <row r="13" spans="2:14" ht="20.100000000000001" customHeight="1" x14ac:dyDescent="0.2">
      <c r="B13" s="1337" t="s">
        <v>2101</v>
      </c>
      <c r="C13" s="1341"/>
      <c r="D13" s="1342"/>
      <c r="E13" s="1343"/>
      <c r="F13" s="1343"/>
      <c r="G13" s="1343"/>
      <c r="H13" s="1343"/>
      <c r="I13" s="1343"/>
      <c r="J13" s="1343"/>
      <c r="K13" s="1343"/>
      <c r="L13" s="1340">
        <f t="shared" si="0"/>
        <v>0</v>
      </c>
      <c r="M13" s="1343"/>
    </row>
    <row r="14" spans="2:14" ht="20.100000000000001" customHeight="1" x14ac:dyDescent="0.2">
      <c r="B14" s="1337" t="s">
        <v>1119</v>
      </c>
      <c r="C14" s="1341">
        <v>10.553000000000001</v>
      </c>
      <c r="D14" s="1342" t="s">
        <v>2105</v>
      </c>
      <c r="E14" s="1343">
        <v>564254</v>
      </c>
      <c r="F14" s="1343">
        <v>182929</v>
      </c>
      <c r="G14" s="1343">
        <v>564254</v>
      </c>
      <c r="H14" s="1343">
        <v>0</v>
      </c>
      <c r="I14" s="1343">
        <v>182929</v>
      </c>
      <c r="J14" s="1343">
        <v>0</v>
      </c>
      <c r="K14" s="1343">
        <v>0</v>
      </c>
      <c r="L14" s="1340">
        <f t="shared" si="0"/>
        <v>747183</v>
      </c>
      <c r="M14" s="1343" t="s">
        <v>2109</v>
      </c>
    </row>
    <row r="15" spans="2:14" ht="20.100000000000001" customHeight="1" x14ac:dyDescent="0.2">
      <c r="B15" s="1337" t="s">
        <v>1119</v>
      </c>
      <c r="C15" s="1341">
        <v>10.553000000000001</v>
      </c>
      <c r="D15" s="1342" t="s">
        <v>2142</v>
      </c>
      <c r="E15" s="1343">
        <v>0</v>
      </c>
      <c r="F15" s="1343">
        <v>612924</v>
      </c>
      <c r="G15" s="1343">
        <v>0</v>
      </c>
      <c r="H15" s="1343">
        <v>0</v>
      </c>
      <c r="I15" s="1343">
        <v>612924</v>
      </c>
      <c r="J15" s="1343">
        <v>0</v>
      </c>
      <c r="K15" s="1343">
        <v>0</v>
      </c>
      <c r="L15" s="1340">
        <f t="shared" si="0"/>
        <v>612924</v>
      </c>
      <c r="M15" s="1343" t="s">
        <v>2109</v>
      </c>
    </row>
    <row r="16" spans="2:14" ht="20.100000000000001" customHeight="1" x14ac:dyDescent="0.2">
      <c r="B16" s="1337" t="s">
        <v>1118</v>
      </c>
      <c r="C16" s="1341">
        <v>10.555</v>
      </c>
      <c r="D16" s="1342" t="s">
        <v>2106</v>
      </c>
      <c r="E16" s="1343">
        <v>2074643</v>
      </c>
      <c r="F16" s="1343">
        <v>634852</v>
      </c>
      <c r="G16" s="1343">
        <v>2074643</v>
      </c>
      <c r="H16" s="1343">
        <v>0</v>
      </c>
      <c r="I16" s="1343">
        <v>634852</v>
      </c>
      <c r="J16" s="1343">
        <v>0</v>
      </c>
      <c r="K16" s="1343">
        <v>0</v>
      </c>
      <c r="L16" s="1340">
        <f t="shared" si="0"/>
        <v>2709495</v>
      </c>
      <c r="M16" s="1343" t="s">
        <v>2109</v>
      </c>
    </row>
    <row r="17" spans="2:14" ht="20.100000000000001" customHeight="1" x14ac:dyDescent="0.2">
      <c r="B17" s="1337" t="s">
        <v>1118</v>
      </c>
      <c r="C17" s="1341">
        <v>10.555</v>
      </c>
      <c r="D17" s="1342" t="s">
        <v>2143</v>
      </c>
      <c r="E17" s="1343">
        <v>0</v>
      </c>
      <c r="F17" s="1343">
        <v>2070501</v>
      </c>
      <c r="G17" s="1343">
        <v>0</v>
      </c>
      <c r="H17" s="1343">
        <v>0</v>
      </c>
      <c r="I17" s="1343">
        <v>2070501</v>
      </c>
      <c r="J17" s="1343">
        <v>0</v>
      </c>
      <c r="K17" s="1343">
        <v>0</v>
      </c>
      <c r="L17" s="1340">
        <f t="shared" si="0"/>
        <v>2070501</v>
      </c>
      <c r="M17" s="1343" t="s">
        <v>2109</v>
      </c>
    </row>
    <row r="18" spans="2:14" ht="20.100000000000001" customHeight="1" x14ac:dyDescent="0.2">
      <c r="B18" s="1337" t="s">
        <v>2102</v>
      </c>
      <c r="C18" s="1341">
        <v>10.555</v>
      </c>
      <c r="D18" s="1342" t="s">
        <v>2144</v>
      </c>
      <c r="E18" s="1343">
        <v>0</v>
      </c>
      <c r="F18" s="1343">
        <v>230257</v>
      </c>
      <c r="G18" s="1343">
        <v>0</v>
      </c>
      <c r="H18" s="1343">
        <v>0</v>
      </c>
      <c r="I18" s="1343">
        <v>230257</v>
      </c>
      <c r="J18" s="1343">
        <v>0</v>
      </c>
      <c r="K18" s="1343">
        <v>0</v>
      </c>
      <c r="L18" s="1340">
        <f t="shared" si="0"/>
        <v>230257</v>
      </c>
      <c r="M18" s="1343" t="s">
        <v>2109</v>
      </c>
    </row>
    <row r="19" spans="2:14" ht="20.100000000000001" customHeight="1" x14ac:dyDescent="0.2">
      <c r="B19" s="1337" t="s">
        <v>2103</v>
      </c>
      <c r="C19" s="1341">
        <v>10.555</v>
      </c>
      <c r="D19" s="1342" t="s">
        <v>2144</v>
      </c>
      <c r="E19" s="1343">
        <v>0</v>
      </c>
      <c r="F19" s="1343">
        <v>84947</v>
      </c>
      <c r="G19" s="1343">
        <v>0</v>
      </c>
      <c r="H19" s="1343">
        <v>0</v>
      </c>
      <c r="I19" s="1343">
        <v>84947</v>
      </c>
      <c r="J19" s="1343">
        <v>0</v>
      </c>
      <c r="K19" s="1343">
        <v>0</v>
      </c>
      <c r="L19" s="1340">
        <f t="shared" si="0"/>
        <v>84947</v>
      </c>
      <c r="M19" s="1343" t="s">
        <v>2109</v>
      </c>
    </row>
    <row r="20" spans="2:14" ht="20.100000000000001" customHeight="1" x14ac:dyDescent="0.2">
      <c r="B20" s="1337" t="s">
        <v>1107</v>
      </c>
      <c r="C20" s="1341">
        <v>10.555999999999999</v>
      </c>
      <c r="D20" s="1342" t="s">
        <v>2107</v>
      </c>
      <c r="E20" s="1343">
        <v>1611</v>
      </c>
      <c r="F20" s="1343">
        <v>342</v>
      </c>
      <c r="G20" s="1343">
        <v>1611</v>
      </c>
      <c r="H20" s="1343">
        <v>0</v>
      </c>
      <c r="I20" s="1343">
        <v>342</v>
      </c>
      <c r="J20" s="1343">
        <v>0</v>
      </c>
      <c r="K20" s="1343">
        <v>0</v>
      </c>
      <c r="L20" s="1340">
        <f t="shared" si="0"/>
        <v>1953</v>
      </c>
      <c r="M20" s="1343" t="s">
        <v>2109</v>
      </c>
    </row>
    <row r="21" spans="2:14" ht="20.100000000000001" customHeight="1" x14ac:dyDescent="0.2">
      <c r="B21" s="1337" t="s">
        <v>1107</v>
      </c>
      <c r="C21" s="1341">
        <v>10.555999999999999</v>
      </c>
      <c r="D21" s="1342" t="s">
        <v>2145</v>
      </c>
      <c r="E21" s="1343">
        <v>0</v>
      </c>
      <c r="F21" s="1343">
        <v>1528</v>
      </c>
      <c r="G21" s="1343">
        <v>0</v>
      </c>
      <c r="H21" s="1343">
        <v>0</v>
      </c>
      <c r="I21" s="1343">
        <v>1528</v>
      </c>
      <c r="J21" s="1343">
        <v>0</v>
      </c>
      <c r="K21" s="1343">
        <v>0</v>
      </c>
      <c r="L21" s="1340">
        <f t="shared" si="0"/>
        <v>1528</v>
      </c>
      <c r="M21" s="1343" t="s">
        <v>2109</v>
      </c>
    </row>
    <row r="22" spans="2:14" ht="20.100000000000001" customHeight="1" x14ac:dyDescent="0.2">
      <c r="B22" s="1337" t="s">
        <v>1526</v>
      </c>
      <c r="C22" s="1341">
        <v>10.558999999999999</v>
      </c>
      <c r="D22" s="1342" t="s">
        <v>2108</v>
      </c>
      <c r="E22" s="1343">
        <v>9177</v>
      </c>
      <c r="F22" s="1343">
        <v>1812</v>
      </c>
      <c r="G22" s="1343">
        <v>9177</v>
      </c>
      <c r="H22" s="1343">
        <v>0</v>
      </c>
      <c r="I22" s="1343">
        <v>1812</v>
      </c>
      <c r="J22" s="1343">
        <v>0</v>
      </c>
      <c r="K22" s="1343">
        <v>0</v>
      </c>
      <c r="L22" s="1340">
        <f t="shared" si="0"/>
        <v>10989</v>
      </c>
      <c r="M22" s="1343" t="s">
        <v>2109</v>
      </c>
    </row>
    <row r="23" spans="2:14" ht="20.100000000000001" customHeight="1" x14ac:dyDescent="0.2">
      <c r="B23" s="1337" t="s">
        <v>1526</v>
      </c>
      <c r="C23" s="1341">
        <v>10.558999999999999</v>
      </c>
      <c r="D23" s="1342" t="s">
        <v>2146</v>
      </c>
      <c r="E23" s="1343">
        <v>0</v>
      </c>
      <c r="F23" s="1343">
        <v>30812</v>
      </c>
      <c r="G23" s="1343">
        <v>0</v>
      </c>
      <c r="H23" s="1343">
        <v>0</v>
      </c>
      <c r="I23" s="1343">
        <v>30812</v>
      </c>
      <c r="J23" s="1343">
        <v>0</v>
      </c>
      <c r="K23" s="1343">
        <v>0</v>
      </c>
      <c r="L23" s="1340">
        <f t="shared" si="0"/>
        <v>30812</v>
      </c>
      <c r="M23" s="1343" t="s">
        <v>2109</v>
      </c>
    </row>
    <row r="24" spans="2:14" ht="20.100000000000001" customHeight="1" x14ac:dyDescent="0.2">
      <c r="B24" s="1337" t="s">
        <v>2104</v>
      </c>
      <c r="C24" s="1341"/>
      <c r="D24" s="1342"/>
      <c r="E24" s="1343">
        <f>+E14+E15+E16+E17+E18+E19+E20+E21+E22+E23</f>
        <v>2649685</v>
      </c>
      <c r="F24" s="1343">
        <f>+F14+F15+F16+F17+F18+F19+F20+F21+F22+F23</f>
        <v>3850904</v>
      </c>
      <c r="G24" s="1343">
        <f>+G14+G15+G16+G17+G18+G19+G20+G21+G22+G23</f>
        <v>2649685</v>
      </c>
      <c r="H24" s="1343">
        <f>+H14+H15+H16+H17+H18+H19+H20+H21+H22+H23</f>
        <v>0</v>
      </c>
      <c r="I24" s="1343">
        <f>+I14+I15+I16+I17+I18+I19+I20+I21+I22+I23</f>
        <v>3850904</v>
      </c>
      <c r="J24" s="1343">
        <f>+J14+J15+J16+J17+J18+J19+J21+J20+J22+J23</f>
        <v>0</v>
      </c>
      <c r="K24" s="1343">
        <f>+K14+K15+K16+K17+K18+K19+K20+K21+K22+K23</f>
        <v>0</v>
      </c>
      <c r="L24" s="1340">
        <f>+L14+L15+L16+L17+L18+L19+L20+L21+L22+L23</f>
        <v>6500589</v>
      </c>
      <c r="M24" s="1343"/>
    </row>
    <row r="25" spans="2:14" ht="20.100000000000001" customHeight="1" x14ac:dyDescent="0.2">
      <c r="B25" s="1337" t="s">
        <v>2136</v>
      </c>
      <c r="C25" s="1341">
        <v>10.582000000000001</v>
      </c>
      <c r="D25" s="1342" t="s">
        <v>2147</v>
      </c>
      <c r="E25" s="1343">
        <v>0</v>
      </c>
      <c r="F25" s="1343">
        <v>8517</v>
      </c>
      <c r="G25" s="1343">
        <v>0</v>
      </c>
      <c r="H25" s="1343">
        <v>0</v>
      </c>
      <c r="I25" s="1343">
        <v>8517</v>
      </c>
      <c r="J25" s="1343">
        <v>0</v>
      </c>
      <c r="K25" s="1343">
        <v>0</v>
      </c>
      <c r="L25" s="1340">
        <f t="shared" si="0"/>
        <v>8517</v>
      </c>
      <c r="M25" s="1343" t="s">
        <v>2109</v>
      </c>
    </row>
    <row r="26" spans="2:14" ht="20.100000000000001" customHeight="1" x14ac:dyDescent="0.2">
      <c r="B26" s="1337" t="s">
        <v>2136</v>
      </c>
      <c r="C26" s="1341">
        <v>10.582000000000001</v>
      </c>
      <c r="D26" s="1342" t="s">
        <v>2148</v>
      </c>
      <c r="E26" s="1343">
        <v>0</v>
      </c>
      <c r="F26" s="1343">
        <v>40910</v>
      </c>
      <c r="G26" s="1343">
        <v>0</v>
      </c>
      <c r="H26" s="1343">
        <v>0</v>
      </c>
      <c r="I26" s="1343">
        <v>40910</v>
      </c>
      <c r="J26" s="1343">
        <v>0</v>
      </c>
      <c r="K26" s="1343">
        <v>0</v>
      </c>
      <c r="L26" s="1340">
        <f t="shared" si="0"/>
        <v>40910</v>
      </c>
      <c r="M26" s="1343" t="s">
        <v>2109</v>
      </c>
    </row>
    <row r="27" spans="2:14" ht="20.100000000000001" customHeight="1" x14ac:dyDescent="0.2">
      <c r="B27" s="1337" t="s">
        <v>2162</v>
      </c>
      <c r="C27" s="1341"/>
      <c r="D27" s="1342"/>
      <c r="E27" s="1343">
        <f t="shared" ref="E27:L27" si="1">+E25+E26</f>
        <v>0</v>
      </c>
      <c r="F27" s="1343">
        <f t="shared" si="1"/>
        <v>49427</v>
      </c>
      <c r="G27" s="1343">
        <f t="shared" si="1"/>
        <v>0</v>
      </c>
      <c r="H27" s="1343">
        <f t="shared" si="1"/>
        <v>0</v>
      </c>
      <c r="I27" s="1343">
        <f t="shared" si="1"/>
        <v>49427</v>
      </c>
      <c r="J27" s="1343">
        <f t="shared" si="1"/>
        <v>0</v>
      </c>
      <c r="K27" s="1343">
        <f t="shared" si="1"/>
        <v>0</v>
      </c>
      <c r="L27" s="1340">
        <f t="shared" si="1"/>
        <v>49427</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249977111117893"/>
  </sheetPr>
  <dimension ref="A1:K143"/>
  <sheetViews>
    <sheetView showGridLines="0" defaultGridColor="0" topLeftCell="A92" colorId="8" zoomScale="110" zoomScaleNormal="110" workbookViewId="0">
      <selection activeCell="H81" sqref="H8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v>0</v>
      </c>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2084</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1:N152"/>
  <sheetViews>
    <sheetView showGridLines="0"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Rock Island - Milan School District #41</v>
      </c>
      <c r="C1" s="2469"/>
      <c r="D1" s="2469"/>
      <c r="E1" s="2469"/>
      <c r="F1" s="2469"/>
      <c r="G1" s="2469"/>
      <c r="H1" s="2469"/>
      <c r="I1" s="2469"/>
      <c r="J1" s="2469"/>
      <c r="K1" s="2469"/>
      <c r="L1" s="2469"/>
      <c r="M1" s="2469"/>
    </row>
    <row r="2" spans="2:14" ht="15" x14ac:dyDescent="0.2">
      <c r="B2" s="2458" t="str">
        <f>'Single Audit Cover'!E7</f>
        <v>49-081-0410-25</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2163</v>
      </c>
      <c r="C11" s="1338">
        <v>10.558</v>
      </c>
      <c r="D11" s="1339" t="s">
        <v>2164</v>
      </c>
      <c r="E11" s="1340">
        <v>0</v>
      </c>
      <c r="F11" s="1340">
        <v>71217</v>
      </c>
      <c r="G11" s="1340">
        <v>0</v>
      </c>
      <c r="H11" s="1340">
        <v>0</v>
      </c>
      <c r="I11" s="1340">
        <v>71217</v>
      </c>
      <c r="J11" s="1340">
        <v>0</v>
      </c>
      <c r="K11" s="1340">
        <v>0</v>
      </c>
      <c r="L11" s="1340">
        <f>+G11+I11+K11</f>
        <v>71217</v>
      </c>
      <c r="M11" s="1340" t="s">
        <v>2109</v>
      </c>
    </row>
    <row r="12" spans="2:14" ht="20.100000000000001" customHeight="1" x14ac:dyDescent="0.2">
      <c r="B12" s="1954" t="s">
        <v>2137</v>
      </c>
      <c r="C12" s="1955"/>
      <c r="D12" s="1956"/>
      <c r="E12" s="1957">
        <f>+' SEFA'!E24+' SEFA'!E27+' SEFA (2)'!E11</f>
        <v>2649685</v>
      </c>
      <c r="F12" s="1957">
        <f>+' SEFA'!F24+' SEFA'!F27+' SEFA (2)'!F11</f>
        <v>3971548</v>
      </c>
      <c r="G12" s="1957">
        <f>+' SEFA'!G24+' SEFA'!G27+' SEFA (2)'!G11</f>
        <v>2649685</v>
      </c>
      <c r="H12" s="1957">
        <f>+' SEFA'!H24+' SEFA'!H27+' SEFA (2)'!H11</f>
        <v>0</v>
      </c>
      <c r="I12" s="1957">
        <f>+' SEFA'!I24+' SEFA'!I27+' SEFA (2)'!I11</f>
        <v>3971548</v>
      </c>
      <c r="J12" s="1957">
        <f>+' SEFA'!J24+' SEFA'!J27+' SEFA (2)'!J11</f>
        <v>0</v>
      </c>
      <c r="K12" s="1957">
        <f>+' SEFA'!K24+' SEFA'!K27+' SEFA (2)'!K11</f>
        <v>0</v>
      </c>
      <c r="L12" s="1958">
        <f>+' SEFA'!L24+' SEFA'!L27+' SEFA (2)'!L11</f>
        <v>6621233</v>
      </c>
      <c r="M12" s="1957"/>
    </row>
    <row r="13" spans="2:14" ht="20.100000000000001" customHeight="1" x14ac:dyDescent="0.2">
      <c r="B13" s="1337" t="s">
        <v>2110</v>
      </c>
      <c r="C13" s="1341"/>
      <c r="D13" s="1342"/>
      <c r="E13" s="1343"/>
      <c r="F13" s="1343"/>
      <c r="G13" s="1343"/>
      <c r="H13" s="1343"/>
      <c r="I13" s="1343"/>
      <c r="J13" s="1343"/>
      <c r="K13" s="1343"/>
      <c r="L13" s="1340"/>
      <c r="M13" s="1343"/>
    </row>
    <row r="14" spans="2:14" ht="20.100000000000001" customHeight="1" x14ac:dyDescent="0.2">
      <c r="B14" s="1337" t="s">
        <v>2100</v>
      </c>
      <c r="C14" s="1341"/>
      <c r="D14" s="1342"/>
      <c r="E14" s="1343"/>
      <c r="F14" s="1343"/>
      <c r="G14" s="1343"/>
      <c r="H14" s="1343"/>
      <c r="I14" s="1343"/>
      <c r="J14" s="1343"/>
      <c r="K14" s="1343"/>
      <c r="L14" s="1340"/>
      <c r="M14" s="1343"/>
    </row>
    <row r="15" spans="2:14" ht="20.100000000000001" customHeight="1" x14ac:dyDescent="0.2">
      <c r="B15" s="1337" t="s">
        <v>2161</v>
      </c>
      <c r="C15" s="1341" t="s">
        <v>2114</v>
      </c>
      <c r="D15" s="1342" t="s">
        <v>2117</v>
      </c>
      <c r="E15" s="1343">
        <v>2705511</v>
      </c>
      <c r="F15" s="1343">
        <v>181739</v>
      </c>
      <c r="G15" s="1343">
        <v>2733600</v>
      </c>
      <c r="H15" s="1343">
        <f t="shared" ref="H15:K15" si="0">+H13+H14</f>
        <v>0</v>
      </c>
      <c r="I15" s="1343">
        <v>153650</v>
      </c>
      <c r="J15" s="1343">
        <f t="shared" si="0"/>
        <v>0</v>
      </c>
      <c r="K15" s="1343">
        <f t="shared" si="0"/>
        <v>0</v>
      </c>
      <c r="L15" s="1340">
        <f>+G15+I15+K15</f>
        <v>2887250</v>
      </c>
      <c r="M15" s="1343">
        <v>3221317</v>
      </c>
    </row>
    <row r="16" spans="2:14" ht="20.100000000000001" customHeight="1" x14ac:dyDescent="0.2">
      <c r="B16" s="1337" t="s">
        <v>2161</v>
      </c>
      <c r="C16" s="1341" t="s">
        <v>2114</v>
      </c>
      <c r="D16" s="1342" t="s">
        <v>2149</v>
      </c>
      <c r="E16" s="1343">
        <v>0</v>
      </c>
      <c r="F16" s="1343">
        <v>1921494</v>
      </c>
      <c r="G16" s="1343">
        <v>0</v>
      </c>
      <c r="H16" s="1343">
        <v>0</v>
      </c>
      <c r="I16" s="1343">
        <v>1948168</v>
      </c>
      <c r="J16" s="1343">
        <v>0</v>
      </c>
      <c r="K16" s="1343">
        <v>0</v>
      </c>
      <c r="L16" s="1340">
        <f>+G16+I16+K16</f>
        <v>1948168</v>
      </c>
      <c r="M16" s="1343">
        <v>2762834</v>
      </c>
    </row>
    <row r="17" spans="2:14" ht="20.100000000000001" customHeight="1" x14ac:dyDescent="0.2">
      <c r="B17" s="1337" t="s">
        <v>2160</v>
      </c>
      <c r="C17" s="1341"/>
      <c r="D17" s="1342"/>
      <c r="E17" s="1343">
        <f t="shared" ref="E17:L17" si="1">+E15+E16</f>
        <v>2705511</v>
      </c>
      <c r="F17" s="1343">
        <f t="shared" si="1"/>
        <v>2103233</v>
      </c>
      <c r="G17" s="1343">
        <f t="shared" si="1"/>
        <v>2733600</v>
      </c>
      <c r="H17" s="1343">
        <f t="shared" si="1"/>
        <v>0</v>
      </c>
      <c r="I17" s="1343">
        <f t="shared" si="1"/>
        <v>2101818</v>
      </c>
      <c r="J17" s="1343">
        <f t="shared" si="1"/>
        <v>0</v>
      </c>
      <c r="K17" s="1343">
        <f t="shared" si="1"/>
        <v>0</v>
      </c>
      <c r="L17" s="1340">
        <f t="shared" si="1"/>
        <v>4835418</v>
      </c>
      <c r="M17" s="1343"/>
    </row>
    <row r="18" spans="2:14" ht="20.100000000000001" customHeight="1" x14ac:dyDescent="0.2">
      <c r="B18" s="1337" t="s">
        <v>2111</v>
      </c>
      <c r="C18" s="1341" t="s">
        <v>2115</v>
      </c>
      <c r="D18" s="1342" t="s">
        <v>2118</v>
      </c>
      <c r="E18" s="1343">
        <v>70824</v>
      </c>
      <c r="F18" s="1343">
        <v>1366</v>
      </c>
      <c r="G18" s="1343">
        <v>70824</v>
      </c>
      <c r="H18" s="1343">
        <v>0</v>
      </c>
      <c r="I18" s="1343">
        <v>1366</v>
      </c>
      <c r="J18" s="1343">
        <v>0</v>
      </c>
      <c r="K18" s="1343">
        <v>0</v>
      </c>
      <c r="L18" s="1340">
        <f t="shared" ref="L18:L26" si="2">+G18+I18+K18</f>
        <v>72190</v>
      </c>
      <c r="M18" s="1343">
        <v>72190</v>
      </c>
    </row>
    <row r="19" spans="2:14" ht="20.100000000000001" customHeight="1" x14ac:dyDescent="0.2">
      <c r="B19" s="1337" t="s">
        <v>2111</v>
      </c>
      <c r="C19" s="1341" t="s">
        <v>2115</v>
      </c>
      <c r="D19" s="1342" t="s">
        <v>2150</v>
      </c>
      <c r="E19" s="1343">
        <v>0</v>
      </c>
      <c r="F19" s="1343">
        <v>67129</v>
      </c>
      <c r="G19" s="1343">
        <v>0</v>
      </c>
      <c r="H19" s="1343">
        <v>0</v>
      </c>
      <c r="I19" s="1343">
        <v>67129</v>
      </c>
      <c r="J19" s="1343">
        <v>0</v>
      </c>
      <c r="K19" s="1343">
        <v>0</v>
      </c>
      <c r="L19" s="1340">
        <f t="shared" si="2"/>
        <v>67129</v>
      </c>
      <c r="M19" s="1343">
        <v>68052</v>
      </c>
    </row>
    <row r="20" spans="2:14" ht="20.100000000000001" customHeight="1" x14ac:dyDescent="0.2">
      <c r="B20" s="1337" t="s">
        <v>2112</v>
      </c>
      <c r="C20" s="1341"/>
      <c r="D20" s="1342"/>
      <c r="E20" s="1343">
        <f t="shared" ref="E20:L20" si="3">+E18+E19</f>
        <v>70824</v>
      </c>
      <c r="F20" s="1343">
        <f t="shared" si="3"/>
        <v>68495</v>
      </c>
      <c r="G20" s="1343">
        <f t="shared" si="3"/>
        <v>70824</v>
      </c>
      <c r="H20" s="1343">
        <f t="shared" si="3"/>
        <v>0</v>
      </c>
      <c r="I20" s="1343">
        <f t="shared" si="3"/>
        <v>68495</v>
      </c>
      <c r="J20" s="1343">
        <f t="shared" si="3"/>
        <v>0</v>
      </c>
      <c r="K20" s="1343">
        <f t="shared" si="3"/>
        <v>0</v>
      </c>
      <c r="L20" s="1340">
        <f t="shared" si="3"/>
        <v>139319</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2170</v>
      </c>
      <c r="C22" s="1341" t="s">
        <v>2116</v>
      </c>
      <c r="D22" s="1342" t="s">
        <v>2119</v>
      </c>
      <c r="E22" s="1343">
        <v>271510</v>
      </c>
      <c r="F22" s="1343">
        <v>61193</v>
      </c>
      <c r="G22" s="1343">
        <v>307028</v>
      </c>
      <c r="H22" s="1343">
        <v>0</v>
      </c>
      <c r="I22" s="1343">
        <v>25675</v>
      </c>
      <c r="J22" s="1343">
        <v>0</v>
      </c>
      <c r="K22" s="1343">
        <v>0</v>
      </c>
      <c r="L22" s="1340">
        <f t="shared" si="2"/>
        <v>332703</v>
      </c>
      <c r="M22" s="1343">
        <v>618872</v>
      </c>
    </row>
    <row r="23" spans="2:14" ht="20.100000000000001" customHeight="1" x14ac:dyDescent="0.2">
      <c r="B23" s="1337" t="s">
        <v>2170</v>
      </c>
      <c r="C23" s="1341" t="s">
        <v>2116</v>
      </c>
      <c r="D23" s="1342" t="s">
        <v>2151</v>
      </c>
      <c r="E23" s="1343">
        <v>0</v>
      </c>
      <c r="F23" s="1343">
        <v>240356</v>
      </c>
      <c r="G23" s="1343">
        <v>0</v>
      </c>
      <c r="H23" s="1343">
        <v>0</v>
      </c>
      <c r="I23" s="1343">
        <v>254689</v>
      </c>
      <c r="J23" s="1343">
        <v>0</v>
      </c>
      <c r="K23" s="1343">
        <v>0</v>
      </c>
      <c r="L23" s="1340">
        <f t="shared" si="2"/>
        <v>254689</v>
      </c>
      <c r="M23" s="1343">
        <v>660741</v>
      </c>
    </row>
    <row r="24" spans="2:14" ht="20.100000000000001" customHeight="1" x14ac:dyDescent="0.2">
      <c r="B24" s="1337" t="s">
        <v>2113</v>
      </c>
      <c r="C24" s="1341"/>
      <c r="D24" s="1342"/>
      <c r="E24" s="1343">
        <f t="shared" ref="E24:L24" si="4">+E22+E23</f>
        <v>271510</v>
      </c>
      <c r="F24" s="1343">
        <f t="shared" si="4"/>
        <v>301549</v>
      </c>
      <c r="G24" s="1343">
        <f t="shared" si="4"/>
        <v>307028</v>
      </c>
      <c r="H24" s="1343">
        <f t="shared" si="4"/>
        <v>0</v>
      </c>
      <c r="I24" s="1343">
        <f t="shared" si="4"/>
        <v>280364</v>
      </c>
      <c r="J24" s="1343">
        <f t="shared" si="4"/>
        <v>0</v>
      </c>
      <c r="K24" s="1343">
        <f t="shared" si="4"/>
        <v>0</v>
      </c>
      <c r="L24" s="1340">
        <f t="shared" si="4"/>
        <v>587392</v>
      </c>
      <c r="M24" s="1343"/>
    </row>
    <row r="25" spans="2:14" ht="20.100000000000001" customHeight="1" x14ac:dyDescent="0.2">
      <c r="B25" s="1337" t="s">
        <v>2178</v>
      </c>
      <c r="C25" s="1341"/>
      <c r="D25" s="1342"/>
      <c r="E25" s="1343"/>
      <c r="F25" s="1343"/>
      <c r="G25" s="1343"/>
      <c r="H25" s="1343"/>
      <c r="I25" s="1343"/>
      <c r="J25" s="1343"/>
      <c r="K25" s="1343"/>
      <c r="L25" s="1340"/>
      <c r="M25" s="1343"/>
    </row>
    <row r="26" spans="2:14" ht="20.100000000000001" customHeight="1" x14ac:dyDescent="0.2">
      <c r="B26" s="1337" t="s">
        <v>2152</v>
      </c>
      <c r="C26" s="1341" t="s">
        <v>2120</v>
      </c>
      <c r="D26" s="1342" t="s">
        <v>2153</v>
      </c>
      <c r="E26" s="1343">
        <v>0</v>
      </c>
      <c r="F26" s="1343">
        <v>6313</v>
      </c>
      <c r="G26" s="1343">
        <v>0</v>
      </c>
      <c r="H26" s="1343">
        <v>0</v>
      </c>
      <c r="I26" s="1343">
        <v>6313</v>
      </c>
      <c r="J26" s="1343">
        <v>0</v>
      </c>
      <c r="K26" s="1343">
        <v>0</v>
      </c>
      <c r="L26" s="1340">
        <f t="shared" si="2"/>
        <v>6313</v>
      </c>
      <c r="M26" s="1343" t="s">
        <v>2109</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fitToWidth="0" orientation="landscape" useFirstPageNumber="1" r:id="rId1"/>
  <headerFooter alignWithMargins="0">
    <oddHeader>&amp;L&amp;8Page 40&amp;R&amp;8Page 40</oddHeader>
  </headerFooter>
  <ignoredErrors>
    <ignoredError sqref="E12 F12:L12 L11 H15 J15:K15 E17:K17 L18:L20 E20:K20 L15:L16 L22:L24 E24:K24 L26" unlockedFormula="1"/>
    <ignoredError sqref="L17" formula="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1:N152"/>
  <sheetViews>
    <sheetView showGridLines="0" zoomScaleNormal="100" workbookViewId="0">
      <selection activeCell="M26" sqref="M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Rock Island - Milan School District #41</v>
      </c>
      <c r="C1" s="2469"/>
      <c r="D1" s="2469"/>
      <c r="E1" s="2469"/>
      <c r="F1" s="2469"/>
      <c r="G1" s="2469"/>
      <c r="H1" s="2469"/>
      <c r="I1" s="2469"/>
      <c r="J1" s="2469"/>
      <c r="K1" s="2469"/>
      <c r="L1" s="2469"/>
      <c r="M1" s="2469"/>
    </row>
    <row r="2" spans="2:14" ht="15" x14ac:dyDescent="0.2">
      <c r="B2" s="2458" t="str">
        <f>'Single Audit Cover'!E7</f>
        <v>49-081-0410-25</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c r="M11" s="1340"/>
    </row>
    <row r="12" spans="2:14" ht="20.100000000000001" customHeight="1" x14ac:dyDescent="0.2">
      <c r="B12" s="1337" t="s">
        <v>2121</v>
      </c>
      <c r="C12" s="1341" t="s">
        <v>2125</v>
      </c>
      <c r="D12" s="1342" t="s">
        <v>2154</v>
      </c>
      <c r="E12" s="1343">
        <v>0</v>
      </c>
      <c r="F12" s="1343">
        <v>187893</v>
      </c>
      <c r="G12" s="1343">
        <v>0</v>
      </c>
      <c r="H12" s="1343">
        <v>0</v>
      </c>
      <c r="I12" s="1343">
        <v>188397</v>
      </c>
      <c r="J12" s="1343">
        <v>0</v>
      </c>
      <c r="K12" s="1343">
        <v>0</v>
      </c>
      <c r="L12" s="1340">
        <f t="shared" ref="L12:L25" si="0">+G12+I12+K12</f>
        <v>188397</v>
      </c>
      <c r="M12" s="1343">
        <v>229500</v>
      </c>
    </row>
    <row r="13" spans="2:14" ht="20.100000000000001" customHeight="1" x14ac:dyDescent="0.2">
      <c r="B13" s="1337"/>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2122</v>
      </c>
      <c r="C15" s="1341" t="s">
        <v>2126</v>
      </c>
      <c r="D15" s="1342" t="s">
        <v>2128</v>
      </c>
      <c r="E15" s="1343">
        <v>302885</v>
      </c>
      <c r="F15" s="1343">
        <v>19632</v>
      </c>
      <c r="G15" s="1343">
        <v>286685</v>
      </c>
      <c r="H15" s="1343">
        <v>0</v>
      </c>
      <c r="I15" s="1343">
        <v>35832</v>
      </c>
      <c r="J15" s="1343">
        <v>0</v>
      </c>
      <c r="K15" s="1343">
        <v>0</v>
      </c>
      <c r="L15" s="1340">
        <f t="shared" si="0"/>
        <v>322517</v>
      </c>
      <c r="M15" s="1343">
        <v>713013</v>
      </c>
    </row>
    <row r="16" spans="2:14" ht="20.100000000000001" customHeight="1" x14ac:dyDescent="0.2">
      <c r="B16" s="1337" t="s">
        <v>2122</v>
      </c>
      <c r="C16" s="1341" t="s">
        <v>2126</v>
      </c>
      <c r="D16" s="1342" t="s">
        <v>2127</v>
      </c>
      <c r="E16" s="1343">
        <v>2167776</v>
      </c>
      <c r="F16" s="1343">
        <v>232787</v>
      </c>
      <c r="G16" s="1343">
        <v>2276864</v>
      </c>
      <c r="H16" s="1343">
        <v>0</v>
      </c>
      <c r="I16" s="1343">
        <v>123699</v>
      </c>
      <c r="J16" s="1343">
        <v>0</v>
      </c>
      <c r="K16" s="1343">
        <v>0</v>
      </c>
      <c r="L16" s="1340">
        <f t="shared" si="0"/>
        <v>2400563</v>
      </c>
      <c r="M16" s="1343">
        <v>3474393</v>
      </c>
    </row>
    <row r="17" spans="2:14" ht="20.100000000000001" customHeight="1" x14ac:dyDescent="0.2">
      <c r="B17" s="1337" t="s">
        <v>2122</v>
      </c>
      <c r="C17" s="1341" t="s">
        <v>2126</v>
      </c>
      <c r="D17" s="1342" t="s">
        <v>2155</v>
      </c>
      <c r="E17" s="1343">
        <v>0</v>
      </c>
      <c r="F17" s="1343">
        <v>771062</v>
      </c>
      <c r="G17" s="1343">
        <v>0</v>
      </c>
      <c r="H17" s="1343">
        <v>0</v>
      </c>
      <c r="I17" s="1343">
        <v>783966</v>
      </c>
      <c r="J17" s="1343">
        <v>0</v>
      </c>
      <c r="K17" s="1343">
        <v>0</v>
      </c>
      <c r="L17" s="1340">
        <f t="shared" si="0"/>
        <v>783966</v>
      </c>
      <c r="M17" s="1343">
        <v>2073830</v>
      </c>
    </row>
    <row r="18" spans="2:14" ht="20.100000000000001" customHeight="1" x14ac:dyDescent="0.2">
      <c r="B18" s="1337" t="s">
        <v>2123</v>
      </c>
      <c r="C18" s="1341"/>
      <c r="D18" s="1342"/>
      <c r="E18" s="1343">
        <f t="shared" ref="E18:L18" si="1">+E15+E16+E17</f>
        <v>2470661</v>
      </c>
      <c r="F18" s="1343">
        <f t="shared" si="1"/>
        <v>1023481</v>
      </c>
      <c r="G18" s="1343">
        <f t="shared" si="1"/>
        <v>2563549</v>
      </c>
      <c r="H18" s="1343">
        <f t="shared" si="1"/>
        <v>0</v>
      </c>
      <c r="I18" s="1343">
        <f t="shared" si="1"/>
        <v>943497</v>
      </c>
      <c r="J18" s="1343">
        <f t="shared" si="1"/>
        <v>0</v>
      </c>
      <c r="K18" s="1343">
        <f t="shared" si="1"/>
        <v>0</v>
      </c>
      <c r="L18" s="1340">
        <f t="shared" si="1"/>
        <v>3507046</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2124</v>
      </c>
      <c r="C21" s="1341"/>
      <c r="D21" s="1342"/>
      <c r="E21" s="1343"/>
      <c r="F21" s="1343"/>
      <c r="G21" s="1343"/>
      <c r="H21" s="1343"/>
      <c r="I21" s="1343"/>
      <c r="J21" s="1343"/>
      <c r="K21" s="1343"/>
      <c r="L21" s="1340"/>
      <c r="M21" s="1343"/>
    </row>
    <row r="22" spans="2:14" ht="20.100000000000001" customHeight="1" x14ac:dyDescent="0.2">
      <c r="B22" s="1337" t="s">
        <v>2165</v>
      </c>
      <c r="C22" s="1341"/>
      <c r="D22" s="1342"/>
      <c r="E22" s="1343"/>
      <c r="F22" s="1343"/>
      <c r="G22" s="1343"/>
      <c r="H22" s="1343"/>
      <c r="I22" s="1343"/>
      <c r="J22" s="1343"/>
      <c r="K22" s="1343"/>
      <c r="L22" s="1340"/>
      <c r="M22" s="1343"/>
    </row>
    <row r="23" spans="2:14" ht="20.100000000000001" customHeight="1" x14ac:dyDescent="0.2">
      <c r="B23" s="1337" t="s">
        <v>2152</v>
      </c>
      <c r="C23" s="1341" t="s">
        <v>2120</v>
      </c>
      <c r="D23" s="1342" t="s">
        <v>2156</v>
      </c>
      <c r="E23" s="1343">
        <v>0</v>
      </c>
      <c r="F23" s="1343">
        <v>1347391</v>
      </c>
      <c r="G23" s="1343">
        <v>0</v>
      </c>
      <c r="H23" s="1343">
        <v>0</v>
      </c>
      <c r="I23" s="1343">
        <v>1347391</v>
      </c>
      <c r="J23" s="1343">
        <v>0</v>
      </c>
      <c r="K23" s="1343">
        <v>0</v>
      </c>
      <c r="L23" s="1340">
        <f t="shared" si="0"/>
        <v>1347391</v>
      </c>
      <c r="M23" s="1343">
        <v>1359433</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2166</v>
      </c>
      <c r="C25" s="1341">
        <v>84.126000000000005</v>
      </c>
      <c r="D25" s="1342" t="s">
        <v>2167</v>
      </c>
      <c r="E25" s="1343">
        <v>0</v>
      </c>
      <c r="F25" s="1343">
        <v>1090</v>
      </c>
      <c r="G25" s="1343">
        <v>0</v>
      </c>
      <c r="H25" s="1343">
        <v>0</v>
      </c>
      <c r="I25" s="1343">
        <v>1090</v>
      </c>
      <c r="J25" s="1343">
        <v>0</v>
      </c>
      <c r="K25" s="1343">
        <v>0</v>
      </c>
      <c r="L25" s="1340">
        <f t="shared" si="0"/>
        <v>1090</v>
      </c>
      <c r="M25" s="1343" t="s">
        <v>2168</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fitToWidth="0"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1:N152"/>
  <sheetViews>
    <sheetView showGridLines="0" zoomScaleNormal="100" workbookViewId="0">
      <selection activeCell="B23" sqref="B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Rock Island - Milan School District #41</v>
      </c>
      <c r="C1" s="2469"/>
      <c r="D1" s="2469"/>
      <c r="E1" s="2469"/>
      <c r="F1" s="2469"/>
      <c r="G1" s="2469"/>
      <c r="H1" s="2469"/>
      <c r="I1" s="2469"/>
      <c r="J1" s="2469"/>
      <c r="K1" s="2469"/>
      <c r="L1" s="2469"/>
      <c r="M1" s="2469"/>
    </row>
    <row r="2" spans="2:14" ht="15" x14ac:dyDescent="0.2">
      <c r="B2" s="2458" t="str">
        <f>'Single Audit Cover'!E7</f>
        <v>49-081-0410-25</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2129</v>
      </c>
      <c r="C11" s="1338"/>
      <c r="D11" s="1339"/>
      <c r="E11" s="1340"/>
      <c r="F11" s="1340"/>
      <c r="G11" s="1340"/>
      <c r="H11" s="1340"/>
      <c r="I11" s="1340"/>
      <c r="J11" s="1340"/>
      <c r="K11" s="1340"/>
      <c r="L11" s="1340"/>
      <c r="M11" s="1340"/>
    </row>
    <row r="12" spans="2:14" ht="20.100000000000001" customHeight="1" x14ac:dyDescent="0.2">
      <c r="B12" s="1337" t="s">
        <v>2121</v>
      </c>
      <c r="C12" s="1341" t="s">
        <v>2125</v>
      </c>
      <c r="D12" s="1342" t="s">
        <v>2157</v>
      </c>
      <c r="E12" s="1343">
        <v>0</v>
      </c>
      <c r="F12" s="1343">
        <v>92043</v>
      </c>
      <c r="G12" s="1343">
        <v>0</v>
      </c>
      <c r="H12" s="1343">
        <v>0</v>
      </c>
      <c r="I12" s="1343">
        <v>102713</v>
      </c>
      <c r="J12" s="1343">
        <v>0</v>
      </c>
      <c r="K12" s="1343">
        <v>0</v>
      </c>
      <c r="L12" s="1340">
        <f t="shared" ref="L12:L22" si="0">+G12+I12+K12</f>
        <v>102713</v>
      </c>
      <c r="M12" s="1343">
        <v>102713</v>
      </c>
    </row>
    <row r="13" spans="2:14" ht="20.100000000000001" customHeight="1" x14ac:dyDescent="0.2">
      <c r="B13" s="1337"/>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954" t="s">
        <v>2130</v>
      </c>
      <c r="C16" s="1955"/>
      <c r="D16" s="1956"/>
      <c r="E16" s="1957">
        <f>+' SEFA (2)'!E17+' SEFA (2)'!E20+' SEFA (2)'!E24+' SEFA (2)'!E26+' SEFA (3)'!E12+' SEFA (3)'!E18+' SEFA (3)'!E23+' SEFA (3)'!E25+' SEFA (4)'!E12</f>
        <v>5518506</v>
      </c>
      <c r="F16" s="1957">
        <f>+' SEFA (2)'!F17+' SEFA (2)'!F20+' SEFA (2)'!F24+' SEFA (2)'!F26+' SEFA (3)'!F12+' SEFA (3)'!F18+' SEFA (3)'!F23+' SEFA (3)'!F25+' SEFA (4)'!F12</f>
        <v>5131488</v>
      </c>
      <c r="G16" s="1957">
        <f>+' SEFA (2)'!G17+' SEFA (2)'!G20+' SEFA (2)'!G24+' SEFA (2)'!G26+' SEFA (3)'!G12+' SEFA (3)'!G18+' SEFA (3)'!G23+' SEFA (3)'!G25+' SEFA (4)'!G12</f>
        <v>5675001</v>
      </c>
      <c r="H16" s="1957">
        <f>+' SEFA (2)'!H17+' SEFA (2)'!H20+' SEFA (2)'!H24+' SEFA (2)'!H26+' SEFA (3)'!H12+' SEFA (3)'!H18+' SEFA (3)'!H23+' SEFA (3)'!H25+' SEFA (4)'!H12</f>
        <v>0</v>
      </c>
      <c r="I16" s="1957">
        <f>+' SEFA (2)'!I17+' SEFA (2)'!I20+' SEFA (2)'!I24+' SEFA (2)'!I26+' SEFA (3)'!I12+' SEFA (3)'!I18+' SEFA (3)'!I23+' SEFA (3)'!I25+' SEFA (4)'!I12</f>
        <v>5040078</v>
      </c>
      <c r="J16" s="1957">
        <f>+' SEFA (2)'!J17+' SEFA (2)'!J20+' SEFA (2)'!J24+' SEFA (2)'!J26+' SEFA (3)'!J12+' SEFA (3)'!J18+' SEFA (3)'!J23+' SEFA (3)'!J25+' SEFA (4)'!J12</f>
        <v>0</v>
      </c>
      <c r="K16" s="1957">
        <f>+' SEFA (2)'!K17+' SEFA (2)'!K20+' SEFA (2)'!K24+' SEFA (2)'!K26+' SEFA (3)'!K12+' SEFA (3)'!K18+' SEFA (3)'!K23+' SEFA (3)'!K25+' SEFA (4)'!K12</f>
        <v>0</v>
      </c>
      <c r="L16" s="1957">
        <f>+' SEFA (2)'!L17+' SEFA (2)'!L20+' SEFA (2)'!L24+' SEFA (2)'!L26+' SEFA (3)'!L12+' SEFA (3)'!L18+' SEFA (3)'!L23+' SEFA (3)'!L25+' SEFA (4)'!L12</f>
        <v>10715079</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2131</v>
      </c>
      <c r="C18" s="1341"/>
      <c r="D18" s="1342"/>
      <c r="E18" s="1343"/>
      <c r="F18" s="1343"/>
      <c r="G18" s="1343"/>
      <c r="H18" s="1343"/>
      <c r="I18" s="1343"/>
      <c r="J18" s="1343"/>
      <c r="K18" s="1343"/>
      <c r="L18" s="1340">
        <f t="shared" si="0"/>
        <v>0</v>
      </c>
      <c r="M18" s="1343"/>
    </row>
    <row r="19" spans="2:14" ht="20.100000000000001" customHeight="1" x14ac:dyDescent="0.2">
      <c r="B19" s="1337" t="s">
        <v>2177</v>
      </c>
      <c r="C19" s="1341">
        <v>93.6</v>
      </c>
      <c r="D19" s="1342" t="s">
        <v>2135</v>
      </c>
      <c r="E19" s="1343">
        <v>0</v>
      </c>
      <c r="F19" s="1343">
        <v>2391694</v>
      </c>
      <c r="G19" s="1343">
        <v>0</v>
      </c>
      <c r="H19" s="1343">
        <v>0</v>
      </c>
      <c r="I19" s="1343">
        <v>2418544</v>
      </c>
      <c r="J19" s="1343">
        <v>0</v>
      </c>
      <c r="K19" s="1343">
        <v>0</v>
      </c>
      <c r="L19" s="1340">
        <f t="shared" si="0"/>
        <v>2418544</v>
      </c>
      <c r="M19" s="1343">
        <v>2418544</v>
      </c>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2132</v>
      </c>
      <c r="C21" s="1341"/>
      <c r="D21" s="1342"/>
      <c r="E21" s="1343"/>
      <c r="F21" s="1343"/>
      <c r="G21" s="1343"/>
      <c r="H21" s="1343"/>
      <c r="I21" s="1343"/>
      <c r="J21" s="1343"/>
      <c r="K21" s="1343"/>
      <c r="L21" s="1340">
        <f t="shared" si="0"/>
        <v>0</v>
      </c>
      <c r="M21" s="1343"/>
    </row>
    <row r="22" spans="2:14" ht="20.100000000000001" customHeight="1" x14ac:dyDescent="0.2">
      <c r="B22" s="1337" t="s">
        <v>2179</v>
      </c>
      <c r="C22" s="1341">
        <v>93.778000000000006</v>
      </c>
      <c r="D22" s="1342" t="s">
        <v>2158</v>
      </c>
      <c r="E22" s="1343">
        <v>0</v>
      </c>
      <c r="F22" s="1343">
        <v>154701</v>
      </c>
      <c r="G22" s="1343">
        <v>0</v>
      </c>
      <c r="H22" s="1343">
        <v>0</v>
      </c>
      <c r="I22" s="1343">
        <v>154701</v>
      </c>
      <c r="J22" s="1343">
        <v>0</v>
      </c>
      <c r="K22" s="1343">
        <v>0</v>
      </c>
      <c r="L22" s="1340">
        <f t="shared" si="0"/>
        <v>154701</v>
      </c>
      <c r="M22" s="1343" t="s">
        <v>2159</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954" t="s">
        <v>2133</v>
      </c>
      <c r="C24" s="1955"/>
      <c r="D24" s="1956"/>
      <c r="E24" s="1957">
        <f t="shared" ref="E24:L24" si="1">+E19+E22</f>
        <v>0</v>
      </c>
      <c r="F24" s="1957">
        <f t="shared" si="1"/>
        <v>2546395</v>
      </c>
      <c r="G24" s="1957">
        <f t="shared" si="1"/>
        <v>0</v>
      </c>
      <c r="H24" s="1957">
        <f t="shared" si="1"/>
        <v>0</v>
      </c>
      <c r="I24" s="1957">
        <f t="shared" si="1"/>
        <v>2573245</v>
      </c>
      <c r="J24" s="1957">
        <f t="shared" si="1"/>
        <v>0</v>
      </c>
      <c r="K24" s="1957">
        <f t="shared" si="1"/>
        <v>0</v>
      </c>
      <c r="L24" s="1958">
        <f t="shared" si="1"/>
        <v>2573245</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2134</v>
      </c>
      <c r="C26" s="1341"/>
      <c r="D26" s="1342"/>
      <c r="E26" s="1343">
        <f>+' SEFA (2)'!E12+' SEFA (4)'!E16+' SEFA (4)'!E24</f>
        <v>8168191</v>
      </c>
      <c r="F26" s="1343">
        <f>+' SEFA (2)'!F12+' SEFA (4)'!F16+' SEFA (4)'!F24</f>
        <v>11649431</v>
      </c>
      <c r="G26" s="1343">
        <f>+' SEFA (2)'!G12+' SEFA (4)'!G16+' SEFA (4)'!G24</f>
        <v>8324686</v>
      </c>
      <c r="H26" s="1343">
        <f>+' SEFA (2)'!H12+' SEFA (4)'!H16+' SEFA (4)'!H24</f>
        <v>0</v>
      </c>
      <c r="I26" s="1343">
        <f>+' SEFA (2)'!I12+' SEFA (4)'!I16+' SEFA (4)'!I24</f>
        <v>11584871</v>
      </c>
      <c r="J26" s="1343">
        <f>+' SEFA (2)'!J12+' SEFA (4)'!J16+' SEFA (4)'!J24</f>
        <v>0</v>
      </c>
      <c r="K26" s="1343">
        <f>+' SEFA (2)'!K12+' SEFA (4)'!K16+' SEFA (4)'!K24</f>
        <v>0</v>
      </c>
      <c r="L26" s="1343">
        <f>+' SEFA (2)'!L12+' SEFA (4)'!L16+' SEFA (4)'!L24</f>
        <v>19909557</v>
      </c>
      <c r="M26" s="1343"/>
    </row>
    <row r="27" spans="2:14" ht="45.75" customHeight="1" x14ac:dyDescent="0.2">
      <c r="B27" s="1337" t="s">
        <v>2169</v>
      </c>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ignoredErrors>
    <ignoredError sqref="L17:L25 E24:K24 E26:L26 E16:L16"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63"/>
  <sheetViews>
    <sheetView showGridLines="0" zoomScale="110" zoomScaleNormal="110"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Rock Island - Milan School District #41</v>
      </c>
      <c r="C1" s="2477"/>
      <c r="D1" s="2477"/>
      <c r="E1" s="2477"/>
      <c r="F1" s="2477"/>
      <c r="G1" s="2477"/>
      <c r="H1" s="2477"/>
      <c r="I1" s="2477"/>
      <c r="J1" s="1422"/>
    </row>
    <row r="2" spans="2:10" s="317" customFormat="1" ht="12.75" customHeight="1" x14ac:dyDescent="0.2">
      <c r="B2" s="2478" t="str">
        <f>'Single Audit Cover'!E7</f>
        <v>49-081-0410-25</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2138</v>
      </c>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2079</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2079</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2138</v>
      </c>
      <c r="E29" s="2483"/>
      <c r="F29" s="2483"/>
      <c r="G29" s="2483"/>
      <c r="H29" s="2483"/>
      <c r="I29" s="248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2079</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4" t="s">
        <v>1851</v>
      </c>
      <c r="D37" s="2485"/>
      <c r="E37" s="2485"/>
      <c r="F37" s="2486"/>
      <c r="G37" s="2484" t="s">
        <v>1674</v>
      </c>
      <c r="H37" s="2485"/>
      <c r="I37" s="2486"/>
    </row>
    <row r="38" spans="2:9" ht="16.5" customHeight="1" x14ac:dyDescent="0.2">
      <c r="B38" s="1444">
        <v>93.6</v>
      </c>
      <c r="C38" s="2472" t="s">
        <v>1105</v>
      </c>
      <c r="D38" s="2473"/>
      <c r="E38" s="2473"/>
      <c r="F38" s="2474"/>
      <c r="G38" s="2487">
        <v>2418544</v>
      </c>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90" t="s">
        <v>1675</v>
      </c>
      <c r="D43" s="2491"/>
      <c r="E43" s="2491"/>
      <c r="F43" s="2492"/>
      <c r="G43" s="2493">
        <f>SUM(G38:I42)</f>
        <v>2418544</v>
      </c>
      <c r="H43" s="2493"/>
      <c r="I43" s="2493"/>
    </row>
    <row r="44" spans="2:9" ht="12.75" customHeight="1" x14ac:dyDescent="0.2"/>
    <row r="45" spans="2:9" ht="12.75" customHeight="1" x14ac:dyDescent="0.2">
      <c r="B45" s="1435" t="s">
        <v>1949</v>
      </c>
      <c r="D45" s="2494">
        <f>+' SEFA (4)'!I26</f>
        <v>11584871</v>
      </c>
      <c r="E45" s="2495"/>
    </row>
    <row r="46" spans="2:9" ht="5.25" customHeight="1" x14ac:dyDescent="0.2">
      <c r="B46" s="1445"/>
      <c r="D46" s="1446"/>
      <c r="E46" s="1447"/>
    </row>
    <row r="47" spans="2:9" ht="12.75" customHeight="1" x14ac:dyDescent="0.2">
      <c r="B47" s="1300" t="s">
        <v>1676</v>
      </c>
      <c r="C47" s="1300"/>
      <c r="D47" s="1448">
        <f>+G43/D45</f>
        <v>0.20876745196385874</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t="s">
        <v>2079</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41"/>
  <sheetViews>
    <sheetView showGridLines="0" zoomScale="110" zoomScaleNormal="110" workbookViewId="0">
      <selection activeCell="A2" sqref="A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Rock Island - Milan School District #41</v>
      </c>
      <c r="C1" s="2476"/>
      <c r="D1" s="2476"/>
      <c r="E1" s="2476"/>
      <c r="F1" s="2476"/>
      <c r="G1" s="2476"/>
      <c r="H1" s="2476"/>
      <c r="I1" s="2476"/>
      <c r="J1" s="2476"/>
      <c r="K1" s="2476"/>
      <c r="L1" s="1374"/>
      <c r="M1" s="1374"/>
    </row>
    <row r="2" spans="1:13" ht="12" customHeight="1" x14ac:dyDescent="0.2">
      <c r="B2" s="2478" t="str">
        <f>'Single Audit Cover'!E7</f>
        <v>49-081-0410-25</v>
      </c>
      <c r="C2" s="2478"/>
      <c r="D2" s="2478"/>
      <c r="E2" s="2478"/>
      <c r="F2" s="2478"/>
      <c r="G2" s="2478"/>
      <c r="H2" s="2478"/>
      <c r="I2" s="2478"/>
      <c r="J2" s="2478"/>
      <c r="K2" s="2478"/>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2139</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52"/>
  <sheetViews>
    <sheetView showGridLines="0" zoomScale="110" zoomScaleNormal="110" workbookViewId="0">
      <selection activeCell="A2" sqref="A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Rock Island - Milan School District #41</v>
      </c>
      <c r="C1" s="2503"/>
      <c r="D1" s="2503"/>
      <c r="E1" s="2503"/>
      <c r="F1" s="2503"/>
      <c r="G1" s="2503"/>
      <c r="H1" s="2503"/>
      <c r="I1" s="2503"/>
      <c r="J1" s="2503"/>
      <c r="K1" s="2503"/>
      <c r="L1" s="1465"/>
    </row>
    <row r="2" spans="1:12" ht="12.75" customHeight="1" x14ac:dyDescent="0.2">
      <c r="B2" s="2504" t="str">
        <f>'Single Audit Cover'!E7</f>
        <v>49-081-0410-25</v>
      </c>
      <c r="C2" s="2504"/>
      <c r="D2" s="2504"/>
      <c r="E2" s="2504"/>
      <c r="F2" s="2504"/>
      <c r="G2" s="2504"/>
      <c r="H2" s="2504"/>
      <c r="I2" s="2504"/>
      <c r="J2" s="2504"/>
      <c r="K2" s="2504"/>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2139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E73"/>
  <sheetViews>
    <sheetView showGridLines="0" zoomScale="110" zoomScaleNormal="110" workbookViewId="0">
      <selection activeCell="D22" sqref="D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Rock Island - Milan School District #41</v>
      </c>
      <c r="C1" s="2476"/>
      <c r="D1" s="2476"/>
      <c r="E1" s="1491"/>
    </row>
    <row r="2" spans="2:5" s="1282" customFormat="1" ht="12.75" customHeight="1" x14ac:dyDescent="0.2">
      <c r="B2" s="2478" t="str">
        <f>'Single Audit Cover'!E7</f>
        <v>49-081-0410-25</v>
      </c>
      <c r="C2" s="2478"/>
      <c r="D2" s="2478"/>
      <c r="E2" s="1492"/>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2139</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249977111117893"/>
  </sheetPr>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548005431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3.2000000000000001E-2</v>
      </c>
      <c r="E10" s="356" t="s">
        <v>1062</v>
      </c>
      <c r="F10" s="355">
        <v>7.4999999999999997E-3</v>
      </c>
      <c r="G10" s="356" t="s">
        <v>1062</v>
      </c>
      <c r="H10" s="355">
        <v>2E-3</v>
      </c>
      <c r="I10" s="356" t="s">
        <v>1063</v>
      </c>
      <c r="J10" s="1752">
        <f>ROUND(D10+F10+H10,5)</f>
        <v>4.1500000000000002E-2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71762188</v>
      </c>
      <c r="E16" s="356"/>
      <c r="F16" s="1753">
        <f>SUM('Acct Summary 7-8'!C17,'Acct Summary 7-8'!D17,'Acct Summary 7-8'!F17)</f>
        <v>69475815</v>
      </c>
      <c r="G16" s="356"/>
      <c r="H16" s="1753">
        <f>SUM(D16-F16)</f>
        <v>2286373</v>
      </c>
      <c r="I16" s="222"/>
      <c r="J16" s="1753">
        <f>SUM('Acct Summary 7-8'!C81,'Acct Summary 7-8'!D81,'Acct Summary 7-8'!F81,'Acct Summary 7-8'!I81)</f>
        <v>37066798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75624749.478</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27730000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sheetPr>
  <dimension ref="A1:R44"/>
  <sheetViews>
    <sheetView showGridLines="0" topLeftCell="A7" zoomScale="110" zoomScaleNormal="110" workbookViewId="0">
      <selection activeCell="A2" sqref="A2:R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Rock Island - Milan School District #41</v>
      </c>
      <c r="E7" s="391"/>
      <c r="G7" s="252"/>
      <c r="H7" s="387"/>
      <c r="I7" s="387"/>
      <c r="J7" s="387"/>
      <c r="K7" s="387"/>
      <c r="L7" s="329"/>
      <c r="M7" s="329"/>
      <c r="N7" s="329"/>
      <c r="O7" s="329"/>
      <c r="P7" s="329"/>
    </row>
    <row r="8" spans="1:18" ht="12.75" x14ac:dyDescent="0.2">
      <c r="A8" s="329"/>
      <c r="B8" s="329"/>
      <c r="C8" s="389" t="s">
        <v>1187</v>
      </c>
      <c r="D8" s="392" t="str">
        <f>COVER!A13</f>
        <v>49-081-0410-25</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37066798</v>
      </c>
      <c r="I12" s="404"/>
      <c r="J12" s="404"/>
      <c r="K12" s="405">
        <f>TRUNC((H12/H13*100000),5)/100000</f>
        <v>0.51652268459999995</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71762188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69475815</v>
      </c>
      <c r="I17" s="404"/>
      <c r="J17" s="416"/>
      <c r="K17" s="405">
        <f>TRUNC((H17/H18*100000),5)/100000</f>
        <v>0.96813958620000007</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71762188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32189433</v>
      </c>
      <c r="I24" s="422"/>
      <c r="J24" s="422"/>
      <c r="K24" s="423">
        <f>TRUNC(((H24/H25*100000)/100000),2)</f>
        <v>166.79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192988.375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19330891.578529999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27730000</v>
      </c>
      <c r="I32" s="420"/>
      <c r="J32" s="420"/>
      <c r="K32" s="423">
        <f>TRUNC(100-((((H32/H33*100))*100)/100),2)</f>
        <v>63.33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75624749.478</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5" tint="-0.249977111117893"/>
  </sheetPr>
  <dimension ref="A1:N44"/>
  <sheetViews>
    <sheetView showGridLines="0" defaultGridColor="0" colorId="8" zoomScale="110" zoomScaleNormal="110" workbookViewId="0">
      <pane ySplit="2" topLeftCell="A3" activePane="bottomLeft" state="frozen"/>
      <selection activeCell="A2" sqref="A2"/>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c r="D4" s="466">
        <v>5241448</v>
      </c>
      <c r="E4" s="466">
        <v>1532160</v>
      </c>
      <c r="F4" s="466">
        <v>2304590</v>
      </c>
      <c r="G4" s="466">
        <v>456288</v>
      </c>
      <c r="H4" s="466">
        <v>1116003</v>
      </c>
      <c r="I4" s="466"/>
      <c r="J4" s="467">
        <v>579800</v>
      </c>
      <c r="K4" s="466">
        <v>220358</v>
      </c>
      <c r="L4" s="466">
        <v>783476</v>
      </c>
      <c r="M4" s="468"/>
      <c r="N4" s="469"/>
    </row>
    <row r="5" spans="1:14" x14ac:dyDescent="0.2">
      <c r="A5" s="463" t="s">
        <v>1049</v>
      </c>
      <c r="B5" s="470">
        <v>120</v>
      </c>
      <c r="C5" s="465">
        <v>20520383</v>
      </c>
      <c r="D5" s="466"/>
      <c r="E5" s="466"/>
      <c r="F5" s="466"/>
      <c r="G5" s="466"/>
      <c r="H5" s="466"/>
      <c r="I5" s="466">
        <v>4123012</v>
      </c>
      <c r="J5" s="467"/>
      <c r="K5" s="471"/>
      <c r="L5" s="472"/>
      <c r="M5" s="468"/>
      <c r="N5" s="469"/>
    </row>
    <row r="6" spans="1:14" ht="13.5" customHeight="1" x14ac:dyDescent="0.2">
      <c r="A6" s="473" t="s">
        <v>437</v>
      </c>
      <c r="B6" s="470">
        <v>130</v>
      </c>
      <c r="C6" s="465">
        <v>20820133</v>
      </c>
      <c r="D6" s="466">
        <v>4820278</v>
      </c>
      <c r="E6" s="466">
        <v>3542241</v>
      </c>
      <c r="F6" s="466">
        <v>1287534</v>
      </c>
      <c r="G6" s="471">
        <v>2577865</v>
      </c>
      <c r="H6" s="471"/>
      <c r="I6" s="466">
        <v>323608</v>
      </c>
      <c r="J6" s="474">
        <v>963058</v>
      </c>
      <c r="K6" s="471"/>
      <c r="L6" s="475"/>
      <c r="M6" s="468"/>
      <c r="N6" s="469"/>
    </row>
    <row r="7" spans="1:14" ht="13.5" customHeight="1" x14ac:dyDescent="0.2">
      <c r="A7" s="473" t="s">
        <v>438</v>
      </c>
      <c r="B7" s="470">
        <v>140</v>
      </c>
      <c r="C7" s="476">
        <v>48130</v>
      </c>
      <c r="D7" s="467"/>
      <c r="E7" s="467"/>
      <c r="F7" s="467"/>
      <c r="G7" s="467">
        <v>476067</v>
      </c>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4448468</v>
      </c>
      <c r="D9" s="467">
        <v>15584</v>
      </c>
      <c r="E9" s="467"/>
      <c r="F9" s="467">
        <v>918285</v>
      </c>
      <c r="G9" s="467"/>
      <c r="H9" s="478">
        <v>907610</v>
      </c>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45837114</v>
      </c>
      <c r="D13" s="1757">
        <f t="shared" ref="D13:L13" si="0">SUM(D4:D12)</f>
        <v>10077310</v>
      </c>
      <c r="E13" s="1757">
        <f t="shared" si="0"/>
        <v>5074401</v>
      </c>
      <c r="F13" s="1757">
        <f t="shared" si="0"/>
        <v>4510409</v>
      </c>
      <c r="G13" s="1757">
        <f t="shared" si="0"/>
        <v>3510220</v>
      </c>
      <c r="H13" s="1757">
        <f t="shared" si="0"/>
        <v>2023613</v>
      </c>
      <c r="I13" s="1757">
        <f t="shared" si="0"/>
        <v>4446620</v>
      </c>
      <c r="J13" s="1757">
        <f t="shared" si="0"/>
        <v>1542858</v>
      </c>
      <c r="K13" s="1757">
        <f t="shared" si="0"/>
        <v>220358</v>
      </c>
      <c r="L13" s="1757">
        <f t="shared" si="0"/>
        <v>783476</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2438741</v>
      </c>
      <c r="N16" s="484"/>
    </row>
    <row r="17" spans="1:14" s="485" customFormat="1" ht="12.75" customHeight="1" x14ac:dyDescent="0.2">
      <c r="A17" s="482" t="s">
        <v>1470</v>
      </c>
      <c r="B17" s="483">
        <v>230</v>
      </c>
      <c r="C17" s="477"/>
      <c r="D17" s="477"/>
      <c r="E17" s="477"/>
      <c r="F17" s="477"/>
      <c r="G17" s="477"/>
      <c r="H17" s="477"/>
      <c r="I17" s="477"/>
      <c r="J17" s="477"/>
      <c r="K17" s="477"/>
      <c r="L17" s="477"/>
      <c r="M17" s="467">
        <v>46498231</v>
      </c>
      <c r="N17" s="484"/>
    </row>
    <row r="18" spans="1:14" s="485" customFormat="1" ht="12.75" customHeight="1" x14ac:dyDescent="0.2">
      <c r="A18" s="482" t="s">
        <v>1471</v>
      </c>
      <c r="B18" s="483">
        <v>240</v>
      </c>
      <c r="C18" s="477"/>
      <c r="D18" s="477"/>
      <c r="E18" s="477"/>
      <c r="F18" s="477"/>
      <c r="G18" s="477"/>
      <c r="H18" s="477"/>
      <c r="I18" s="477"/>
      <c r="J18" s="477"/>
      <c r="K18" s="477"/>
      <c r="L18" s="477"/>
      <c r="M18" s="467">
        <v>1209133</v>
      </c>
      <c r="N18" s="484"/>
    </row>
    <row r="19" spans="1:14" s="485" customFormat="1" ht="12.75" customHeight="1" x14ac:dyDescent="0.2">
      <c r="A19" s="482" t="s">
        <v>1472</v>
      </c>
      <c r="B19" s="483">
        <v>250</v>
      </c>
      <c r="C19" s="477"/>
      <c r="D19" s="477"/>
      <c r="E19" s="477"/>
      <c r="F19" s="477"/>
      <c r="G19" s="477"/>
      <c r="H19" s="477"/>
      <c r="I19" s="477"/>
      <c r="J19" s="477"/>
      <c r="K19" s="477"/>
      <c r="L19" s="477"/>
      <c r="M19" s="467">
        <v>679492</v>
      </c>
      <c r="N19" s="484"/>
    </row>
    <row r="20" spans="1:14" s="485" customFormat="1" ht="12.75" customHeight="1" x14ac:dyDescent="0.2">
      <c r="A20" s="482" t="s">
        <v>1473</v>
      </c>
      <c r="B20" s="483">
        <v>260</v>
      </c>
      <c r="C20" s="477"/>
      <c r="D20" s="477"/>
      <c r="E20" s="477"/>
      <c r="F20" s="477"/>
      <c r="G20" s="477"/>
      <c r="H20" s="477"/>
      <c r="I20" s="477"/>
      <c r="J20" s="477"/>
      <c r="K20" s="477"/>
      <c r="L20" s="477"/>
      <c r="M20" s="467">
        <v>1362747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2151239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25578761</v>
      </c>
    </row>
    <row r="23" spans="1:14" ht="13.5" customHeight="1" thickBot="1" x14ac:dyDescent="0.25">
      <c r="A23" s="1756" t="s">
        <v>664</v>
      </c>
      <c r="B23" s="1761"/>
      <c r="C23" s="468"/>
      <c r="D23" s="468"/>
      <c r="E23" s="468"/>
      <c r="F23" s="468"/>
      <c r="G23" s="468"/>
      <c r="H23" s="468"/>
      <c r="I23" s="468"/>
      <c r="J23" s="468"/>
      <c r="K23" s="468"/>
      <c r="L23" s="468"/>
      <c r="M23" s="1708">
        <f>SUM(M15:M22)</f>
        <v>52188344</v>
      </c>
      <c r="N23" s="1708">
        <f>SUM(N21:N22)</f>
        <v>27730000</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v>476067</v>
      </c>
      <c r="D25" s="478">
        <v>2514</v>
      </c>
      <c r="E25" s="478"/>
      <c r="F25" s="478">
        <v>45615</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187208</v>
      </c>
      <c r="D27" s="467">
        <v>161547</v>
      </c>
      <c r="E27" s="467"/>
      <c r="F27" s="467">
        <v>38003</v>
      </c>
      <c r="G27" s="467"/>
      <c r="H27" s="467">
        <v>1048700</v>
      </c>
      <c r="I27" s="467"/>
      <c r="J27" s="467">
        <v>3345</v>
      </c>
      <c r="K27" s="467">
        <v>11772</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3047028</v>
      </c>
      <c r="D30" s="474">
        <v>19384</v>
      </c>
      <c r="E30" s="467"/>
      <c r="F30" s="467"/>
      <c r="G30" s="467">
        <v>225464</v>
      </c>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17603808</v>
      </c>
      <c r="D32" s="492">
        <v>3978896</v>
      </c>
      <c r="E32" s="474">
        <v>2923162</v>
      </c>
      <c r="F32" s="474">
        <v>1979325</v>
      </c>
      <c r="G32" s="474">
        <v>2122078</v>
      </c>
      <c r="H32" s="474">
        <v>308325</v>
      </c>
      <c r="I32" s="474">
        <v>265260</v>
      </c>
      <c r="J32" s="474">
        <v>789413</v>
      </c>
      <c r="K32" s="479"/>
      <c r="L32" s="468"/>
      <c r="M32" s="468"/>
      <c r="N32" s="468"/>
    </row>
    <row r="33" spans="1:14" ht="13.5" customHeight="1" x14ac:dyDescent="0.2">
      <c r="A33" s="493" t="s">
        <v>321</v>
      </c>
      <c r="B33" s="491">
        <v>493</v>
      </c>
      <c r="C33" s="467"/>
      <c r="D33" s="467"/>
      <c r="E33" s="467"/>
      <c r="F33" s="467"/>
      <c r="G33" s="467"/>
      <c r="H33" s="467"/>
      <c r="I33" s="467"/>
      <c r="J33" s="467"/>
      <c r="K33" s="467"/>
      <c r="L33" s="467">
        <v>783476</v>
      </c>
      <c r="M33" s="468"/>
      <c r="N33" s="469"/>
    </row>
    <row r="34" spans="1:14" ht="13.5" customHeight="1" thickBot="1" x14ac:dyDescent="0.25">
      <c r="A34" s="1758" t="s">
        <v>675</v>
      </c>
      <c r="B34" s="1759"/>
      <c r="C34" s="1760">
        <f>SUM(C25:C33)</f>
        <v>21314111</v>
      </c>
      <c r="D34" s="1760">
        <f t="shared" ref="D34:K34" si="1">SUM(D25:D33)</f>
        <v>4162341</v>
      </c>
      <c r="E34" s="1760">
        <f t="shared" si="1"/>
        <v>2923162</v>
      </c>
      <c r="F34" s="1760">
        <f t="shared" si="1"/>
        <v>2062943</v>
      </c>
      <c r="G34" s="1760">
        <f t="shared" si="1"/>
        <v>2347542</v>
      </c>
      <c r="H34" s="1760">
        <f t="shared" si="1"/>
        <v>1357025</v>
      </c>
      <c r="I34" s="1760">
        <f t="shared" si="1"/>
        <v>265260</v>
      </c>
      <c r="J34" s="1760">
        <f t="shared" si="1"/>
        <v>792758</v>
      </c>
      <c r="K34" s="1760">
        <f t="shared" si="1"/>
        <v>11772</v>
      </c>
      <c r="L34" s="1741">
        <f>SUM(L33)</f>
        <v>783476</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27730000</v>
      </c>
    </row>
    <row r="37" spans="1:14" ht="13.5" thickBot="1" x14ac:dyDescent="0.25">
      <c r="A37" s="1756" t="s">
        <v>674</v>
      </c>
      <c r="B37" s="1761"/>
      <c r="C37" s="477"/>
      <c r="D37" s="477"/>
      <c r="E37" s="477"/>
      <c r="F37" s="477"/>
      <c r="G37" s="477"/>
      <c r="H37" s="477"/>
      <c r="I37" s="477"/>
      <c r="J37" s="477"/>
      <c r="K37" s="477"/>
      <c r="L37" s="480"/>
      <c r="M37" s="468"/>
      <c r="N37" s="1708">
        <f>SUM(N36:N36)</f>
        <v>27730000</v>
      </c>
    </row>
    <row r="38" spans="1:14" s="329" customFormat="1" ht="13.5" customHeight="1" thickTop="1" x14ac:dyDescent="0.2">
      <c r="A38" s="496" t="s">
        <v>440</v>
      </c>
      <c r="B38" s="483">
        <v>714</v>
      </c>
      <c r="C38" s="466"/>
      <c r="D38" s="466">
        <v>318674</v>
      </c>
      <c r="E38" s="466"/>
      <c r="F38" s="466"/>
      <c r="G38" s="466"/>
      <c r="H38" s="466"/>
      <c r="I38" s="466"/>
      <c r="J38" s="467"/>
      <c r="K38" s="466"/>
      <c r="L38" s="481"/>
      <c r="M38" s="497"/>
      <c r="N38" s="497"/>
    </row>
    <row r="39" spans="1:14" s="329" customFormat="1" ht="13.5" customHeight="1" x14ac:dyDescent="0.2">
      <c r="A39" s="496" t="s">
        <v>360</v>
      </c>
      <c r="B39" s="483">
        <v>730</v>
      </c>
      <c r="C39" s="466">
        <v>24523003</v>
      </c>
      <c r="D39" s="466">
        <v>5596295</v>
      </c>
      <c r="E39" s="466">
        <v>2151239</v>
      </c>
      <c r="F39" s="466">
        <v>2447466</v>
      </c>
      <c r="G39" s="466">
        <v>1162678</v>
      </c>
      <c r="H39" s="466">
        <v>666588</v>
      </c>
      <c r="I39" s="466">
        <v>4181360</v>
      </c>
      <c r="J39" s="467">
        <v>750100</v>
      </c>
      <c r="K39" s="466">
        <v>208586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52188344</v>
      </c>
      <c r="N40" s="497"/>
    </row>
    <row r="41" spans="1:14" ht="13.5" customHeight="1" thickBot="1" x14ac:dyDescent="0.25">
      <c r="A41" s="1756" t="s">
        <v>676</v>
      </c>
      <c r="B41" s="1726"/>
      <c r="C41" s="1708">
        <f>(SUM(C34,C37,C38,C39))</f>
        <v>45837114</v>
      </c>
      <c r="D41" s="1708">
        <f t="shared" ref="D41:L41" si="2">SUM(D34,D37,D38:D39)</f>
        <v>10077310</v>
      </c>
      <c r="E41" s="1708">
        <f t="shared" si="2"/>
        <v>5074401</v>
      </c>
      <c r="F41" s="1708">
        <f t="shared" si="2"/>
        <v>4510409</v>
      </c>
      <c r="G41" s="1708">
        <f t="shared" si="2"/>
        <v>3510220</v>
      </c>
      <c r="H41" s="1708">
        <f t="shared" si="2"/>
        <v>2023613</v>
      </c>
      <c r="I41" s="1708">
        <f t="shared" si="2"/>
        <v>4446620</v>
      </c>
      <c r="J41" s="1708">
        <f t="shared" si="2"/>
        <v>1542858</v>
      </c>
      <c r="K41" s="1708">
        <f t="shared" si="2"/>
        <v>220358</v>
      </c>
      <c r="L41" s="1708">
        <f t="shared" si="2"/>
        <v>783476</v>
      </c>
      <c r="M41" s="1708">
        <f>SUM(M40)</f>
        <v>52188344</v>
      </c>
      <c r="N41" s="1708">
        <f>SUM(N37)</f>
        <v>27730000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249977111117893"/>
  </sheetPr>
  <dimension ref="A1:M87"/>
  <sheetViews>
    <sheetView showGridLines="0" defaultGridColor="0" colorId="8" zoomScale="110" zoomScaleNormal="110" zoomScaleSheetLayoutView="100" workbookViewId="0">
      <pane ySplit="2" topLeftCell="A3" activePane="bottomLeft" state="frozenSplit"/>
      <selection activeCell="A2" sqref="A2"/>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0" t="s">
        <v>1579</v>
      </c>
      <c r="B4" s="1951">
        <v>1000</v>
      </c>
      <c r="C4" s="1762">
        <f>'Revenues 9-14'!C109</f>
        <v>24580123</v>
      </c>
      <c r="D4" s="1762">
        <f>'Revenues 9-14'!D109</f>
        <v>4142045</v>
      </c>
      <c r="E4" s="1762">
        <f>'Revenues 9-14'!E109</f>
        <v>3145027</v>
      </c>
      <c r="F4" s="1762">
        <f>'Revenues 9-14'!F109</f>
        <v>1110104</v>
      </c>
      <c r="G4" s="1762">
        <f>'Revenues 9-14'!G109</f>
        <v>2279438</v>
      </c>
      <c r="H4" s="1762">
        <f>'Revenues 9-14'!H109</f>
        <v>3143430</v>
      </c>
      <c r="I4" s="1762">
        <f>'Revenues 9-14'!I109</f>
        <v>271482</v>
      </c>
      <c r="J4" s="1762">
        <f>'Revenues 9-14'!J109</f>
        <v>821177</v>
      </c>
      <c r="K4" s="1762">
        <f>'Revenues 9-14'!K109</f>
        <v>3742</v>
      </c>
      <c r="L4" s="347"/>
    </row>
    <row r="5" spans="1:13" ht="15.75" customHeight="1" x14ac:dyDescent="0.2">
      <c r="A5" s="1598" t="s">
        <v>1580</v>
      </c>
      <c r="B5" s="1599">
        <v>2000</v>
      </c>
      <c r="C5" s="1763">
        <f>'Revenues 9-14'!C114</f>
        <v>16600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27885085</v>
      </c>
      <c r="D6" s="1763">
        <f>'Revenues 9-14'!D173</f>
        <v>1200000</v>
      </c>
      <c r="E6" s="1763">
        <f>'Revenues 9-14'!E173</f>
        <v>0</v>
      </c>
      <c r="F6" s="1763">
        <f>'Revenues 9-14'!F173</f>
        <v>864310</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11692439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64174247</v>
      </c>
      <c r="D8" s="1708">
        <f t="shared" ref="D8:K8" si="0">SUM(D4:D7)</f>
        <v>5342045</v>
      </c>
      <c r="E8" s="1708">
        <f t="shared" si="0"/>
        <v>3145027</v>
      </c>
      <c r="F8" s="1708">
        <f t="shared" si="0"/>
        <v>1974414</v>
      </c>
      <c r="G8" s="1708">
        <f t="shared" si="0"/>
        <v>2279438</v>
      </c>
      <c r="H8" s="1708">
        <f t="shared" si="0"/>
        <v>3143430</v>
      </c>
      <c r="I8" s="1708">
        <f t="shared" si="0"/>
        <v>271482</v>
      </c>
      <c r="J8" s="1708">
        <f t="shared" si="0"/>
        <v>821177</v>
      </c>
      <c r="K8" s="1708">
        <f t="shared" si="0"/>
        <v>3742</v>
      </c>
      <c r="L8" s="347"/>
    </row>
    <row r="9" spans="1:13" ht="15.75" thickTop="1" x14ac:dyDescent="0.2">
      <c r="A9" s="514" t="s">
        <v>1752</v>
      </c>
      <c r="B9" s="515">
        <v>3998</v>
      </c>
      <c r="C9" s="481">
        <v>25838626</v>
      </c>
      <c r="D9" s="516"/>
      <c r="E9" s="481"/>
      <c r="F9" s="481"/>
      <c r="G9" s="517"/>
      <c r="H9" s="481"/>
      <c r="I9" s="509" t="s">
        <v>1231</v>
      </c>
      <c r="J9" s="478"/>
      <c r="K9" s="481"/>
      <c r="L9" s="347"/>
    </row>
    <row r="10" spans="1:13" s="519" customFormat="1" ht="13.5" thickBot="1" x14ac:dyDescent="0.25">
      <c r="A10" s="1756" t="s">
        <v>1235</v>
      </c>
      <c r="B10" s="1729"/>
      <c r="C10" s="1708">
        <f>SUM(C8:C9)</f>
        <v>90012873</v>
      </c>
      <c r="D10" s="1708">
        <f t="shared" ref="D10:K10" si="1">SUM(D8:D9)</f>
        <v>5342045</v>
      </c>
      <c r="E10" s="1708">
        <f t="shared" si="1"/>
        <v>3145027</v>
      </c>
      <c r="F10" s="1708">
        <f t="shared" si="1"/>
        <v>1974414</v>
      </c>
      <c r="G10" s="1708">
        <f t="shared" si="1"/>
        <v>2279438</v>
      </c>
      <c r="H10" s="1708">
        <f t="shared" si="1"/>
        <v>3143430</v>
      </c>
      <c r="I10" s="1708">
        <f t="shared" si="1"/>
        <v>271482</v>
      </c>
      <c r="J10" s="1708">
        <f t="shared" si="1"/>
        <v>821177</v>
      </c>
      <c r="K10" s="1708">
        <f t="shared" si="1"/>
        <v>3742</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2">
        <f>'Expenditures 15-22'!K33</f>
        <v>40370629</v>
      </c>
      <c r="D12" s="520" t="s">
        <v>1231</v>
      </c>
      <c r="E12" s="468" t="s">
        <v>1231</v>
      </c>
      <c r="F12" s="468" t="s">
        <v>1231</v>
      </c>
      <c r="G12" s="1762">
        <f>'Expenditures 15-22'!K229</f>
        <v>828160</v>
      </c>
      <c r="H12" s="521"/>
      <c r="I12" s="468" t="s">
        <v>1231</v>
      </c>
      <c r="J12" s="468" t="s">
        <v>1231</v>
      </c>
      <c r="K12" s="521" t="s">
        <v>1231</v>
      </c>
      <c r="L12" s="347"/>
    </row>
    <row r="13" spans="1:13" ht="15.75" customHeight="1" x14ac:dyDescent="0.2">
      <c r="A13" s="1598" t="s">
        <v>477</v>
      </c>
      <c r="B13" s="1600">
        <v>2000</v>
      </c>
      <c r="C13" s="1763">
        <f>'Expenditures 15-22'!K74</f>
        <v>16476643</v>
      </c>
      <c r="D13" s="1763">
        <f>'Expenditures 15-22'!K129</f>
        <v>5345966</v>
      </c>
      <c r="E13" s="469" t="s">
        <v>1231</v>
      </c>
      <c r="F13" s="1763">
        <f>'Expenditures 15-22'!K184</f>
        <v>1537855</v>
      </c>
      <c r="G13" s="1763">
        <f>'Expenditures 15-22'!K279</f>
        <v>1294468</v>
      </c>
      <c r="H13" s="1763">
        <f>'Expenditures 15-22'!K303</f>
        <v>2476842</v>
      </c>
      <c r="I13" s="468" t="s">
        <v>1231</v>
      </c>
      <c r="J13" s="1763">
        <f>'Expenditures 15-22'!K330</f>
        <v>854699</v>
      </c>
      <c r="K13" s="1767">
        <f>'Expenditures 15-22'!K352</f>
        <v>352571</v>
      </c>
      <c r="L13" s="347"/>
    </row>
    <row r="14" spans="1:13" ht="15.75" customHeight="1" x14ac:dyDescent="0.2">
      <c r="A14" s="1598" t="s">
        <v>469</v>
      </c>
      <c r="B14" s="1600">
        <v>3000</v>
      </c>
      <c r="C14" s="1763">
        <f>'Expenditures 15-22'!K75</f>
        <v>3469888</v>
      </c>
      <c r="D14" s="1763">
        <f>'Expenditures 15-22'!K130</f>
        <v>0</v>
      </c>
      <c r="E14" s="520" t="s">
        <v>1231</v>
      </c>
      <c r="F14" s="1763">
        <f>'Expenditures 15-22'!K185</f>
        <v>0</v>
      </c>
      <c r="G14" s="1763">
        <f>'Expenditures 15-22'!K280</f>
        <v>3614</v>
      </c>
      <c r="H14" s="512"/>
      <c r="I14" s="468" t="s">
        <v>1231</v>
      </c>
      <c r="J14" s="468" t="s">
        <v>1231</v>
      </c>
      <c r="K14" s="512" t="s">
        <v>1231</v>
      </c>
      <c r="L14" s="347"/>
    </row>
    <row r="15" spans="1:13" ht="15.75" customHeight="1" x14ac:dyDescent="0.2">
      <c r="A15" s="1598" t="s">
        <v>109</v>
      </c>
      <c r="B15" s="1600">
        <v>4000</v>
      </c>
      <c r="C15" s="1763">
        <f>'Expenditures 15-22'!K102</f>
        <v>2274834</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32638842</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62591994</v>
      </c>
      <c r="D17" s="1708">
        <f t="shared" si="2"/>
        <v>5345966</v>
      </c>
      <c r="E17" s="1708">
        <f t="shared" si="2"/>
        <v>32638842</v>
      </c>
      <c r="F17" s="1708">
        <f t="shared" si="2"/>
        <v>1537855</v>
      </c>
      <c r="G17" s="1708">
        <f t="shared" si="2"/>
        <v>2126242</v>
      </c>
      <c r="H17" s="1708">
        <f t="shared" si="2"/>
        <v>2476842</v>
      </c>
      <c r="I17" s="468"/>
      <c r="J17" s="1708">
        <f>SUM(J12:J16)</f>
        <v>854699</v>
      </c>
      <c r="K17" s="1708">
        <f>SUM(K12:K16)</f>
        <v>352571</v>
      </c>
      <c r="L17" s="347"/>
    </row>
    <row r="18" spans="1:12" ht="15" customHeight="1" thickTop="1" x14ac:dyDescent="0.2">
      <c r="A18" s="1764" t="s">
        <v>1753</v>
      </c>
      <c r="B18" s="1765">
        <v>4180</v>
      </c>
      <c r="C18" s="1762">
        <f t="shared" ref="C18:H18" si="3">C9</f>
        <v>25838626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88430620</v>
      </c>
      <c r="D19" s="1708">
        <f t="shared" si="4"/>
        <v>5345966</v>
      </c>
      <c r="E19" s="1708">
        <f t="shared" si="4"/>
        <v>32638842</v>
      </c>
      <c r="F19" s="1708">
        <f t="shared" si="4"/>
        <v>1537855</v>
      </c>
      <c r="G19" s="1708">
        <f t="shared" si="4"/>
        <v>2126242</v>
      </c>
      <c r="H19" s="1708">
        <f t="shared" si="4"/>
        <v>2476842</v>
      </c>
      <c r="I19" s="468"/>
      <c r="J19" s="1708">
        <f>SUM(J17:J18)</f>
        <v>854699</v>
      </c>
      <c r="K19" s="1708">
        <f>SUM(K17:K18)</f>
        <v>352571</v>
      </c>
      <c r="L19" s="347"/>
    </row>
    <row r="20" spans="1:12" ht="16.5" thickTop="1" thickBot="1" x14ac:dyDescent="0.25">
      <c r="A20" s="2149" t="s">
        <v>1754</v>
      </c>
      <c r="B20" s="2150"/>
      <c r="C20" s="1766">
        <f>C8-C17</f>
        <v>1582253</v>
      </c>
      <c r="D20" s="1766">
        <f t="shared" ref="D20:K20" si="5">D8-D17</f>
        <v>-3921</v>
      </c>
      <c r="E20" s="1766">
        <f t="shared" si="5"/>
        <v>-29493815</v>
      </c>
      <c r="F20" s="1766">
        <f t="shared" si="5"/>
        <v>436559</v>
      </c>
      <c r="G20" s="1766">
        <f t="shared" si="5"/>
        <v>153196</v>
      </c>
      <c r="H20" s="1766">
        <f t="shared" si="5"/>
        <v>666588</v>
      </c>
      <c r="I20" s="1766">
        <f t="shared" si="5"/>
        <v>271482</v>
      </c>
      <c r="J20" s="1766">
        <f t="shared" si="5"/>
        <v>-33522</v>
      </c>
      <c r="K20" s="1766">
        <f t="shared" si="5"/>
        <v>-348829</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v>27730000</v>
      </c>
      <c r="F33" s="467"/>
      <c r="G33" s="477"/>
      <c r="H33" s="467"/>
      <c r="I33" s="467"/>
      <c r="J33" s="467"/>
      <c r="K33" s="467"/>
      <c r="L33" s="524"/>
    </row>
    <row r="34" spans="1:12" s="485" customFormat="1" x14ac:dyDescent="0.2">
      <c r="A34" s="1511" t="s">
        <v>1058</v>
      </c>
      <c r="B34" s="525">
        <v>7220</v>
      </c>
      <c r="C34" s="467"/>
      <c r="D34" s="467"/>
      <c r="E34" s="467">
        <v>2173345</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3">
        <f>SUM(C24:C43)</f>
        <v>0</v>
      </c>
      <c r="D44" s="1723">
        <f t="shared" ref="D44:K44" si="6">SUM(D24:D43)</f>
        <v>0</v>
      </c>
      <c r="E44" s="1723">
        <f t="shared" si="6"/>
        <v>29903345</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3">
        <f>D30</f>
        <v>0</v>
      </c>
      <c r="L52" s="524"/>
    </row>
    <row r="53" spans="1:12" s="485" customFormat="1" ht="26.25" x14ac:dyDescent="0.2">
      <c r="A53" s="1512" t="s">
        <v>1896</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41" t="s">
        <v>1239</v>
      </c>
      <c r="B77" s="2142"/>
      <c r="C77" s="1723">
        <f t="shared" ref="C77:K77" si="8">C44-C76</f>
        <v>0</v>
      </c>
      <c r="D77" s="1723">
        <f t="shared" si="8"/>
        <v>0</v>
      </c>
      <c r="E77" s="1723">
        <f t="shared" si="8"/>
        <v>29903345</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5" t="s">
        <v>618</v>
      </c>
      <c r="B78" s="2146"/>
      <c r="C78" s="1722">
        <f t="shared" ref="C78:K78" si="9">C20+C77</f>
        <v>1582253</v>
      </c>
      <c r="D78" s="1722">
        <f t="shared" si="9"/>
        <v>-3921</v>
      </c>
      <c r="E78" s="1722">
        <f t="shared" si="9"/>
        <v>409530</v>
      </c>
      <c r="F78" s="1722">
        <f t="shared" si="9"/>
        <v>436559</v>
      </c>
      <c r="G78" s="1722">
        <f t="shared" si="9"/>
        <v>153196</v>
      </c>
      <c r="H78" s="1722">
        <f t="shared" si="9"/>
        <v>666588</v>
      </c>
      <c r="I78" s="1722">
        <f t="shared" si="9"/>
        <v>271482</v>
      </c>
      <c r="J78" s="1722">
        <f t="shared" si="9"/>
        <v>-33522</v>
      </c>
      <c r="K78" s="1722">
        <f t="shared" si="9"/>
        <v>-348829</v>
      </c>
      <c r="L78" s="533"/>
    </row>
    <row r="79" spans="1:12" ht="13.5" thickTop="1" x14ac:dyDescent="0.2">
      <c r="A79" s="1516" t="s">
        <v>2070</v>
      </c>
      <c r="B79" s="534"/>
      <c r="C79" s="478">
        <v>22940750</v>
      </c>
      <c r="D79" s="535">
        <v>5918890</v>
      </c>
      <c r="E79" s="535">
        <v>1741709</v>
      </c>
      <c r="F79" s="535">
        <v>2010907</v>
      </c>
      <c r="G79" s="535">
        <v>1009482</v>
      </c>
      <c r="H79" s="535">
        <v>0</v>
      </c>
      <c r="I79" s="535">
        <v>3909878</v>
      </c>
      <c r="J79" s="535">
        <v>783622</v>
      </c>
      <c r="K79" s="535">
        <v>557415</v>
      </c>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2071</v>
      </c>
      <c r="B81" s="2144"/>
      <c r="C81" s="1708">
        <f>(SUM(C78:C80))</f>
        <v>24523003</v>
      </c>
      <c r="D81" s="1708">
        <f>SUM(D78:D80)</f>
        <v>5914969</v>
      </c>
      <c r="E81" s="1708">
        <f t="shared" ref="E81:K81" si="10">SUM(E78:E80)</f>
        <v>2151239</v>
      </c>
      <c r="F81" s="1708">
        <f t="shared" si="10"/>
        <v>2447466</v>
      </c>
      <c r="G81" s="1708">
        <f t="shared" si="10"/>
        <v>1162678</v>
      </c>
      <c r="H81" s="1708">
        <f t="shared" si="10"/>
        <v>666588</v>
      </c>
      <c r="I81" s="1708">
        <f t="shared" si="10"/>
        <v>4181360</v>
      </c>
      <c r="J81" s="1708">
        <f t="shared" si="10"/>
        <v>750100</v>
      </c>
      <c r="K81" s="1708">
        <f t="shared" si="10"/>
        <v>208586</v>
      </c>
      <c r="L81" s="347"/>
    </row>
    <row r="82" spans="1:12" ht="0.75" customHeight="1" thickTop="1" thickBot="1" x14ac:dyDescent="0.25">
      <c r="A82" s="536" t="s">
        <v>361</v>
      </c>
      <c r="B82" s="537"/>
      <c r="C82" s="538">
        <f>(C81-C79)</f>
        <v>1582253</v>
      </c>
      <c r="D82" s="538">
        <f t="shared" ref="D82:K82" si="11">(D81-D79)</f>
        <v>-3921</v>
      </c>
      <c r="E82" s="538">
        <f t="shared" si="11"/>
        <v>409530</v>
      </c>
      <c r="F82" s="538">
        <f t="shared" si="11"/>
        <v>436559</v>
      </c>
      <c r="G82" s="538">
        <f t="shared" si="11"/>
        <v>153196</v>
      </c>
      <c r="H82" s="538">
        <f t="shared" si="11"/>
        <v>666588</v>
      </c>
      <c r="I82" s="538">
        <f t="shared" si="11"/>
        <v>271482</v>
      </c>
      <c r="J82" s="538">
        <f t="shared" si="11"/>
        <v>-33522</v>
      </c>
      <c r="K82" s="538">
        <f t="shared" si="11"/>
        <v>-348829</v>
      </c>
    </row>
    <row r="83" spans="1:12" ht="14.25" hidden="1" thickTop="1" thickBot="1" x14ac:dyDescent="0.25">
      <c r="A83" s="539" t="s">
        <v>362</v>
      </c>
      <c r="B83" s="464"/>
      <c r="C83" s="540">
        <f>C82/C81</f>
        <v>6.4521176301287411E-2</v>
      </c>
      <c r="D83" s="540">
        <f t="shared" ref="D83:K83" si="12">D82/D81</f>
        <v>-6.6289442937063575E-4</v>
      </c>
      <c r="E83" s="540">
        <f t="shared" si="12"/>
        <v>0.19036936388750855</v>
      </c>
      <c r="F83" s="540">
        <f t="shared" si="12"/>
        <v>0.17837183437890455</v>
      </c>
      <c r="G83" s="540">
        <f t="shared" si="12"/>
        <v>0.13176133030813347</v>
      </c>
      <c r="H83" s="540">
        <f t="shared" si="12"/>
        <v>1</v>
      </c>
      <c r="I83" s="540">
        <f t="shared" si="12"/>
        <v>6.4926722406107099E-2</v>
      </c>
      <c r="J83" s="540">
        <f t="shared" si="12"/>
        <v>-4.4690041327822956E-2</v>
      </c>
      <c r="K83" s="540">
        <f t="shared" si="12"/>
        <v>-1.6723509727402606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5" tint="-0.249977111117893"/>
  </sheetPr>
  <dimension ref="A1:L286"/>
  <sheetViews>
    <sheetView showGridLines="0" defaultGridColor="0" colorId="8" zoomScale="110" zoomScaleNormal="110" zoomScaleSheetLayoutView="75" workbookViewId="0">
      <pane ySplit="2" topLeftCell="A3" activePane="bottomLeft" state="frozen"/>
      <selection activeCell="A2" sqref="A2"/>
      <selection pane="bottomLeft" activeCell="B5" sqref="B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18006521</v>
      </c>
      <c r="D5" s="481">
        <v>4067305</v>
      </c>
      <c r="E5" s="466">
        <v>3126552</v>
      </c>
      <c r="F5" s="548">
        <v>1084917</v>
      </c>
      <c r="G5" s="466">
        <v>1015814</v>
      </c>
      <c r="H5" s="466"/>
      <c r="I5" s="466">
        <v>271355</v>
      </c>
      <c r="J5" s="467">
        <v>814100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216983</v>
      </c>
      <c r="D7" s="466"/>
      <c r="E7" s="468"/>
      <c r="F7" s="467"/>
      <c r="G7" s="467"/>
      <c r="H7" s="467"/>
      <c r="I7" s="468"/>
      <c r="J7" s="468"/>
      <c r="K7" s="468"/>
    </row>
    <row r="8" spans="1:12" x14ac:dyDescent="0.2">
      <c r="A8" s="463" t="s">
        <v>433</v>
      </c>
      <c r="B8" s="470">
        <v>1150</v>
      </c>
      <c r="C8" s="475"/>
      <c r="D8" s="475"/>
      <c r="E8" s="477"/>
      <c r="F8" s="477"/>
      <c r="G8" s="481">
        <v>1180757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18223504</v>
      </c>
      <c r="D12" s="1727">
        <f t="shared" si="0"/>
        <v>4067305</v>
      </c>
      <c r="E12" s="1727">
        <f t="shared" si="0"/>
        <v>3126552</v>
      </c>
      <c r="F12" s="1727">
        <f t="shared" si="0"/>
        <v>1084917</v>
      </c>
      <c r="G12" s="1727">
        <f t="shared" si="0"/>
        <v>2196571</v>
      </c>
      <c r="H12" s="1727">
        <f t="shared" si="0"/>
        <v>0</v>
      </c>
      <c r="I12" s="1727">
        <f t="shared" si="0"/>
        <v>271355</v>
      </c>
      <c r="J12" s="1727">
        <f t="shared" si="0"/>
        <v>814100</v>
      </c>
      <c r="K12" s="1708">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4103789</v>
      </c>
      <c r="D16" s="466"/>
      <c r="E16" s="466"/>
      <c r="F16" s="466"/>
      <c r="G16" s="466">
        <v>75000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4103789</v>
      </c>
      <c r="D18" s="1730">
        <f t="shared" ref="D18:K18" si="1">SUM(D14:D17)</f>
        <v>0</v>
      </c>
      <c r="E18" s="1730">
        <f t="shared" si="1"/>
        <v>0</v>
      </c>
      <c r="F18" s="1730">
        <f t="shared" si="1"/>
        <v>0</v>
      </c>
      <c r="G18" s="1730">
        <f t="shared" si="1"/>
        <v>75000</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259108</v>
      </c>
      <c r="D65" s="466">
        <v>60976</v>
      </c>
      <c r="E65" s="466">
        <v>18475</v>
      </c>
      <c r="F65" s="467">
        <v>25187</v>
      </c>
      <c r="G65" s="466">
        <v>7867</v>
      </c>
      <c r="H65" s="466">
        <v>6673</v>
      </c>
      <c r="I65" s="466">
        <v>127</v>
      </c>
      <c r="J65" s="467">
        <v>7077</v>
      </c>
      <c r="K65" s="466">
        <v>3742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259108</v>
      </c>
      <c r="D67" s="1708">
        <f t="shared" ref="D67:K67" si="2">SUM(D65:D66)</f>
        <v>60976</v>
      </c>
      <c r="E67" s="1708">
        <f t="shared" si="2"/>
        <v>18475</v>
      </c>
      <c r="F67" s="1708">
        <f t="shared" si="2"/>
        <v>25187</v>
      </c>
      <c r="G67" s="1708">
        <f t="shared" si="2"/>
        <v>7867</v>
      </c>
      <c r="H67" s="1708">
        <f t="shared" si="2"/>
        <v>6673</v>
      </c>
      <c r="I67" s="1708">
        <f t="shared" si="2"/>
        <v>127</v>
      </c>
      <c r="J67" s="1708">
        <f t="shared" si="2"/>
        <v>7077</v>
      </c>
      <c r="K67" s="1708">
        <f t="shared" si="2"/>
        <v>3742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57092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623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916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58631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175419</v>
      </c>
      <c r="D77" s="466"/>
      <c r="E77" s="468"/>
      <c r="F77" s="468"/>
      <c r="G77" s="468"/>
      <c r="H77" s="468"/>
      <c r="I77" s="468"/>
      <c r="J77" s="468"/>
      <c r="K77" s="468"/>
    </row>
    <row r="78" spans="1:11" ht="12.75" customHeight="1" x14ac:dyDescent="0.2">
      <c r="A78" s="463" t="s">
        <v>78</v>
      </c>
      <c r="B78" s="470">
        <v>1719</v>
      </c>
      <c r="C78" s="551">
        <v>0</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175419</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113861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113861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280822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9425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3136757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1357744-2180</f>
        <v>1355564</v>
      </c>
      <c r="D107" s="466">
        <v>13764</v>
      </c>
      <c r="E107" s="466"/>
      <c r="F107" s="466"/>
      <c r="G107" s="466"/>
      <c r="H107" s="466"/>
      <c r="I107" s="466"/>
      <c r="J107" s="467"/>
      <c r="K107" s="466"/>
    </row>
    <row r="108" spans="1:12" ht="12.75" customHeight="1" thickBot="1" x14ac:dyDescent="0.25">
      <c r="A108" s="1728" t="s">
        <v>508</v>
      </c>
      <c r="B108" s="1732"/>
      <c r="C108" s="1727">
        <f>SUM(C95:C107)</f>
        <v>1645811</v>
      </c>
      <c r="D108" s="1727">
        <f t="shared" ref="D108:K108" si="3">SUM(D95:D107)</f>
        <v>13764</v>
      </c>
      <c r="E108" s="1727">
        <f t="shared" si="3"/>
        <v>0</v>
      </c>
      <c r="F108" s="1727">
        <f t="shared" si="3"/>
        <v>0</v>
      </c>
      <c r="G108" s="1727">
        <f t="shared" si="3"/>
        <v>0</v>
      </c>
      <c r="H108" s="1727">
        <f t="shared" si="3"/>
        <v>3136757</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24580123</v>
      </c>
      <c r="D109" s="1735">
        <f t="shared" si="4"/>
        <v>4142045</v>
      </c>
      <c r="E109" s="1735">
        <f t="shared" si="4"/>
        <v>3145027</v>
      </c>
      <c r="F109" s="1735">
        <f t="shared" si="4"/>
        <v>1110104</v>
      </c>
      <c r="G109" s="1735">
        <f t="shared" si="4"/>
        <v>2279438</v>
      </c>
      <c r="H109" s="1735">
        <f t="shared" si="4"/>
        <v>3143430</v>
      </c>
      <c r="I109" s="1735">
        <f t="shared" si="4"/>
        <v>271482</v>
      </c>
      <c r="J109" s="1735">
        <f t="shared" si="4"/>
        <v>821177</v>
      </c>
      <c r="K109" s="1722">
        <f t="shared" si="4"/>
        <v>3742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16600</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16600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26242829</v>
      </c>
      <c r="D117" s="481">
        <v>1200000</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26242829</v>
      </c>
      <c r="D121" s="1727">
        <f t="shared" si="5"/>
        <v>1200000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4478</v>
      </c>
      <c r="D124" s="561"/>
      <c r="E124" s="468"/>
      <c r="F124" s="548"/>
      <c r="G124" s="468"/>
      <c r="H124" s="468"/>
      <c r="I124" s="468"/>
      <c r="J124" s="468"/>
      <c r="K124" s="468"/>
    </row>
    <row r="125" spans="1:11" ht="12.75" customHeight="1" x14ac:dyDescent="0.2">
      <c r="A125" s="463" t="s">
        <v>1521</v>
      </c>
      <c r="B125" s="562">
        <v>3105</v>
      </c>
      <c r="C125" s="466">
        <v>227160</v>
      </c>
      <c r="D125" s="561"/>
      <c r="E125" s="468"/>
      <c r="F125" s="466"/>
      <c r="G125" s="468"/>
      <c r="H125" s="468"/>
      <c r="I125" s="468"/>
      <c r="J125" s="468"/>
      <c r="K125" s="468"/>
    </row>
    <row r="126" spans="1:11" ht="12.75" customHeight="1" x14ac:dyDescent="0.2">
      <c r="A126" s="463" t="s">
        <v>922</v>
      </c>
      <c r="B126" s="562">
        <v>3110</v>
      </c>
      <c r="C126" s="551">
        <v>262859</v>
      </c>
      <c r="D126" s="466"/>
      <c r="E126" s="468"/>
      <c r="F126" s="466"/>
      <c r="G126" s="468"/>
      <c r="H126" s="468"/>
      <c r="I126" s="468"/>
      <c r="J126" s="468"/>
      <c r="K126" s="468"/>
    </row>
    <row r="127" spans="1:11" ht="12.75" customHeight="1" x14ac:dyDescent="0.2">
      <c r="A127" s="463" t="s">
        <v>107</v>
      </c>
      <c r="B127" s="562">
        <v>3120</v>
      </c>
      <c r="C127" s="466">
        <v>166784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19551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680832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275540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275540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59363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75955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864310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864310</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520471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30095</v>
      </c>
      <c r="D171" s="580"/>
      <c r="E171" s="580"/>
      <c r="F171" s="580"/>
      <c r="G171" s="581"/>
      <c r="H171" s="582"/>
      <c r="I171" s="581"/>
      <c r="J171" s="581"/>
      <c r="K171" s="582"/>
    </row>
    <row r="172" spans="1:11" ht="12.75" customHeight="1" thickTop="1" thickBot="1" x14ac:dyDescent="0.25">
      <c r="A172" s="2167" t="s">
        <v>418</v>
      </c>
      <c r="B172" s="2168"/>
      <c r="C172" s="1742">
        <f t="shared" ref="C172:K172" si="6">SUM(C131,C140,C144,C145:C149,C154,C155:C170,C171)</f>
        <v>1642256</v>
      </c>
      <c r="D172" s="1742">
        <f t="shared" si="6"/>
        <v>0</v>
      </c>
      <c r="E172" s="1742">
        <f t="shared" si="6"/>
        <v>0</v>
      </c>
      <c r="F172" s="1742">
        <f t="shared" si="6"/>
        <v>864310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27885085</v>
      </c>
      <c r="D173" s="1735">
        <f>SUM(D121,D172)</f>
        <v>1200000</v>
      </c>
      <c r="E173" s="1735">
        <f>SUM(E121,E172)</f>
        <v>0</v>
      </c>
      <c r="F173" s="1735">
        <f t="shared" ref="F173:K173" si="7">SUM(F121,F172)</f>
        <v>864310</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v>2391694</v>
      </c>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7">
        <f>SUM(C180:C183)</f>
        <v>2391694</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2705352</v>
      </c>
      <c r="D194" s="468"/>
      <c r="E194" s="561"/>
      <c r="F194" s="468"/>
      <c r="G194" s="585"/>
      <c r="H194" s="468"/>
      <c r="I194" s="468"/>
      <c r="J194" s="468"/>
      <c r="K194" s="468"/>
    </row>
    <row r="195" spans="1:11" ht="12.75" customHeight="1" x14ac:dyDescent="0.2">
      <c r="A195" s="463" t="s">
        <v>1107</v>
      </c>
      <c r="B195" s="470">
        <v>4215</v>
      </c>
      <c r="C195" s="551">
        <v>1870</v>
      </c>
      <c r="D195" s="468"/>
      <c r="E195" s="561"/>
      <c r="F195" s="468"/>
      <c r="G195" s="585"/>
      <c r="H195" s="468"/>
      <c r="I195" s="468"/>
      <c r="J195" s="468"/>
      <c r="K195" s="468"/>
    </row>
    <row r="196" spans="1:11" ht="12.75" customHeight="1" x14ac:dyDescent="0.2">
      <c r="A196" s="463" t="s">
        <v>1119</v>
      </c>
      <c r="B196" s="470">
        <v>4220</v>
      </c>
      <c r="C196" s="551">
        <v>795853</v>
      </c>
      <c r="D196" s="468"/>
      <c r="E196" s="561"/>
      <c r="F196" s="468"/>
      <c r="G196" s="585"/>
      <c r="H196" s="468"/>
      <c r="I196" s="468"/>
      <c r="J196" s="468"/>
      <c r="K196" s="468"/>
    </row>
    <row r="197" spans="1:11" ht="12.75" customHeight="1" x14ac:dyDescent="0.2">
      <c r="A197" s="463" t="s">
        <v>1526</v>
      </c>
      <c r="B197" s="470">
        <v>4225</v>
      </c>
      <c r="C197" s="551">
        <v>32624</v>
      </c>
      <c r="D197" s="468"/>
      <c r="E197" s="561"/>
      <c r="F197" s="468"/>
      <c r="G197" s="585"/>
      <c r="H197" s="468"/>
      <c r="I197" s="468"/>
      <c r="J197" s="468"/>
      <c r="K197" s="468"/>
    </row>
    <row r="198" spans="1:11" ht="12.75" customHeight="1" x14ac:dyDescent="0.2">
      <c r="A198" s="463" t="s">
        <v>1527</v>
      </c>
      <c r="B198" s="470">
        <v>4226</v>
      </c>
      <c r="C198" s="551">
        <v>71217</v>
      </c>
      <c r="D198" s="468"/>
      <c r="E198" s="561"/>
      <c r="F198" s="468"/>
      <c r="G198" s="585"/>
      <c r="H198" s="468"/>
      <c r="I198" s="468"/>
      <c r="J198" s="468"/>
      <c r="K198" s="468"/>
    </row>
    <row r="199" spans="1:11" ht="12.75" customHeight="1" x14ac:dyDescent="0.2">
      <c r="A199" s="463" t="s">
        <v>825</v>
      </c>
      <c r="B199" s="470">
        <v>4240</v>
      </c>
      <c r="C199" s="489">
        <v>49428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3656344</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2103233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2103233</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v>279936</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279936</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1347391</v>
      </c>
      <c r="D220" s="466"/>
      <c r="E220" s="468"/>
      <c r="F220" s="466"/>
      <c r="G220" s="466"/>
      <c r="H220" s="468"/>
      <c r="I220" s="468"/>
      <c r="J220" s="468"/>
      <c r="K220" s="468"/>
    </row>
    <row r="221" spans="1:11" ht="12.75" customHeight="1" x14ac:dyDescent="0.2">
      <c r="A221" s="463" t="s">
        <v>1114</v>
      </c>
      <c r="B221" s="470">
        <v>4625</v>
      </c>
      <c r="C221" s="551">
        <v>6313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1353704</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68495</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301549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148513</v>
      </c>
      <c r="D270" s="576"/>
      <c r="E270" s="468"/>
      <c r="F270" s="576"/>
      <c r="G270" s="576"/>
      <c r="H270" s="468"/>
      <c r="I270" s="468"/>
      <c r="J270" s="468"/>
      <c r="K270" s="468"/>
    </row>
    <row r="271" spans="1:11" ht="12.75" customHeight="1" thickTop="1" thickBot="1" x14ac:dyDescent="0.25">
      <c r="A271" s="463" t="s">
        <v>395</v>
      </c>
      <c r="B271" s="470">
        <v>4992</v>
      </c>
      <c r="C271" s="575">
        <v>364400</v>
      </c>
      <c r="D271" s="576"/>
      <c r="E271" s="468"/>
      <c r="F271" s="576"/>
      <c r="G271" s="576"/>
      <c r="H271" s="468"/>
      <c r="I271" s="468"/>
      <c r="J271" s="468"/>
      <c r="K271" s="468"/>
    </row>
    <row r="272" spans="1:11" s="594" customFormat="1" ht="12.75" customHeight="1" thickTop="1" thickBot="1" x14ac:dyDescent="0.25">
      <c r="A272" s="563" t="s">
        <v>77</v>
      </c>
      <c r="B272" s="557">
        <v>4999</v>
      </c>
      <c r="C272" s="575">
        <f>1022391+2180</f>
        <v>1024571</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9300745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11692439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64174247</v>
      </c>
      <c r="D275" s="1735">
        <f t="shared" si="12"/>
        <v>5342045</v>
      </c>
      <c r="E275" s="1735">
        <f t="shared" si="12"/>
        <v>3145027</v>
      </c>
      <c r="F275" s="1735">
        <f t="shared" si="12"/>
        <v>1974414</v>
      </c>
      <c r="G275" s="1735">
        <f t="shared" si="12"/>
        <v>2279438</v>
      </c>
      <c r="H275" s="1735">
        <f t="shared" si="12"/>
        <v>3143430</v>
      </c>
      <c r="I275" s="1735">
        <f t="shared" si="12"/>
        <v>271482</v>
      </c>
      <c r="J275" s="1735">
        <f t="shared" si="12"/>
        <v>821177</v>
      </c>
      <c r="K275" s="1722">
        <f t="shared" si="12"/>
        <v>3742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tint="-0.249977111117893"/>
  </sheetPr>
  <dimension ref="A1:N368"/>
  <sheetViews>
    <sheetView showGridLines="0" defaultGridColor="0" colorId="8" zoomScale="110" zoomScaleNormal="110" workbookViewId="0">
      <pane ySplit="2" topLeftCell="A147" activePane="bottomLeft" state="frozen"/>
      <selection activeCell="A2" sqref="A2"/>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20164240</v>
      </c>
      <c r="D5" s="466">
        <v>4451649</v>
      </c>
      <c r="E5" s="466">
        <v>351870</v>
      </c>
      <c r="F5" s="466">
        <v>561851</v>
      </c>
      <c r="G5" s="466">
        <v>54730</v>
      </c>
      <c r="H5" s="466"/>
      <c r="I5" s="467">
        <v>41470</v>
      </c>
      <c r="J5" s="467"/>
      <c r="K5" s="1691">
        <f>SUM(C5:J5)</f>
        <v>25625810</v>
      </c>
      <c r="L5" s="466">
        <v>25721349</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v>270775</v>
      </c>
      <c r="D7" s="467">
        <v>56734</v>
      </c>
      <c r="E7" s="467">
        <v>1849</v>
      </c>
      <c r="F7" s="467">
        <v>2981</v>
      </c>
      <c r="G7" s="467"/>
      <c r="H7" s="467"/>
      <c r="I7" s="467">
        <v>8067</v>
      </c>
      <c r="J7" s="467"/>
      <c r="K7" s="1691">
        <f t="shared" ref="K7:K32" si="0">SUM(C7:J7)</f>
        <v>340406</v>
      </c>
      <c r="L7" s="466">
        <v>342225</v>
      </c>
    </row>
    <row r="8" spans="1:14" x14ac:dyDescent="0.2">
      <c r="A8" s="1526" t="s">
        <v>166</v>
      </c>
      <c r="B8" s="615">
        <v>1200</v>
      </c>
      <c r="C8" s="466">
        <v>6659506</v>
      </c>
      <c r="D8" s="466">
        <v>1539204</v>
      </c>
      <c r="E8" s="466">
        <v>19166</v>
      </c>
      <c r="F8" s="466">
        <v>22894</v>
      </c>
      <c r="G8" s="466"/>
      <c r="H8" s="466"/>
      <c r="I8" s="467">
        <v>640</v>
      </c>
      <c r="J8" s="467"/>
      <c r="K8" s="1691">
        <f t="shared" si="0"/>
        <v>8241410</v>
      </c>
      <c r="L8" s="466">
        <v>8377882</v>
      </c>
    </row>
    <row r="9" spans="1:14" x14ac:dyDescent="0.2">
      <c r="A9" s="1526" t="s">
        <v>745</v>
      </c>
      <c r="B9" s="615" t="s">
        <v>1025</v>
      </c>
      <c r="C9" s="467">
        <v>196548</v>
      </c>
      <c r="D9" s="467"/>
      <c r="E9" s="467"/>
      <c r="F9" s="467"/>
      <c r="G9" s="467"/>
      <c r="H9" s="467"/>
      <c r="I9" s="467"/>
      <c r="J9" s="467"/>
      <c r="K9" s="1691">
        <f t="shared" si="0"/>
        <v>196548</v>
      </c>
      <c r="L9" s="466">
        <v>0</v>
      </c>
    </row>
    <row r="10" spans="1:14" x14ac:dyDescent="0.2">
      <c r="A10" s="1526" t="s">
        <v>746</v>
      </c>
      <c r="B10" s="615">
        <v>1250</v>
      </c>
      <c r="C10" s="466">
        <v>472836</v>
      </c>
      <c r="D10" s="466">
        <v>207528</v>
      </c>
      <c r="E10" s="466">
        <v>24579</v>
      </c>
      <c r="F10" s="466">
        <v>618356</v>
      </c>
      <c r="G10" s="466"/>
      <c r="H10" s="466"/>
      <c r="I10" s="467">
        <v>21331</v>
      </c>
      <c r="J10" s="467"/>
      <c r="K10" s="1691">
        <f t="shared" si="0"/>
        <v>1344630</v>
      </c>
      <c r="L10" s="466">
        <v>1175133</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v>666832</v>
      </c>
      <c r="D13" s="466">
        <v>154962</v>
      </c>
      <c r="E13" s="466">
        <v>41269</v>
      </c>
      <c r="F13" s="466">
        <v>31746</v>
      </c>
      <c r="G13" s="466"/>
      <c r="H13" s="466"/>
      <c r="I13" s="467">
        <v>541</v>
      </c>
      <c r="J13" s="467"/>
      <c r="K13" s="1691">
        <f t="shared" si="0"/>
        <v>895350</v>
      </c>
      <c r="L13" s="466">
        <v>914755</v>
      </c>
    </row>
    <row r="14" spans="1:14" x14ac:dyDescent="0.2">
      <c r="A14" s="1526" t="s">
        <v>1020</v>
      </c>
      <c r="B14" s="615">
        <v>1500</v>
      </c>
      <c r="C14" s="466">
        <v>1204296</v>
      </c>
      <c r="D14" s="466">
        <v>116169</v>
      </c>
      <c r="E14" s="466">
        <v>133413</v>
      </c>
      <c r="F14" s="466">
        <v>354924</v>
      </c>
      <c r="G14" s="466"/>
      <c r="H14" s="466">
        <v>1100</v>
      </c>
      <c r="I14" s="467"/>
      <c r="J14" s="467"/>
      <c r="K14" s="1691">
        <f t="shared" si="0"/>
        <v>1809902</v>
      </c>
      <c r="L14" s="466">
        <v>1744889</v>
      </c>
    </row>
    <row r="15" spans="1:14" x14ac:dyDescent="0.2">
      <c r="A15" s="1526" t="s">
        <v>1021</v>
      </c>
      <c r="B15" s="615">
        <v>1600</v>
      </c>
      <c r="C15" s="466">
        <v>58886</v>
      </c>
      <c r="D15" s="466">
        <v>8932</v>
      </c>
      <c r="E15" s="466">
        <v>57640</v>
      </c>
      <c r="F15" s="466"/>
      <c r="G15" s="466"/>
      <c r="H15" s="466"/>
      <c r="I15" s="467"/>
      <c r="J15" s="467"/>
      <c r="K15" s="1691">
        <f t="shared" si="0"/>
        <v>125458</v>
      </c>
      <c r="L15" s="466">
        <v>100971</v>
      </c>
    </row>
    <row r="16" spans="1:14" x14ac:dyDescent="0.2">
      <c r="A16" s="1526" t="s">
        <v>1044</v>
      </c>
      <c r="B16" s="615" t="s">
        <v>444</v>
      </c>
      <c r="C16" s="466">
        <v>261267</v>
      </c>
      <c r="D16" s="466">
        <v>63748</v>
      </c>
      <c r="E16" s="466">
        <v>272</v>
      </c>
      <c r="F16" s="466">
        <v>2603</v>
      </c>
      <c r="G16" s="466"/>
      <c r="H16" s="466"/>
      <c r="I16" s="467"/>
      <c r="J16" s="467"/>
      <c r="K16" s="1691">
        <f t="shared" si="0"/>
        <v>327890</v>
      </c>
      <c r="L16" s="466">
        <v>331411</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v>1179612</v>
      </c>
      <c r="D18" s="466">
        <v>275958</v>
      </c>
      <c r="E18" s="466">
        <v>578</v>
      </c>
      <c r="F18" s="466">
        <v>7077</v>
      </c>
      <c r="G18" s="466"/>
      <c r="H18" s="466"/>
      <c r="I18" s="467"/>
      <c r="J18" s="467"/>
      <c r="K18" s="1691">
        <f t="shared" si="0"/>
        <v>1463225</v>
      </c>
      <c r="L18" s="466">
        <v>1676513</v>
      </c>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31134798</v>
      </c>
      <c r="D33" s="1690">
        <f t="shared" ref="D33:L33" si="1">SUM(D5:D32)</f>
        <v>6874884</v>
      </c>
      <c r="E33" s="1690">
        <f t="shared" si="1"/>
        <v>630636</v>
      </c>
      <c r="F33" s="1690">
        <f t="shared" si="1"/>
        <v>1602432</v>
      </c>
      <c r="G33" s="1690">
        <f t="shared" si="1"/>
        <v>54730</v>
      </c>
      <c r="H33" s="1690">
        <f t="shared" si="1"/>
        <v>1100</v>
      </c>
      <c r="I33" s="1690">
        <f t="shared" si="1"/>
        <v>72049</v>
      </c>
      <c r="J33" s="1690">
        <f t="shared" si="1"/>
        <v>0</v>
      </c>
      <c r="K33" s="1690">
        <f t="shared" si="1"/>
        <v>40370629</v>
      </c>
      <c r="L33" s="1690">
        <f t="shared" si="1"/>
        <v>40385128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592161</v>
      </c>
      <c r="D36" s="481">
        <v>113734</v>
      </c>
      <c r="E36" s="481"/>
      <c r="F36" s="481"/>
      <c r="G36" s="481"/>
      <c r="H36" s="481"/>
      <c r="I36" s="467"/>
      <c r="J36" s="467"/>
      <c r="K36" s="1691">
        <f t="shared" ref="K36:K41" si="2">SUM(C36:J36)</f>
        <v>705895</v>
      </c>
      <c r="L36" s="466">
        <v>755738</v>
      </c>
    </row>
    <row r="37" spans="1:14" x14ac:dyDescent="0.2">
      <c r="A37" s="1526" t="s">
        <v>1151</v>
      </c>
      <c r="B37" s="615">
        <v>2120</v>
      </c>
      <c r="C37" s="466">
        <v>1166411</v>
      </c>
      <c r="D37" s="466">
        <v>265020</v>
      </c>
      <c r="E37" s="466"/>
      <c r="F37" s="466"/>
      <c r="G37" s="466"/>
      <c r="H37" s="466"/>
      <c r="I37" s="467"/>
      <c r="J37" s="467"/>
      <c r="K37" s="1691">
        <f t="shared" si="2"/>
        <v>1431431</v>
      </c>
      <c r="L37" s="466">
        <v>1504746</v>
      </c>
    </row>
    <row r="38" spans="1:14" x14ac:dyDescent="0.2">
      <c r="A38" s="1526" t="s">
        <v>207</v>
      </c>
      <c r="B38" s="615">
        <v>2130</v>
      </c>
      <c r="C38" s="466">
        <v>478453</v>
      </c>
      <c r="D38" s="466">
        <v>106935</v>
      </c>
      <c r="E38" s="466"/>
      <c r="F38" s="466">
        <v>6357</v>
      </c>
      <c r="G38" s="466"/>
      <c r="H38" s="466"/>
      <c r="I38" s="467"/>
      <c r="J38" s="467"/>
      <c r="K38" s="1691">
        <f t="shared" si="2"/>
        <v>591745</v>
      </c>
      <c r="L38" s="466">
        <v>592865</v>
      </c>
    </row>
    <row r="39" spans="1:14" x14ac:dyDescent="0.2">
      <c r="A39" s="1526" t="s">
        <v>208</v>
      </c>
      <c r="B39" s="615">
        <v>2140</v>
      </c>
      <c r="C39" s="466">
        <v>912063</v>
      </c>
      <c r="D39" s="466">
        <v>184925</v>
      </c>
      <c r="E39" s="466"/>
      <c r="F39" s="466"/>
      <c r="G39" s="466"/>
      <c r="H39" s="466"/>
      <c r="I39" s="467"/>
      <c r="J39" s="467"/>
      <c r="K39" s="1691">
        <f t="shared" si="2"/>
        <v>1096988</v>
      </c>
      <c r="L39" s="466">
        <v>1153755</v>
      </c>
    </row>
    <row r="40" spans="1:14" x14ac:dyDescent="0.2">
      <c r="A40" s="1526" t="s">
        <v>209</v>
      </c>
      <c r="B40" s="615">
        <v>2150</v>
      </c>
      <c r="C40" s="466">
        <v>689974</v>
      </c>
      <c r="D40" s="466">
        <v>136500</v>
      </c>
      <c r="E40" s="466"/>
      <c r="F40" s="466"/>
      <c r="G40" s="466"/>
      <c r="H40" s="466"/>
      <c r="I40" s="467"/>
      <c r="J40" s="467"/>
      <c r="K40" s="1691">
        <f t="shared" si="2"/>
        <v>826474</v>
      </c>
      <c r="L40" s="466">
        <v>1004226</v>
      </c>
    </row>
    <row r="41" spans="1:14" x14ac:dyDescent="0.2">
      <c r="A41" s="1526" t="s">
        <v>1768</v>
      </c>
      <c r="B41" s="615">
        <v>2190</v>
      </c>
      <c r="C41" s="466">
        <v>70414</v>
      </c>
      <c r="D41" s="466">
        <v>1071</v>
      </c>
      <c r="E41" s="466"/>
      <c r="F41" s="466"/>
      <c r="G41" s="466"/>
      <c r="H41" s="466"/>
      <c r="I41" s="467"/>
      <c r="J41" s="467"/>
      <c r="K41" s="1691">
        <f t="shared" si="2"/>
        <v>71485</v>
      </c>
      <c r="L41" s="466">
        <v>79932</v>
      </c>
    </row>
    <row r="42" spans="1:14" ht="12.75" customHeight="1" thickBot="1" x14ac:dyDescent="0.25">
      <c r="A42" s="1688" t="s">
        <v>581</v>
      </c>
      <c r="B42" s="1689" t="s">
        <v>740</v>
      </c>
      <c r="C42" s="1690">
        <f>SUM(C36:C41)</f>
        <v>3909476</v>
      </c>
      <c r="D42" s="1690">
        <f t="shared" ref="D42:L42" si="3">SUM(D36:D41)</f>
        <v>808185</v>
      </c>
      <c r="E42" s="1690">
        <f t="shared" si="3"/>
        <v>0</v>
      </c>
      <c r="F42" s="1690">
        <f t="shared" si="3"/>
        <v>6357</v>
      </c>
      <c r="G42" s="1690">
        <f t="shared" si="3"/>
        <v>0</v>
      </c>
      <c r="H42" s="1690">
        <f t="shared" si="3"/>
        <v>0</v>
      </c>
      <c r="I42" s="1690">
        <f t="shared" si="3"/>
        <v>0</v>
      </c>
      <c r="J42" s="1690">
        <f t="shared" si="3"/>
        <v>0</v>
      </c>
      <c r="K42" s="1690">
        <f t="shared" si="3"/>
        <v>4724018</v>
      </c>
      <c r="L42" s="1690">
        <f t="shared" si="3"/>
        <v>5091262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773899</v>
      </c>
      <c r="D44" s="481">
        <v>246355</v>
      </c>
      <c r="E44" s="481">
        <v>408455</v>
      </c>
      <c r="F44" s="481">
        <v>122937</v>
      </c>
      <c r="G44" s="481"/>
      <c r="H44" s="481">
        <v>6627</v>
      </c>
      <c r="I44" s="467">
        <v>1399</v>
      </c>
      <c r="J44" s="467"/>
      <c r="K44" s="1692">
        <f>SUM(C44:J44)</f>
        <v>1559672</v>
      </c>
      <c r="L44" s="481">
        <v>1420155</v>
      </c>
    </row>
    <row r="45" spans="1:14" x14ac:dyDescent="0.2">
      <c r="A45" s="1526" t="s">
        <v>869</v>
      </c>
      <c r="B45" s="615">
        <v>2220</v>
      </c>
      <c r="C45" s="466">
        <v>269212</v>
      </c>
      <c r="D45" s="466">
        <v>88458</v>
      </c>
      <c r="E45" s="466">
        <v>21512</v>
      </c>
      <c r="F45" s="466">
        <v>48764</v>
      </c>
      <c r="G45" s="466"/>
      <c r="H45" s="466"/>
      <c r="I45" s="467">
        <v>2100</v>
      </c>
      <c r="J45" s="467"/>
      <c r="K45" s="1692">
        <f>SUM(C45:J45)</f>
        <v>430046</v>
      </c>
      <c r="L45" s="466">
        <v>540228</v>
      </c>
    </row>
    <row r="46" spans="1:14" x14ac:dyDescent="0.2">
      <c r="A46" s="1526" t="s">
        <v>870</v>
      </c>
      <c r="B46" s="615">
        <v>2230</v>
      </c>
      <c r="C46" s="466">
        <v>79569</v>
      </c>
      <c r="D46" s="466">
        <v>23265</v>
      </c>
      <c r="E46" s="466">
        <v>1188</v>
      </c>
      <c r="F46" s="466"/>
      <c r="G46" s="466"/>
      <c r="H46" s="466"/>
      <c r="I46" s="467"/>
      <c r="J46" s="467"/>
      <c r="K46" s="1692">
        <f>SUM(C46:J46)</f>
        <v>104022</v>
      </c>
      <c r="L46" s="466">
        <v>101460</v>
      </c>
    </row>
    <row r="47" spans="1:14" ht="12.75" customHeight="1" thickBot="1" x14ac:dyDescent="0.25">
      <c r="A47" s="1688" t="s">
        <v>582</v>
      </c>
      <c r="B47" s="1689" t="s">
        <v>32</v>
      </c>
      <c r="C47" s="1690">
        <f>SUM(C44:C46)</f>
        <v>1122680</v>
      </c>
      <c r="D47" s="1690">
        <f t="shared" ref="D47:K47" si="4">SUM(D44:D46)</f>
        <v>358078</v>
      </c>
      <c r="E47" s="1690">
        <f t="shared" si="4"/>
        <v>431155</v>
      </c>
      <c r="F47" s="1690">
        <f t="shared" si="4"/>
        <v>171701</v>
      </c>
      <c r="G47" s="1690">
        <f t="shared" si="4"/>
        <v>0</v>
      </c>
      <c r="H47" s="1690">
        <f t="shared" si="4"/>
        <v>6627</v>
      </c>
      <c r="I47" s="1690">
        <f t="shared" si="4"/>
        <v>3499</v>
      </c>
      <c r="J47" s="1690">
        <f t="shared" si="4"/>
        <v>0</v>
      </c>
      <c r="K47" s="1690">
        <f t="shared" si="4"/>
        <v>2093740</v>
      </c>
      <c r="L47" s="1690">
        <f>SUM(L44:L46)</f>
        <v>2061843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12786</v>
      </c>
      <c r="E49" s="481">
        <v>209952</v>
      </c>
      <c r="F49" s="481">
        <v>5915</v>
      </c>
      <c r="G49" s="481"/>
      <c r="H49" s="481">
        <v>2500</v>
      </c>
      <c r="I49" s="467"/>
      <c r="J49" s="467"/>
      <c r="K49" s="1692">
        <f>SUM(C49:J49)</f>
        <v>231153</v>
      </c>
      <c r="L49" s="481">
        <v>232060</v>
      </c>
    </row>
    <row r="50" spans="1:14" x14ac:dyDescent="0.2">
      <c r="A50" s="1526" t="s">
        <v>872</v>
      </c>
      <c r="B50" s="615">
        <v>2320</v>
      </c>
      <c r="C50" s="466">
        <v>234132</v>
      </c>
      <c r="D50" s="466">
        <v>53633</v>
      </c>
      <c r="E50" s="466">
        <v>16985</v>
      </c>
      <c r="F50" s="466">
        <v>15444</v>
      </c>
      <c r="G50" s="466"/>
      <c r="H50" s="466">
        <v>2976</v>
      </c>
      <c r="I50" s="467">
        <v>677</v>
      </c>
      <c r="J50" s="467"/>
      <c r="K50" s="1692">
        <f>SUM(C50:J50)</f>
        <v>323847</v>
      </c>
      <c r="L50" s="466">
        <v>346698</v>
      </c>
    </row>
    <row r="51" spans="1:14" x14ac:dyDescent="0.2">
      <c r="A51" s="1526" t="s">
        <v>44</v>
      </c>
      <c r="B51" s="615">
        <v>2330</v>
      </c>
      <c r="C51" s="466">
        <v>125883</v>
      </c>
      <c r="D51" s="466">
        <v>35944</v>
      </c>
      <c r="E51" s="466"/>
      <c r="F51" s="466"/>
      <c r="G51" s="466"/>
      <c r="H51" s="466"/>
      <c r="I51" s="467"/>
      <c r="J51" s="467"/>
      <c r="K51" s="1692">
        <f>SUM(C51:J51)</f>
        <v>161827</v>
      </c>
      <c r="L51" s="466">
        <v>163119</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360015</v>
      </c>
      <c r="D53" s="1690">
        <f t="shared" ref="D53:L53" si="5">SUM(D49:D52)</f>
        <v>102363</v>
      </c>
      <c r="E53" s="1690">
        <f t="shared" si="5"/>
        <v>226937</v>
      </c>
      <c r="F53" s="1690">
        <f t="shared" si="5"/>
        <v>21359</v>
      </c>
      <c r="G53" s="1690">
        <f t="shared" si="5"/>
        <v>0</v>
      </c>
      <c r="H53" s="1690">
        <f t="shared" si="5"/>
        <v>5476</v>
      </c>
      <c r="I53" s="1690">
        <f t="shared" si="5"/>
        <v>677</v>
      </c>
      <c r="J53" s="1690">
        <f t="shared" si="5"/>
        <v>0</v>
      </c>
      <c r="K53" s="1690">
        <f t="shared" si="5"/>
        <v>716827</v>
      </c>
      <c r="L53" s="1690">
        <f t="shared" si="5"/>
        <v>741877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2874137</v>
      </c>
      <c r="D55" s="481">
        <v>611776</v>
      </c>
      <c r="E55" s="481"/>
      <c r="F55" s="481"/>
      <c r="G55" s="481"/>
      <c r="H55" s="481"/>
      <c r="I55" s="467"/>
      <c r="J55" s="467"/>
      <c r="K55" s="1692">
        <f>SUM(C55:J55)</f>
        <v>3485913</v>
      </c>
      <c r="L55" s="481">
        <v>3554653</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2874137</v>
      </c>
      <c r="D57" s="1694">
        <f t="shared" ref="D57:K57" si="6">SUM(D55:D56)</f>
        <v>611776</v>
      </c>
      <c r="E57" s="1694">
        <f t="shared" si="6"/>
        <v>0</v>
      </c>
      <c r="F57" s="1694">
        <f t="shared" si="6"/>
        <v>0</v>
      </c>
      <c r="G57" s="1694">
        <f t="shared" si="6"/>
        <v>0</v>
      </c>
      <c r="H57" s="1694">
        <f t="shared" si="6"/>
        <v>0</v>
      </c>
      <c r="I57" s="1694">
        <f t="shared" si="6"/>
        <v>0</v>
      </c>
      <c r="J57" s="1694">
        <f t="shared" si="6"/>
        <v>0</v>
      </c>
      <c r="K57" s="1694">
        <f t="shared" si="6"/>
        <v>3485913</v>
      </c>
      <c r="L57" s="1690">
        <f>SUM(L55:L56)</f>
        <v>3554653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170444</v>
      </c>
      <c r="D59" s="481">
        <v>27847</v>
      </c>
      <c r="E59" s="481">
        <v>3650</v>
      </c>
      <c r="F59" s="481"/>
      <c r="G59" s="481"/>
      <c r="H59" s="481"/>
      <c r="I59" s="467"/>
      <c r="J59" s="467"/>
      <c r="K59" s="1692">
        <f t="shared" ref="K59:K64" si="7">SUM(C59:J59)</f>
        <v>201941</v>
      </c>
      <c r="L59" s="481">
        <v>244113</v>
      </c>
      <c r="M59" s="610"/>
      <c r="N59" s="610"/>
    </row>
    <row r="60" spans="1:14" s="343" customFormat="1" x14ac:dyDescent="0.2">
      <c r="A60" s="1526" t="s">
        <v>483</v>
      </c>
      <c r="B60" s="615">
        <v>2520</v>
      </c>
      <c r="C60" s="466">
        <v>231762</v>
      </c>
      <c r="D60" s="466">
        <v>49651</v>
      </c>
      <c r="E60" s="466"/>
      <c r="F60" s="466">
        <v>6938</v>
      </c>
      <c r="G60" s="466"/>
      <c r="H60" s="466"/>
      <c r="I60" s="467"/>
      <c r="J60" s="467"/>
      <c r="K60" s="1692">
        <f t="shared" si="7"/>
        <v>288351</v>
      </c>
      <c r="L60" s="466">
        <v>285187</v>
      </c>
      <c r="M60" s="610"/>
      <c r="N60" s="610"/>
    </row>
    <row r="61" spans="1:14" s="343" customFormat="1" x14ac:dyDescent="0.2">
      <c r="A61" s="1526" t="s">
        <v>206</v>
      </c>
      <c r="B61" s="615">
        <v>2540</v>
      </c>
      <c r="C61" s="466">
        <v>238782</v>
      </c>
      <c r="D61" s="466">
        <v>60715</v>
      </c>
      <c r="E61" s="466">
        <v>61931</v>
      </c>
      <c r="F61" s="466"/>
      <c r="G61" s="466"/>
      <c r="H61" s="466"/>
      <c r="I61" s="467">
        <v>503</v>
      </c>
      <c r="J61" s="467"/>
      <c r="K61" s="1692">
        <f t="shared" si="7"/>
        <v>361931</v>
      </c>
      <c r="L61" s="466">
        <v>366415</v>
      </c>
      <c r="M61" s="610"/>
      <c r="N61" s="610"/>
    </row>
    <row r="62" spans="1:14" s="343" customFormat="1" x14ac:dyDescent="0.2">
      <c r="A62" s="1526" t="s">
        <v>1010</v>
      </c>
      <c r="B62" s="615">
        <v>2550</v>
      </c>
      <c r="C62" s="466">
        <v>8144</v>
      </c>
      <c r="D62" s="466">
        <v>1500</v>
      </c>
      <c r="E62" s="466">
        <v>156326</v>
      </c>
      <c r="F62" s="466"/>
      <c r="G62" s="466"/>
      <c r="H62" s="466"/>
      <c r="I62" s="467"/>
      <c r="J62" s="467"/>
      <c r="K62" s="1692">
        <f t="shared" si="7"/>
        <v>165970</v>
      </c>
      <c r="L62" s="466">
        <v>150297</v>
      </c>
      <c r="M62" s="610"/>
      <c r="N62" s="610"/>
    </row>
    <row r="63" spans="1:14" s="610" customFormat="1" x14ac:dyDescent="0.2">
      <c r="A63" s="1526" t="s">
        <v>102</v>
      </c>
      <c r="B63" s="615">
        <v>2560</v>
      </c>
      <c r="C63" s="466">
        <v>1152093</v>
      </c>
      <c r="D63" s="466">
        <v>173031</v>
      </c>
      <c r="E63" s="466">
        <v>50803</v>
      </c>
      <c r="F63" s="466">
        <v>1495972</v>
      </c>
      <c r="G63" s="466">
        <v>2638</v>
      </c>
      <c r="H63" s="466">
        <v>519</v>
      </c>
      <c r="I63" s="467">
        <v>11683</v>
      </c>
      <c r="J63" s="467"/>
      <c r="K63" s="1692">
        <f t="shared" si="7"/>
        <v>2886739</v>
      </c>
      <c r="L63" s="466">
        <v>2880917</v>
      </c>
    </row>
    <row r="64" spans="1:14" s="610" customFormat="1" x14ac:dyDescent="0.2">
      <c r="A64" s="1531" t="s">
        <v>103</v>
      </c>
      <c r="B64" s="631">
        <v>2570</v>
      </c>
      <c r="C64" s="481"/>
      <c r="D64" s="481"/>
      <c r="E64" s="481">
        <v>10432</v>
      </c>
      <c r="F64" s="481"/>
      <c r="G64" s="481"/>
      <c r="H64" s="481"/>
      <c r="I64" s="467"/>
      <c r="J64" s="467"/>
      <c r="K64" s="1692">
        <f t="shared" si="7"/>
        <v>10432</v>
      </c>
      <c r="L64" s="481">
        <v>10000</v>
      </c>
    </row>
    <row r="65" spans="1:14" s="343" customFormat="1" ht="12.75" customHeight="1" thickBot="1" x14ac:dyDescent="0.25">
      <c r="A65" s="1688" t="s">
        <v>743</v>
      </c>
      <c r="B65" s="1689" t="s">
        <v>35</v>
      </c>
      <c r="C65" s="1690">
        <f>SUM(C59:C64)</f>
        <v>1801225</v>
      </c>
      <c r="D65" s="1690">
        <f t="shared" ref="D65:L65" si="8">SUM(D59:D64)</f>
        <v>312744</v>
      </c>
      <c r="E65" s="1690">
        <f t="shared" si="8"/>
        <v>283142</v>
      </c>
      <c r="F65" s="1690">
        <f t="shared" si="8"/>
        <v>1502910</v>
      </c>
      <c r="G65" s="1690">
        <f t="shared" si="8"/>
        <v>2638</v>
      </c>
      <c r="H65" s="1690">
        <f t="shared" si="8"/>
        <v>519</v>
      </c>
      <c r="I65" s="1690">
        <f t="shared" si="8"/>
        <v>12186</v>
      </c>
      <c r="J65" s="1690">
        <f t="shared" si="8"/>
        <v>0</v>
      </c>
      <c r="K65" s="1690">
        <f t="shared" si="8"/>
        <v>3915364</v>
      </c>
      <c r="L65" s="1690">
        <f t="shared" si="8"/>
        <v>3936929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9226</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v>62870</v>
      </c>
      <c r="D69" s="466">
        <v>9244</v>
      </c>
      <c r="E69" s="466">
        <v>6022</v>
      </c>
      <c r="F69" s="466">
        <v>13869</v>
      </c>
      <c r="G69" s="466"/>
      <c r="H69" s="466">
        <v>285</v>
      </c>
      <c r="I69" s="467"/>
      <c r="J69" s="467"/>
      <c r="K69" s="1692">
        <f>SUM(C69:J69)</f>
        <v>92290</v>
      </c>
      <c r="L69" s="466">
        <v>80261</v>
      </c>
      <c r="M69" s="610"/>
      <c r="N69" s="610"/>
    </row>
    <row r="70" spans="1:14" s="343" customFormat="1" x14ac:dyDescent="0.2">
      <c r="A70" s="1526" t="s">
        <v>423</v>
      </c>
      <c r="B70" s="615">
        <v>2640</v>
      </c>
      <c r="C70" s="466">
        <v>266720</v>
      </c>
      <c r="D70" s="466">
        <v>35383</v>
      </c>
      <c r="E70" s="466">
        <v>86551</v>
      </c>
      <c r="F70" s="466">
        <v>1841</v>
      </c>
      <c r="G70" s="466"/>
      <c r="H70" s="466">
        <v>467</v>
      </c>
      <c r="I70" s="467">
        <v>1031</v>
      </c>
      <c r="J70" s="467"/>
      <c r="K70" s="1692">
        <f>SUM(C70:J70)</f>
        <v>391993</v>
      </c>
      <c r="L70" s="466">
        <v>409653</v>
      </c>
      <c r="M70" s="610"/>
      <c r="N70" s="610"/>
    </row>
    <row r="71" spans="1:14" s="343" customFormat="1" x14ac:dyDescent="0.2">
      <c r="A71" s="1526" t="s">
        <v>424</v>
      </c>
      <c r="B71" s="615">
        <v>2660</v>
      </c>
      <c r="C71" s="466">
        <v>397185</v>
      </c>
      <c r="D71" s="466">
        <v>89665</v>
      </c>
      <c r="E71" s="466">
        <v>317459</v>
      </c>
      <c r="F71" s="466">
        <v>39086</v>
      </c>
      <c r="G71" s="466"/>
      <c r="H71" s="466"/>
      <c r="I71" s="467">
        <v>95563</v>
      </c>
      <c r="J71" s="467"/>
      <c r="K71" s="1692">
        <f>SUM(C71:J71)</f>
        <v>938958</v>
      </c>
      <c r="L71" s="466">
        <v>975640</v>
      </c>
      <c r="M71" s="610"/>
      <c r="N71" s="610"/>
    </row>
    <row r="72" spans="1:14" s="343" customFormat="1" ht="12.75" customHeight="1" thickBot="1" x14ac:dyDescent="0.25">
      <c r="A72" s="1688" t="s">
        <v>37</v>
      </c>
      <c r="B72" s="1695" t="s">
        <v>36</v>
      </c>
      <c r="C72" s="1690">
        <f>SUM(C67:C71)</f>
        <v>726775</v>
      </c>
      <c r="D72" s="1690">
        <f t="shared" ref="D72:K72" si="9">SUM(D67:D71)</f>
        <v>134292</v>
      </c>
      <c r="E72" s="1690">
        <f t="shared" si="9"/>
        <v>410032</v>
      </c>
      <c r="F72" s="1690">
        <f t="shared" si="9"/>
        <v>54796</v>
      </c>
      <c r="G72" s="1690">
        <f t="shared" si="9"/>
        <v>0</v>
      </c>
      <c r="H72" s="1690">
        <f t="shared" si="9"/>
        <v>752</v>
      </c>
      <c r="I72" s="1690">
        <f t="shared" si="9"/>
        <v>96594</v>
      </c>
      <c r="J72" s="1690">
        <f t="shared" si="9"/>
        <v>0</v>
      </c>
      <c r="K72" s="1690">
        <f t="shared" si="9"/>
        <v>1423241</v>
      </c>
      <c r="L72" s="1690">
        <f>SUM(L67:L71)</f>
        <v>1474780</v>
      </c>
      <c r="M72" s="610"/>
      <c r="N72" s="610"/>
    </row>
    <row r="73" spans="1:14" s="343" customFormat="1" ht="14.25" thickTop="1" thickBot="1" x14ac:dyDescent="0.25">
      <c r="A73" s="1532" t="s">
        <v>1037</v>
      </c>
      <c r="B73" s="633" t="s">
        <v>595</v>
      </c>
      <c r="C73" s="573">
        <v>85464</v>
      </c>
      <c r="D73" s="573">
        <v>32076</v>
      </c>
      <c r="E73" s="573"/>
      <c r="F73" s="573"/>
      <c r="G73" s="573"/>
      <c r="H73" s="573"/>
      <c r="I73" s="531"/>
      <c r="J73" s="531"/>
      <c r="K73" s="1690">
        <f>SUM(C73:J73)</f>
        <v>117540</v>
      </c>
      <c r="L73" s="576">
        <v>3272</v>
      </c>
      <c r="M73" s="610"/>
      <c r="N73" s="610"/>
    </row>
    <row r="74" spans="1:14" ht="12.75" customHeight="1" thickTop="1" thickBot="1" x14ac:dyDescent="0.25">
      <c r="A74" s="1688" t="s">
        <v>865</v>
      </c>
      <c r="B74" s="1696">
        <v>2000</v>
      </c>
      <c r="C74" s="1697">
        <f>SUM(C42,C47,C53,C57,C65,C72,C73)</f>
        <v>10879772</v>
      </c>
      <c r="D74" s="1697">
        <f t="shared" ref="D74:K74" si="10">SUM(D42,D47,D53,D57,D65,D72,D73)</f>
        <v>2359514</v>
      </c>
      <c r="E74" s="1697">
        <f t="shared" si="10"/>
        <v>1351266</v>
      </c>
      <c r="F74" s="1697">
        <f t="shared" si="10"/>
        <v>1757123</v>
      </c>
      <c r="G74" s="1697">
        <f t="shared" si="10"/>
        <v>2638</v>
      </c>
      <c r="H74" s="1697">
        <f t="shared" si="10"/>
        <v>13374</v>
      </c>
      <c r="I74" s="1697">
        <f t="shared" si="10"/>
        <v>112956</v>
      </c>
      <c r="J74" s="1697">
        <f t="shared" si="10"/>
        <v>0</v>
      </c>
      <c r="K74" s="1697">
        <f t="shared" si="10"/>
        <v>16476643</v>
      </c>
      <c r="L74" s="1697">
        <f>SUM(L42,L47,L53,L57,L65,L72,L73)</f>
        <v>16864616</v>
      </c>
    </row>
    <row r="75" spans="1:14" s="259" customFormat="1" ht="15.75" customHeight="1" thickTop="1" thickBot="1" x14ac:dyDescent="0.25">
      <c r="A75" s="1632" t="s">
        <v>49</v>
      </c>
      <c r="B75" s="1633" t="s">
        <v>596</v>
      </c>
      <c r="C75" s="573">
        <v>1755433</v>
      </c>
      <c r="D75" s="573">
        <v>519160</v>
      </c>
      <c r="E75" s="573">
        <v>976074</v>
      </c>
      <c r="F75" s="573">
        <v>138186</v>
      </c>
      <c r="G75" s="573">
        <v>51068</v>
      </c>
      <c r="H75" s="573">
        <v>25732</v>
      </c>
      <c r="I75" s="531">
        <v>4235</v>
      </c>
      <c r="J75" s="531"/>
      <c r="K75" s="1690">
        <f>SUM(C75:J75)</f>
        <v>3469888</v>
      </c>
      <c r="L75" s="576">
        <v>3485877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v>2188099</v>
      </c>
      <c r="F79" s="617"/>
      <c r="G79" s="617"/>
      <c r="H79" s="466"/>
      <c r="I79" s="477"/>
      <c r="J79" s="477"/>
      <c r="K79" s="1691">
        <f t="shared" si="11"/>
        <v>2188099</v>
      </c>
      <c r="L79" s="466">
        <v>2060000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v>52510</v>
      </c>
      <c r="F83" s="617"/>
      <c r="G83" s="617"/>
      <c r="H83" s="466"/>
      <c r="I83" s="477"/>
      <c r="J83" s="477"/>
      <c r="K83" s="1691">
        <f t="shared" si="11"/>
        <v>52510</v>
      </c>
      <c r="L83" s="466">
        <v>35000</v>
      </c>
    </row>
    <row r="84" spans="1:12" ht="13.5" thickBot="1" x14ac:dyDescent="0.25">
      <c r="A84" s="1688" t="s">
        <v>1565</v>
      </c>
      <c r="B84" s="1698">
        <v>4100</v>
      </c>
      <c r="C84" s="617"/>
      <c r="D84" s="617"/>
      <c r="E84" s="1690">
        <f>SUM(E78:E83)</f>
        <v>2240609</v>
      </c>
      <c r="F84" s="617"/>
      <c r="G84" s="617"/>
      <c r="H84" s="1690">
        <f>SUM(H78:H83)</f>
        <v>0</v>
      </c>
      <c r="I84" s="477"/>
      <c r="J84" s="477"/>
      <c r="K84" s="1690">
        <f>SUM(K78:K83)</f>
        <v>2240609</v>
      </c>
      <c r="L84" s="1690">
        <f>SUM(L78:L83)</f>
        <v>2095000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v>34225</v>
      </c>
      <c r="I88" s="477"/>
      <c r="J88" s="477"/>
      <c r="K88" s="1697">
        <f t="shared" si="12"/>
        <v>34225</v>
      </c>
      <c r="L88" s="530">
        <v>30000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34225</v>
      </c>
      <c r="I92" s="477"/>
      <c r="J92" s="477"/>
      <c r="K92" s="1697">
        <f t="shared" si="12"/>
        <v>34225</v>
      </c>
      <c r="L92" s="1690">
        <f>SUM(L85:L91)</f>
        <v>30000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2240609</v>
      </c>
      <c r="F102" s="617"/>
      <c r="G102" s="617"/>
      <c r="H102" s="1697">
        <f>SUM(H84,H92,H100,H101)</f>
        <v>34225</v>
      </c>
      <c r="I102" s="477"/>
      <c r="J102" s="477"/>
      <c r="K102" s="1697">
        <f>SUM(K84,K92,K100,K101)</f>
        <v>2274834</v>
      </c>
      <c r="L102" s="1697">
        <f>SUM(L84,L92,L100,L101)</f>
        <v>2125000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43770003</v>
      </c>
      <c r="D114" s="1690">
        <f t="shared" ref="D114:K114" si="13">SUM(D33,D74,D75,D102,D112,D113)</f>
        <v>9753558</v>
      </c>
      <c r="E114" s="1690">
        <f t="shared" si="13"/>
        <v>5198585</v>
      </c>
      <c r="F114" s="1690">
        <f t="shared" si="13"/>
        <v>3497741</v>
      </c>
      <c r="G114" s="1690">
        <f t="shared" si="13"/>
        <v>108436</v>
      </c>
      <c r="H114" s="1690">
        <f>SUM(H33,H74,H75,H102,H112,H113)</f>
        <v>74431</v>
      </c>
      <c r="I114" s="1690">
        <f t="shared" si="13"/>
        <v>189240</v>
      </c>
      <c r="J114" s="1690">
        <f t="shared" si="13"/>
        <v>0</v>
      </c>
      <c r="K114" s="1690">
        <f t="shared" si="13"/>
        <v>62591994</v>
      </c>
      <c r="L114" s="1690">
        <f>SUM(L33,L74,L75,L102,L112,L113)</f>
        <v>62860621</v>
      </c>
    </row>
    <row r="115" spans="1:14" ht="13.5" thickTop="1" x14ac:dyDescent="0.2">
      <c r="A115" s="2179" t="s">
        <v>1053</v>
      </c>
      <c r="B115" s="2180"/>
      <c r="C115" s="619"/>
      <c r="D115" s="619"/>
      <c r="E115" s="619"/>
      <c r="F115" s="619"/>
      <c r="G115" s="619"/>
      <c r="H115" s="619"/>
      <c r="I115" s="619"/>
      <c r="J115" s="619"/>
      <c r="K115" s="1704">
        <f>'Revenues 9-14'!C275-'Expenditures 15-22'!K114</f>
        <v>1582253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2386937</v>
      </c>
      <c r="D124" s="466">
        <v>429235</v>
      </c>
      <c r="E124" s="466">
        <v>1041862</v>
      </c>
      <c r="F124" s="466">
        <v>1334438</v>
      </c>
      <c r="G124" s="466">
        <v>153494</v>
      </c>
      <c r="H124" s="466"/>
      <c r="I124" s="467"/>
      <c r="J124" s="467"/>
      <c r="K124" s="1690">
        <f>SUM(C124:J124)</f>
        <v>5345966</v>
      </c>
      <c r="L124" s="466">
        <v>5185672</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2386937</v>
      </c>
      <c r="D127" s="1690">
        <f t="shared" ref="D127:L127" si="14">SUM(D122:D126)</f>
        <v>429235</v>
      </c>
      <c r="E127" s="1690">
        <f t="shared" si="14"/>
        <v>1041862</v>
      </c>
      <c r="F127" s="1690">
        <f t="shared" si="14"/>
        <v>1334438</v>
      </c>
      <c r="G127" s="1690">
        <f t="shared" si="14"/>
        <v>153494</v>
      </c>
      <c r="H127" s="1690">
        <f t="shared" si="14"/>
        <v>0</v>
      </c>
      <c r="I127" s="1690">
        <f t="shared" si="14"/>
        <v>0</v>
      </c>
      <c r="J127" s="1690">
        <f t="shared" si="14"/>
        <v>0</v>
      </c>
      <c r="K127" s="1690">
        <f t="shared" si="14"/>
        <v>5345966</v>
      </c>
      <c r="L127" s="1690">
        <f t="shared" si="14"/>
        <v>5185672</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2386937</v>
      </c>
      <c r="D129" s="1697">
        <f t="shared" ref="D129:L129" si="15">SUM(D120,D127,D128)</f>
        <v>429235</v>
      </c>
      <c r="E129" s="1697">
        <f t="shared" si="15"/>
        <v>1041862</v>
      </c>
      <c r="F129" s="1697">
        <f t="shared" si="15"/>
        <v>1334438</v>
      </c>
      <c r="G129" s="1697">
        <f t="shared" si="15"/>
        <v>153494</v>
      </c>
      <c r="H129" s="1697">
        <f t="shared" si="15"/>
        <v>0</v>
      </c>
      <c r="I129" s="1697">
        <f t="shared" si="15"/>
        <v>0</v>
      </c>
      <c r="J129" s="1697">
        <f t="shared" si="15"/>
        <v>0</v>
      </c>
      <c r="K129" s="1697">
        <f t="shared" si="15"/>
        <v>5345966</v>
      </c>
      <c r="L129" s="1697">
        <f t="shared" si="15"/>
        <v>5185672</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6" t="s">
        <v>641</v>
      </c>
      <c r="B151" s="2176"/>
      <c r="C151" s="1690">
        <f>SUM(C129,C130,C139,C149,C150)</f>
        <v>2386937</v>
      </c>
      <c r="D151" s="1690">
        <f t="shared" ref="D151:K151" si="16">SUM(D129,D130,D139,D149,D150)</f>
        <v>429235</v>
      </c>
      <c r="E151" s="1690">
        <f t="shared" si="16"/>
        <v>1041862</v>
      </c>
      <c r="F151" s="1690">
        <f t="shared" si="16"/>
        <v>1334438</v>
      </c>
      <c r="G151" s="1690">
        <f t="shared" si="16"/>
        <v>153494</v>
      </c>
      <c r="H151" s="1690">
        <f t="shared" si="16"/>
        <v>0</v>
      </c>
      <c r="I151" s="1690">
        <f t="shared" si="16"/>
        <v>0</v>
      </c>
      <c r="J151" s="1690">
        <f t="shared" si="16"/>
        <v>0</v>
      </c>
      <c r="K151" s="1690">
        <f t="shared" si="16"/>
        <v>5345966</v>
      </c>
      <c r="L151" s="1690">
        <f>SUM(L129,L130,L139,L149,L150)</f>
        <v>5185672</v>
      </c>
    </row>
    <row r="152" spans="1:14" ht="12.75" customHeight="1" thickTop="1" x14ac:dyDescent="0.2">
      <c r="A152" s="2199" t="s">
        <v>1240</v>
      </c>
      <c r="B152" s="2200"/>
      <c r="C152" s="619"/>
      <c r="D152" s="619"/>
      <c r="E152" s="619"/>
      <c r="F152" s="619"/>
      <c r="G152" s="619"/>
      <c r="H152" s="619"/>
      <c r="I152" s="619"/>
      <c r="J152" s="617"/>
      <c r="K152" s="1704">
        <f>'Revenues 9-14'!D275-'Expenditures 15-22'!K151</f>
        <v>-3921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1955</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1954</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1956</v>
      </c>
      <c r="C158" s="617"/>
      <c r="D158" s="617"/>
      <c r="E158" s="617"/>
      <c r="F158" s="617"/>
      <c r="G158" s="617"/>
      <c r="H158" s="467"/>
      <c r="I158" s="617"/>
      <c r="J158" s="617"/>
      <c r="K158" s="1691">
        <f>H158</f>
        <v>0</v>
      </c>
      <c r="L158" s="467">
        <v>0</v>
      </c>
      <c r="M158" s="620"/>
      <c r="N158" s="620"/>
    </row>
    <row r="159" spans="1:14" s="621" customFormat="1" ht="12" x14ac:dyDescent="0.2">
      <c r="A159" s="1847" t="s">
        <v>1957</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1958</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0</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1343842</v>
      </c>
      <c r="I169" s="617"/>
      <c r="J169" s="617"/>
      <c r="K169" s="1691">
        <f>SUM(C169:H169)</f>
        <v>1343842</v>
      </c>
      <c r="L169" s="657">
        <v>1870000</v>
      </c>
    </row>
    <row r="170" spans="1:14" ht="33.75" customHeight="1" x14ac:dyDescent="0.2">
      <c r="A170" s="670" t="s">
        <v>1769</v>
      </c>
      <c r="B170" s="672" t="s">
        <v>31</v>
      </c>
      <c r="C170" s="617"/>
      <c r="D170" s="617"/>
      <c r="E170" s="617"/>
      <c r="F170" s="617"/>
      <c r="G170" s="617"/>
      <c r="H170" s="569">
        <v>31295000</v>
      </c>
      <c r="I170" s="617"/>
      <c r="J170" s="617"/>
      <c r="K170" s="1691">
        <f>SUM(C170:J170)</f>
        <v>31295000</v>
      </c>
      <c r="L170" s="569">
        <v>0</v>
      </c>
    </row>
    <row r="171" spans="1:14" ht="15.75" customHeight="1" x14ac:dyDescent="0.2">
      <c r="A171" s="622" t="s">
        <v>790</v>
      </c>
      <c r="B171" s="673" t="s">
        <v>86</v>
      </c>
      <c r="C171" s="617"/>
      <c r="D171" s="617"/>
      <c r="E171" s="466"/>
      <c r="F171" s="617"/>
      <c r="G171" s="617"/>
      <c r="H171" s="569"/>
      <c r="I171" s="477"/>
      <c r="J171" s="617"/>
      <c r="K171" s="1691">
        <f>SUM(C171:J171)</f>
        <v>0</v>
      </c>
      <c r="L171" s="569">
        <v>1406105</v>
      </c>
    </row>
    <row r="172" spans="1:14" ht="12.75" customHeight="1" thickBot="1" x14ac:dyDescent="0.25">
      <c r="A172" s="1688" t="s">
        <v>659</v>
      </c>
      <c r="B172" s="1689" t="s">
        <v>513</v>
      </c>
      <c r="C172" s="617"/>
      <c r="D172" s="617"/>
      <c r="E172" s="1697">
        <f>SUM(E168,E169,E170,E171)</f>
        <v>0</v>
      </c>
      <c r="F172" s="617"/>
      <c r="G172" s="617"/>
      <c r="H172" s="1697">
        <f>SUM(H168,H169,H170,H171)</f>
        <v>32638842</v>
      </c>
      <c r="I172" s="639"/>
      <c r="J172" s="617"/>
      <c r="K172" s="1697">
        <f>SUM(K168,K169,K170,K171)</f>
        <v>32638842</v>
      </c>
      <c r="L172" s="1697">
        <f>SUM(L168,L169,L170,L171)</f>
        <v>3276105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32638842</v>
      </c>
      <c r="I174" s="639"/>
      <c r="J174" s="617"/>
      <c r="K174" s="1697">
        <f>SUM(K160,K172,K173)</f>
        <v>32638842</v>
      </c>
      <c r="L174" s="1697">
        <f>SUM(L160,L172,L173)</f>
        <v>3276105</v>
      </c>
    </row>
    <row r="175" spans="1:14" ht="13.5" thickTop="1" x14ac:dyDescent="0.2">
      <c r="A175" s="2179" t="s">
        <v>1053</v>
      </c>
      <c r="B175" s="2180"/>
      <c r="C175" s="617"/>
      <c r="D175" s="617"/>
      <c r="E175" s="617"/>
      <c r="F175" s="617"/>
      <c r="G175" s="617"/>
      <c r="H175" s="619"/>
      <c r="I175" s="617"/>
      <c r="J175" s="617"/>
      <c r="K175" s="1704">
        <f>'Revenues 9-14'!E275-'Expenditures 15-22'!K174</f>
        <v>-29493815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1609025</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5621</v>
      </c>
      <c r="D182" s="466">
        <v>261</v>
      </c>
      <c r="E182" s="466">
        <v>1531973</v>
      </c>
      <c r="F182" s="466"/>
      <c r="G182" s="466"/>
      <c r="H182" s="466"/>
      <c r="I182" s="467"/>
      <c r="J182" s="467"/>
      <c r="K182" s="1691">
        <f>SUM(C182:J182)</f>
        <v>1537855</v>
      </c>
      <c r="L182" s="466">
        <v>0</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5621</v>
      </c>
      <c r="D184" s="1697">
        <f t="shared" ref="D184:J184" si="17">SUM(D180,D182,D183)</f>
        <v>261</v>
      </c>
      <c r="E184" s="1697">
        <f t="shared" si="17"/>
        <v>1531973</v>
      </c>
      <c r="F184" s="1697">
        <f t="shared" si="17"/>
        <v>0</v>
      </c>
      <c r="G184" s="1697">
        <f t="shared" si="17"/>
        <v>0</v>
      </c>
      <c r="H184" s="1697">
        <f t="shared" si="17"/>
        <v>0</v>
      </c>
      <c r="I184" s="1697">
        <f t="shared" si="17"/>
        <v>0</v>
      </c>
      <c r="J184" s="1697">
        <f t="shared" si="17"/>
        <v>0</v>
      </c>
      <c r="K184" s="1697">
        <f>SUM(K180,K182,K183)</f>
        <v>1537855</v>
      </c>
      <c r="L184" s="1697">
        <f>SUM(L180, L182:L183)</f>
        <v>1609025</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5621</v>
      </c>
      <c r="D210" s="1690">
        <f>SUM(D184,D185)</f>
        <v>261</v>
      </c>
      <c r="E210" s="1690">
        <f>SUM(E184,E185,E196)</f>
        <v>1531973</v>
      </c>
      <c r="F210" s="1690">
        <f>SUM(F184,F185)</f>
        <v>0</v>
      </c>
      <c r="G210" s="1690">
        <f>SUM(G184,G185)</f>
        <v>0</v>
      </c>
      <c r="H210" s="1690">
        <f>SUM(H184,H185,H196,H208,H209)</f>
        <v>0</v>
      </c>
      <c r="I210" s="1690">
        <f>SUM(I184,I185)</f>
        <v>0</v>
      </c>
      <c r="J210" s="1690">
        <f>SUM(J184,J185)</f>
        <v>0</v>
      </c>
      <c r="K210" s="1691">
        <f>SUM(K184,K185,K196,K208,K209)</f>
        <v>1537855</v>
      </c>
      <c r="L210" s="1690">
        <f>SUM(L184,L185,L196,L208,L209)</f>
        <v>1609025</v>
      </c>
    </row>
    <row r="211" spans="1:14" ht="13.5" thickTop="1" x14ac:dyDescent="0.2">
      <c r="A211" s="2179" t="s">
        <v>1053</v>
      </c>
      <c r="B211" s="2180"/>
      <c r="C211" s="619"/>
      <c r="D211" s="619"/>
      <c r="E211" s="619"/>
      <c r="F211" s="619"/>
      <c r="G211" s="619"/>
      <c r="H211" s="619"/>
      <c r="I211" s="617"/>
      <c r="J211" s="617"/>
      <c r="K211" s="1704">
        <f>'Revenues 9-14'!F275-'Expenditures 15-22'!K210</f>
        <v>436559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326999</v>
      </c>
      <c r="E215" s="617"/>
      <c r="F215" s="617"/>
      <c r="G215" s="617"/>
      <c r="H215" s="617"/>
      <c r="I215" s="617"/>
      <c r="J215" s="617"/>
      <c r="K215" s="1691">
        <f>D215</f>
        <v>326999</v>
      </c>
      <c r="L215" s="466">
        <v>330079</v>
      </c>
    </row>
    <row r="216" spans="1:14" x14ac:dyDescent="0.2">
      <c r="A216" s="1526" t="s">
        <v>165</v>
      </c>
      <c r="B216" s="615" t="s">
        <v>1024</v>
      </c>
      <c r="C216" s="617"/>
      <c r="D216" s="467"/>
      <c r="E216" s="617"/>
      <c r="F216" s="617"/>
      <c r="G216" s="617"/>
      <c r="H216" s="617"/>
      <c r="I216" s="617"/>
      <c r="J216" s="617"/>
      <c r="K216" s="1691">
        <f t="shared" ref="K216:K228" si="19">D216</f>
        <v>0</v>
      </c>
      <c r="L216" s="466">
        <v>22831</v>
      </c>
    </row>
    <row r="217" spans="1:14" x14ac:dyDescent="0.2">
      <c r="A217" s="1526" t="s">
        <v>166</v>
      </c>
      <c r="B217" s="615">
        <v>1200</v>
      </c>
      <c r="C217" s="617"/>
      <c r="D217" s="466">
        <v>382645</v>
      </c>
      <c r="E217" s="617"/>
      <c r="F217" s="617"/>
      <c r="G217" s="617"/>
      <c r="H217" s="617"/>
      <c r="I217" s="617"/>
      <c r="J217" s="617"/>
      <c r="K217" s="1691">
        <f t="shared" si="19"/>
        <v>382645</v>
      </c>
      <c r="L217" s="466">
        <v>421507</v>
      </c>
    </row>
    <row r="218" spans="1:14" x14ac:dyDescent="0.2">
      <c r="A218" s="1526" t="s">
        <v>296</v>
      </c>
      <c r="B218" s="615" t="s">
        <v>1025</v>
      </c>
      <c r="C218" s="617"/>
      <c r="D218" s="467"/>
      <c r="E218" s="617"/>
      <c r="F218" s="617"/>
      <c r="G218" s="617"/>
      <c r="H218" s="617"/>
      <c r="I218" s="617"/>
      <c r="J218" s="617"/>
      <c r="K218" s="1691">
        <f t="shared" si="19"/>
        <v>0</v>
      </c>
      <c r="L218" s="466">
        <v>3175</v>
      </c>
    </row>
    <row r="219" spans="1:14" x14ac:dyDescent="0.2">
      <c r="A219" s="1526" t="s">
        <v>297</v>
      </c>
      <c r="B219" s="615">
        <v>1250</v>
      </c>
      <c r="C219" s="617"/>
      <c r="D219" s="466"/>
      <c r="E219" s="617"/>
      <c r="F219" s="617"/>
      <c r="G219" s="617"/>
      <c r="H219" s="617"/>
      <c r="I219" s="617"/>
      <c r="J219" s="617"/>
      <c r="K219" s="1691">
        <f t="shared" si="19"/>
        <v>0</v>
      </c>
      <c r="L219" s="466">
        <v>0</v>
      </c>
    </row>
    <row r="220" spans="1:14" x14ac:dyDescent="0.2">
      <c r="A220" s="1526" t="s">
        <v>298</v>
      </c>
      <c r="B220" s="615" t="s">
        <v>163</v>
      </c>
      <c r="C220" s="617"/>
      <c r="D220" s="467">
        <v>21145</v>
      </c>
      <c r="E220" s="617"/>
      <c r="F220" s="617"/>
      <c r="G220" s="617"/>
      <c r="H220" s="617"/>
      <c r="I220" s="617"/>
      <c r="J220" s="617"/>
      <c r="K220" s="1691">
        <f t="shared" si="19"/>
        <v>21145</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v>9407</v>
      </c>
      <c r="E222" s="617"/>
      <c r="F222" s="617"/>
      <c r="G222" s="617"/>
      <c r="H222" s="617"/>
      <c r="I222" s="617"/>
      <c r="J222" s="617"/>
      <c r="K222" s="1691">
        <f t="shared" si="19"/>
        <v>9407</v>
      </c>
      <c r="L222" s="466">
        <v>9088</v>
      </c>
    </row>
    <row r="223" spans="1:14" x14ac:dyDescent="0.2">
      <c r="A223" s="1526" t="s">
        <v>1020</v>
      </c>
      <c r="B223" s="615">
        <v>1500</v>
      </c>
      <c r="C223" s="617"/>
      <c r="D223" s="466">
        <v>58804</v>
      </c>
      <c r="E223" s="617"/>
      <c r="F223" s="617"/>
      <c r="G223" s="617"/>
      <c r="H223" s="617"/>
      <c r="I223" s="617"/>
      <c r="J223" s="617"/>
      <c r="K223" s="1691">
        <f t="shared" si="19"/>
        <v>58804</v>
      </c>
      <c r="L223" s="466">
        <v>60560</v>
      </c>
    </row>
    <row r="224" spans="1:14" x14ac:dyDescent="0.2">
      <c r="A224" s="1526" t="s">
        <v>1021</v>
      </c>
      <c r="B224" s="615">
        <v>1600</v>
      </c>
      <c r="C224" s="617"/>
      <c r="D224" s="466">
        <v>1733</v>
      </c>
      <c r="E224" s="617"/>
      <c r="F224" s="617"/>
      <c r="G224" s="617"/>
      <c r="H224" s="617"/>
      <c r="I224" s="617"/>
      <c r="J224" s="617"/>
      <c r="K224" s="1691">
        <f t="shared" si="19"/>
        <v>1733</v>
      </c>
      <c r="L224" s="466">
        <v>2627</v>
      </c>
    </row>
    <row r="225" spans="1:12" x14ac:dyDescent="0.2">
      <c r="A225" s="1526" t="s">
        <v>1044</v>
      </c>
      <c r="B225" s="615">
        <v>1650</v>
      </c>
      <c r="C225" s="617"/>
      <c r="D225" s="466">
        <v>3656</v>
      </c>
      <c r="E225" s="617"/>
      <c r="F225" s="617"/>
      <c r="G225" s="617"/>
      <c r="H225" s="617"/>
      <c r="I225" s="617"/>
      <c r="J225" s="617"/>
      <c r="K225" s="1691">
        <f t="shared" si="19"/>
        <v>3656</v>
      </c>
      <c r="L225" s="466">
        <v>3716</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v>23771</v>
      </c>
      <c r="E227" s="617"/>
      <c r="F227" s="617"/>
      <c r="G227" s="617"/>
      <c r="H227" s="617"/>
      <c r="I227" s="617"/>
      <c r="J227" s="617"/>
      <c r="K227" s="1691">
        <f t="shared" si="19"/>
        <v>23771</v>
      </c>
      <c r="L227" s="466">
        <v>20767</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828160</v>
      </c>
      <c r="E229" s="617"/>
      <c r="F229" s="617"/>
      <c r="G229" s="617"/>
      <c r="H229" s="617"/>
      <c r="I229" s="617"/>
      <c r="J229" s="617"/>
      <c r="K229" s="1690">
        <f>SUM(K215:K228)</f>
        <v>828160</v>
      </c>
      <c r="L229" s="1690">
        <f>SUM(L215:L228)</f>
        <v>874350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40565</v>
      </c>
      <c r="E232" s="617"/>
      <c r="F232" s="617"/>
      <c r="G232" s="617"/>
      <c r="H232" s="617"/>
      <c r="I232" s="617"/>
      <c r="J232" s="617"/>
      <c r="K232" s="1691">
        <f t="shared" ref="K232:K237" si="20">D232</f>
        <v>40565</v>
      </c>
      <c r="L232" s="466">
        <v>47550</v>
      </c>
    </row>
    <row r="233" spans="1:12" x14ac:dyDescent="0.2">
      <c r="A233" s="1526" t="s">
        <v>1151</v>
      </c>
      <c r="B233" s="615">
        <v>2120</v>
      </c>
      <c r="C233" s="617"/>
      <c r="D233" s="466">
        <v>55278</v>
      </c>
      <c r="E233" s="617"/>
      <c r="F233" s="617"/>
      <c r="G233" s="617"/>
      <c r="H233" s="617"/>
      <c r="I233" s="617"/>
      <c r="J233" s="617"/>
      <c r="K233" s="1691">
        <f t="shared" si="20"/>
        <v>55278</v>
      </c>
      <c r="L233" s="466">
        <v>53646</v>
      </c>
    </row>
    <row r="234" spans="1:12" x14ac:dyDescent="0.2">
      <c r="A234" s="1526" t="s">
        <v>207</v>
      </c>
      <c r="B234" s="615">
        <v>2130</v>
      </c>
      <c r="C234" s="617"/>
      <c r="D234" s="466">
        <v>92062</v>
      </c>
      <c r="E234" s="617"/>
      <c r="F234" s="617"/>
      <c r="G234" s="617"/>
      <c r="H234" s="617"/>
      <c r="I234" s="617"/>
      <c r="J234" s="617"/>
      <c r="K234" s="1691">
        <f t="shared" si="20"/>
        <v>92062</v>
      </c>
      <c r="L234" s="466">
        <v>93587</v>
      </c>
    </row>
    <row r="235" spans="1:12" x14ac:dyDescent="0.2">
      <c r="A235" s="1526" t="s">
        <v>208</v>
      </c>
      <c r="B235" s="615">
        <v>2140</v>
      </c>
      <c r="C235" s="617"/>
      <c r="D235" s="466">
        <v>11400</v>
      </c>
      <c r="E235" s="617"/>
      <c r="F235" s="617"/>
      <c r="G235" s="617"/>
      <c r="H235" s="617"/>
      <c r="I235" s="617"/>
      <c r="J235" s="617"/>
      <c r="K235" s="1691">
        <f t="shared" si="20"/>
        <v>11400</v>
      </c>
      <c r="L235" s="466">
        <v>10088</v>
      </c>
    </row>
    <row r="236" spans="1:12" x14ac:dyDescent="0.2">
      <c r="A236" s="1526" t="s">
        <v>209</v>
      </c>
      <c r="B236" s="615">
        <v>2150</v>
      </c>
      <c r="C236" s="617"/>
      <c r="D236" s="466">
        <v>9758</v>
      </c>
      <c r="E236" s="617"/>
      <c r="F236" s="617"/>
      <c r="G236" s="617"/>
      <c r="H236" s="617"/>
      <c r="I236" s="617"/>
      <c r="J236" s="617"/>
      <c r="K236" s="1691">
        <f t="shared" si="20"/>
        <v>9758</v>
      </c>
      <c r="L236" s="466">
        <v>10082</v>
      </c>
    </row>
    <row r="237" spans="1:12" x14ac:dyDescent="0.2">
      <c r="A237" s="1526" t="s">
        <v>167</v>
      </c>
      <c r="B237" s="615">
        <v>2190</v>
      </c>
      <c r="C237" s="617"/>
      <c r="D237" s="466">
        <v>6296</v>
      </c>
      <c r="E237" s="617"/>
      <c r="F237" s="617"/>
      <c r="G237" s="617"/>
      <c r="H237" s="617"/>
      <c r="I237" s="617"/>
      <c r="J237" s="617"/>
      <c r="K237" s="1691">
        <f t="shared" si="20"/>
        <v>6296</v>
      </c>
      <c r="L237" s="466">
        <v>3464</v>
      </c>
    </row>
    <row r="238" spans="1:12" ht="12.75" customHeight="1" thickBot="1" x14ac:dyDescent="0.25">
      <c r="A238" s="1688" t="s">
        <v>581</v>
      </c>
      <c r="B238" s="1695" t="s">
        <v>740</v>
      </c>
      <c r="C238" s="617"/>
      <c r="D238" s="1690">
        <f>SUM(D232:D237)</f>
        <v>215359</v>
      </c>
      <c r="E238" s="617"/>
      <c r="F238" s="617"/>
      <c r="G238" s="617"/>
      <c r="H238" s="617"/>
      <c r="I238" s="617"/>
      <c r="J238" s="617"/>
      <c r="K238" s="1690">
        <f>SUM(K232:K237)</f>
        <v>215359</v>
      </c>
      <c r="L238" s="1690">
        <f>SUM(L232:L237)</f>
        <v>218417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6489</v>
      </c>
      <c r="E240" s="617"/>
      <c r="F240" s="617"/>
      <c r="G240" s="617"/>
      <c r="H240" s="617"/>
      <c r="I240" s="617"/>
      <c r="J240" s="617"/>
      <c r="K240" s="1692">
        <f>D240</f>
        <v>6489</v>
      </c>
      <c r="L240" s="481">
        <v>6391</v>
      </c>
    </row>
    <row r="241" spans="1:12" x14ac:dyDescent="0.2">
      <c r="A241" s="1526" t="s">
        <v>869</v>
      </c>
      <c r="B241" s="615">
        <v>2220</v>
      </c>
      <c r="C241" s="617"/>
      <c r="D241" s="466">
        <v>36948</v>
      </c>
      <c r="E241" s="617"/>
      <c r="F241" s="617"/>
      <c r="G241" s="617"/>
      <c r="H241" s="617"/>
      <c r="I241" s="617"/>
      <c r="J241" s="617"/>
      <c r="K241" s="1692">
        <f>D241</f>
        <v>36948</v>
      </c>
      <c r="L241" s="466">
        <v>40075</v>
      </c>
    </row>
    <row r="242" spans="1:12" x14ac:dyDescent="0.2">
      <c r="A242" s="1526" t="s">
        <v>870</v>
      </c>
      <c r="B242" s="615">
        <v>2230</v>
      </c>
      <c r="C242" s="617"/>
      <c r="D242" s="466">
        <v>104</v>
      </c>
      <c r="E242" s="617"/>
      <c r="F242" s="617"/>
      <c r="G242" s="617"/>
      <c r="H242" s="617"/>
      <c r="I242" s="617"/>
      <c r="J242" s="617"/>
      <c r="K242" s="1692">
        <f>D242</f>
        <v>104</v>
      </c>
      <c r="L242" s="466">
        <v>318</v>
      </c>
    </row>
    <row r="243" spans="1:12" ht="12.75" customHeight="1" thickBot="1" x14ac:dyDescent="0.25">
      <c r="A243" s="1714" t="s">
        <v>582</v>
      </c>
      <c r="B243" s="1715">
        <v>2200</v>
      </c>
      <c r="C243" s="617"/>
      <c r="D243" s="1690">
        <f>SUM(D240:D242)</f>
        <v>43541</v>
      </c>
      <c r="E243" s="617"/>
      <c r="F243" s="617"/>
      <c r="G243" s="617"/>
      <c r="H243" s="617"/>
      <c r="I243" s="617"/>
      <c r="J243" s="617"/>
      <c r="K243" s="1690">
        <f>SUM(K240:K242)</f>
        <v>43541</v>
      </c>
      <c r="L243" s="1690">
        <f>SUM(L240:L242)</f>
        <v>46784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v>75</v>
      </c>
    </row>
    <row r="246" spans="1:12" x14ac:dyDescent="0.2">
      <c r="A246" s="1526" t="s">
        <v>872</v>
      </c>
      <c r="B246" s="615">
        <v>2320</v>
      </c>
      <c r="C246" s="617"/>
      <c r="D246" s="466">
        <v>13468</v>
      </c>
      <c r="E246" s="617"/>
      <c r="F246" s="617"/>
      <c r="G246" s="617"/>
      <c r="H246" s="617"/>
      <c r="I246" s="617"/>
      <c r="J246" s="617"/>
      <c r="K246" s="1692">
        <f t="shared" ref="K246:K256" si="21">D246</f>
        <v>13468</v>
      </c>
      <c r="L246" s="466">
        <v>14685</v>
      </c>
    </row>
    <row r="247" spans="1:12" x14ac:dyDescent="0.2">
      <c r="A247" s="1526" t="s">
        <v>873</v>
      </c>
      <c r="B247" s="615">
        <v>2330</v>
      </c>
      <c r="C247" s="617"/>
      <c r="D247" s="466">
        <v>285</v>
      </c>
      <c r="E247" s="617"/>
      <c r="F247" s="617"/>
      <c r="G247" s="617"/>
      <c r="H247" s="617"/>
      <c r="I247" s="617"/>
      <c r="J247" s="617"/>
      <c r="K247" s="1692">
        <f t="shared" si="21"/>
        <v>285</v>
      </c>
      <c r="L247" s="466">
        <v>560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1905</v>
      </c>
      <c r="B249" s="684" t="s">
        <v>300</v>
      </c>
      <c r="C249" s="617"/>
      <c r="D249" s="474"/>
      <c r="E249" s="617"/>
      <c r="F249" s="617"/>
      <c r="G249" s="617"/>
      <c r="H249" s="617"/>
      <c r="I249" s="617"/>
      <c r="J249" s="617"/>
      <c r="K249" s="1692">
        <f t="shared" si="21"/>
        <v>0</v>
      </c>
      <c r="L249" s="466">
        <v>0</v>
      </c>
    </row>
    <row r="250" spans="1:12" x14ac:dyDescent="0.2">
      <c r="A250" s="1527" t="s">
        <v>1906</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13753</v>
      </c>
      <c r="E257" s="617"/>
      <c r="F257" s="617"/>
      <c r="G257" s="617"/>
      <c r="H257" s="617"/>
      <c r="I257" s="617"/>
      <c r="J257" s="617"/>
      <c r="K257" s="1690">
        <f>SUM(K245:K256)</f>
        <v>13753</v>
      </c>
      <c r="L257" s="1690">
        <f>SUM(L245:L256)</f>
        <v>15320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172820</v>
      </c>
      <c r="E259" s="617"/>
      <c r="F259" s="617"/>
      <c r="G259" s="617"/>
      <c r="H259" s="617"/>
      <c r="I259" s="617"/>
      <c r="J259" s="617"/>
      <c r="K259" s="1692">
        <f>D259</f>
        <v>172820</v>
      </c>
      <c r="L259" s="481">
        <v>187927</v>
      </c>
    </row>
    <row r="260" spans="1:14" s="598" customFormat="1" x14ac:dyDescent="0.2">
      <c r="A260" s="1544" t="s">
        <v>1904</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172820</v>
      </c>
      <c r="E261" s="617"/>
      <c r="F261" s="617"/>
      <c r="G261" s="617"/>
      <c r="H261" s="617"/>
      <c r="I261" s="617"/>
      <c r="J261" s="617"/>
      <c r="K261" s="1690">
        <f>SUM(K259:K260)</f>
        <v>172820</v>
      </c>
      <c r="L261" s="1690">
        <f>SUM(L259:L260)</f>
        <v>187927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7576</v>
      </c>
      <c r="E263" s="617"/>
      <c r="F263" s="617"/>
      <c r="G263" s="617"/>
      <c r="H263" s="617"/>
      <c r="I263" s="617"/>
      <c r="J263" s="617"/>
      <c r="K263" s="1692">
        <f>D263</f>
        <v>7576</v>
      </c>
      <c r="L263" s="481">
        <v>7961</v>
      </c>
    </row>
    <row r="264" spans="1:14" x14ac:dyDescent="0.2">
      <c r="A264" s="1526" t="s">
        <v>483</v>
      </c>
      <c r="B264" s="686">
        <v>2520</v>
      </c>
      <c r="C264" s="617"/>
      <c r="D264" s="466">
        <v>44217</v>
      </c>
      <c r="E264" s="617"/>
      <c r="F264" s="617"/>
      <c r="G264" s="617"/>
      <c r="H264" s="617"/>
      <c r="I264" s="617"/>
      <c r="J264" s="617"/>
      <c r="K264" s="1692">
        <f t="shared" ref="K264:K269" si="22">D264</f>
        <v>44217</v>
      </c>
      <c r="L264" s="466">
        <v>47640</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508567</v>
      </c>
      <c r="E266" s="617"/>
      <c r="F266" s="617"/>
      <c r="G266" s="617"/>
      <c r="H266" s="617"/>
      <c r="I266" s="617"/>
      <c r="J266" s="617"/>
      <c r="K266" s="1692">
        <f t="shared" si="22"/>
        <v>508567</v>
      </c>
      <c r="L266" s="466">
        <v>517755</v>
      </c>
    </row>
    <row r="267" spans="1:14" x14ac:dyDescent="0.2">
      <c r="A267" s="1526" t="s">
        <v>1010</v>
      </c>
      <c r="B267" s="615">
        <v>2550</v>
      </c>
      <c r="C267" s="617"/>
      <c r="D267" s="466">
        <v>1070</v>
      </c>
      <c r="E267" s="617"/>
      <c r="F267" s="617"/>
      <c r="G267" s="617"/>
      <c r="H267" s="617"/>
      <c r="I267" s="617"/>
      <c r="J267" s="617"/>
      <c r="K267" s="1692">
        <f t="shared" si="22"/>
        <v>1070</v>
      </c>
      <c r="L267" s="466">
        <v>775</v>
      </c>
    </row>
    <row r="268" spans="1:14" x14ac:dyDescent="0.2">
      <c r="A268" s="1526" t="s">
        <v>102</v>
      </c>
      <c r="B268" s="615">
        <v>2560</v>
      </c>
      <c r="C268" s="617"/>
      <c r="D268" s="466">
        <v>180388</v>
      </c>
      <c r="E268" s="617"/>
      <c r="F268" s="617"/>
      <c r="G268" s="617"/>
      <c r="H268" s="617"/>
      <c r="I268" s="617"/>
      <c r="J268" s="617"/>
      <c r="K268" s="1692">
        <f t="shared" si="22"/>
        <v>180388</v>
      </c>
      <c r="L268" s="466">
        <v>209191</v>
      </c>
    </row>
    <row r="269" spans="1:14" x14ac:dyDescent="0.2">
      <c r="A269" s="1526" t="s">
        <v>103</v>
      </c>
      <c r="B269" s="615">
        <v>2570</v>
      </c>
      <c r="C269" s="617"/>
      <c r="D269" s="466">
        <v>9306</v>
      </c>
      <c r="E269" s="617"/>
      <c r="F269" s="617"/>
      <c r="G269" s="617"/>
      <c r="H269" s="617"/>
      <c r="I269" s="617"/>
      <c r="J269" s="617"/>
      <c r="K269" s="1692">
        <f t="shared" si="22"/>
        <v>9306</v>
      </c>
      <c r="L269" s="466">
        <v>20488</v>
      </c>
    </row>
    <row r="270" spans="1:14" ht="12.75" customHeight="1" thickBot="1" x14ac:dyDescent="0.25">
      <c r="A270" s="1688" t="s">
        <v>743</v>
      </c>
      <c r="B270" s="1695" t="s">
        <v>35</v>
      </c>
      <c r="C270" s="617"/>
      <c r="D270" s="1690">
        <f>SUM(D263:D269)</f>
        <v>751124</v>
      </c>
      <c r="E270" s="617"/>
      <c r="F270" s="617"/>
      <c r="G270" s="617"/>
      <c r="H270" s="617"/>
      <c r="I270" s="617"/>
      <c r="J270" s="617"/>
      <c r="K270" s="1690">
        <f>SUM(K263:K269)</f>
        <v>751124</v>
      </c>
      <c r="L270" s="1690">
        <f>SUM(L263:L269)</f>
        <v>803810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v>12217</v>
      </c>
      <c r="E274" s="617"/>
      <c r="F274" s="617"/>
      <c r="G274" s="617"/>
      <c r="H274" s="617"/>
      <c r="I274" s="617"/>
      <c r="J274" s="617"/>
      <c r="K274" s="1692">
        <f>D274</f>
        <v>12217</v>
      </c>
      <c r="L274" s="466">
        <v>13014</v>
      </c>
    </row>
    <row r="275" spans="1:12" x14ac:dyDescent="0.2">
      <c r="A275" s="1526" t="s">
        <v>423</v>
      </c>
      <c r="B275" s="615">
        <v>2640</v>
      </c>
      <c r="C275" s="617"/>
      <c r="D275" s="466">
        <v>16194</v>
      </c>
      <c r="E275" s="617"/>
      <c r="F275" s="617"/>
      <c r="G275" s="617"/>
      <c r="H275" s="617"/>
      <c r="I275" s="617"/>
      <c r="J275" s="617"/>
      <c r="K275" s="1692">
        <f>D275</f>
        <v>16194</v>
      </c>
      <c r="L275" s="466">
        <v>17040</v>
      </c>
    </row>
    <row r="276" spans="1:12" x14ac:dyDescent="0.2">
      <c r="A276" s="1526" t="s">
        <v>424</v>
      </c>
      <c r="B276" s="615">
        <v>2660</v>
      </c>
      <c r="C276" s="617"/>
      <c r="D276" s="466">
        <v>69460</v>
      </c>
      <c r="E276" s="617"/>
      <c r="F276" s="617"/>
      <c r="G276" s="617"/>
      <c r="H276" s="617"/>
      <c r="I276" s="617"/>
      <c r="J276" s="617"/>
      <c r="K276" s="1692">
        <f>D276</f>
        <v>69460</v>
      </c>
      <c r="L276" s="466">
        <v>56497</v>
      </c>
    </row>
    <row r="277" spans="1:12" ht="12.75" customHeight="1" thickBot="1" x14ac:dyDescent="0.25">
      <c r="A277" s="1711" t="s">
        <v>37</v>
      </c>
      <c r="B277" s="1689" t="s">
        <v>36</v>
      </c>
      <c r="C277" s="617"/>
      <c r="D277" s="1690">
        <f>SUM(D272:D276)</f>
        <v>97871</v>
      </c>
      <c r="E277" s="617"/>
      <c r="F277" s="617"/>
      <c r="G277" s="617"/>
      <c r="H277" s="617"/>
      <c r="I277" s="617"/>
      <c r="J277" s="617"/>
      <c r="K277" s="1690">
        <f>SUM(K272:K276)</f>
        <v>97871</v>
      </c>
      <c r="L277" s="1690">
        <f>SUM(L272:L276)</f>
        <v>86551</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1294468</v>
      </c>
      <c r="E279" s="617"/>
      <c r="F279" s="617"/>
      <c r="G279" s="617"/>
      <c r="H279" s="617"/>
      <c r="I279" s="617"/>
      <c r="J279" s="617"/>
      <c r="K279" s="1697">
        <f>SUM(K238,K243,K257,K261,K270,K277,K278)</f>
        <v>1294468</v>
      </c>
      <c r="L279" s="1697">
        <f>SUM(L238,L243,L257,L261,L270,L277,L278)</f>
        <v>1358809</v>
      </c>
    </row>
    <row r="280" spans="1:12" ht="15.75" customHeight="1" thickTop="1" thickBot="1" x14ac:dyDescent="0.25">
      <c r="A280" s="1646" t="s">
        <v>930</v>
      </c>
      <c r="B280" s="1635">
        <v>3000</v>
      </c>
      <c r="C280" s="617"/>
      <c r="D280" s="576">
        <v>3614</v>
      </c>
      <c r="E280" s="617"/>
      <c r="F280" s="617"/>
      <c r="G280" s="617"/>
      <c r="H280" s="617"/>
      <c r="I280" s="617"/>
      <c r="J280" s="617"/>
      <c r="K280" s="1699">
        <f>D280</f>
        <v>3614</v>
      </c>
      <c r="L280" s="576">
        <v>2152</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1954</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90">
        <f>SUM(D229,D279,D280,D285)</f>
        <v>2126242</v>
      </c>
      <c r="E295" s="617"/>
      <c r="F295" s="617"/>
      <c r="G295" s="617"/>
      <c r="H295" s="1690">
        <f>H293</f>
        <v>0</v>
      </c>
      <c r="I295" s="617"/>
      <c r="J295" s="617"/>
      <c r="K295" s="1690">
        <f>SUM(K229,K279,K280,K285,K293,K294)</f>
        <v>2126242</v>
      </c>
      <c r="L295" s="1690">
        <f>SUM(L229,L279,L280,L285,L293,L294)</f>
        <v>2235311</v>
      </c>
    </row>
    <row r="296" spans="1:14" ht="13.5" thickTop="1" x14ac:dyDescent="0.2">
      <c r="A296" s="2179" t="s">
        <v>1053</v>
      </c>
      <c r="B296" s="2180"/>
      <c r="C296" s="617"/>
      <c r="D296" s="619"/>
      <c r="E296" s="617"/>
      <c r="F296" s="617"/>
      <c r="G296" s="617"/>
      <c r="H296" s="688"/>
      <c r="I296" s="617"/>
      <c r="J296" s="617"/>
      <c r="K296" s="1704">
        <f>'Revenues 9-14'!G275-'Expenditures 15-22'!K295</f>
        <v>153196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2476842</v>
      </c>
      <c r="H301" s="466"/>
      <c r="I301" s="467"/>
      <c r="J301" s="467"/>
      <c r="K301" s="1691">
        <f>SUM(C301:J301)</f>
        <v>2476842</v>
      </c>
      <c r="L301" s="467">
        <v>1800000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2476842</v>
      </c>
      <c r="H303" s="1697">
        <f t="shared" si="23"/>
        <v>0</v>
      </c>
      <c r="I303" s="1697">
        <f t="shared" si="23"/>
        <v>0</v>
      </c>
      <c r="J303" s="1697">
        <f t="shared" si="23"/>
        <v>0</v>
      </c>
      <c r="K303" s="1697">
        <f t="shared" si="23"/>
        <v>2476842</v>
      </c>
      <c r="L303" s="1697">
        <f t="shared" si="23"/>
        <v>1800000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0">
        <f>SUM(C303)</f>
        <v>0</v>
      </c>
      <c r="D312" s="1690">
        <f>SUM(D303)</f>
        <v>0</v>
      </c>
      <c r="E312" s="1690">
        <f>SUM(E303,E310)</f>
        <v>0</v>
      </c>
      <c r="F312" s="1690">
        <f>SUM(F303)</f>
        <v>0</v>
      </c>
      <c r="G312" s="1690">
        <f>SUM(G303)</f>
        <v>2476842</v>
      </c>
      <c r="H312" s="1690">
        <f>SUM(H303,H310)</f>
        <v>0</v>
      </c>
      <c r="I312" s="1690">
        <f>SUM(I303)</f>
        <v>0</v>
      </c>
      <c r="J312" s="1690">
        <f>SUM(J303)</f>
        <v>0</v>
      </c>
      <c r="K312" s="1690">
        <f>SUM(K303,K310,K311)</f>
        <v>2476842</v>
      </c>
      <c r="L312" s="1690">
        <f>SUM(L303,L310,L311)</f>
        <v>1800000</v>
      </c>
      <c r="M312" s="666"/>
      <c r="N312" s="666"/>
    </row>
    <row r="313" spans="1:14" ht="13.5" thickTop="1" x14ac:dyDescent="0.2">
      <c r="A313" s="2190" t="s">
        <v>1053</v>
      </c>
      <c r="B313" s="2191"/>
      <c r="C313" s="627"/>
      <c r="D313" s="627"/>
      <c r="E313" s="627"/>
      <c r="F313" s="627"/>
      <c r="G313" s="627"/>
      <c r="H313" s="627"/>
      <c r="I313" s="627"/>
      <c r="J313" s="627"/>
      <c r="K313" s="1705">
        <f>'Revenues 9-14'!H275-'Expenditures 15-22'!K312</f>
        <v>666588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1905</v>
      </c>
      <c r="B320" s="699" t="s">
        <v>300</v>
      </c>
      <c r="C320" s="467"/>
      <c r="D320" s="467"/>
      <c r="E320" s="467">
        <v>476642</v>
      </c>
      <c r="F320" s="467"/>
      <c r="G320" s="467"/>
      <c r="H320" s="467"/>
      <c r="I320" s="467"/>
      <c r="J320" s="467"/>
      <c r="K320" s="1691">
        <f t="shared" ref="K320:K327" si="24">SUM(C320:J320)</f>
        <v>476642</v>
      </c>
      <c r="L320" s="467">
        <v>439500</v>
      </c>
      <c r="M320" s="666"/>
      <c r="N320" s="666"/>
    </row>
    <row r="321" spans="1:14" s="675" customFormat="1" x14ac:dyDescent="0.2">
      <c r="A321" s="1541" t="s">
        <v>318</v>
      </c>
      <c r="B321" s="698" t="s">
        <v>301</v>
      </c>
      <c r="C321" s="467"/>
      <c r="D321" s="467"/>
      <c r="E321" s="467">
        <v>86684</v>
      </c>
      <c r="F321" s="467"/>
      <c r="G321" s="467"/>
      <c r="H321" s="467"/>
      <c r="I321" s="467"/>
      <c r="J321" s="467"/>
      <c r="K321" s="1691">
        <f t="shared" si="24"/>
        <v>86684</v>
      </c>
      <c r="L321" s="467">
        <v>70180</v>
      </c>
      <c r="M321" s="666"/>
      <c r="N321" s="666"/>
    </row>
    <row r="322" spans="1:14" s="675" customFormat="1" x14ac:dyDescent="0.2">
      <c r="A322" s="1541" t="s">
        <v>256</v>
      </c>
      <c r="B322" s="698" t="s">
        <v>302</v>
      </c>
      <c r="C322" s="467"/>
      <c r="D322" s="467"/>
      <c r="E322" s="467"/>
      <c r="F322" s="467"/>
      <c r="G322" s="467"/>
      <c r="H322" s="467"/>
      <c r="I322" s="467"/>
      <c r="J322" s="467"/>
      <c r="K322" s="1691">
        <f t="shared" si="24"/>
        <v>0</v>
      </c>
      <c r="L322" s="467">
        <v>0</v>
      </c>
      <c r="M322" s="666"/>
      <c r="N322" s="666"/>
    </row>
    <row r="323" spans="1:14" s="675" customFormat="1" x14ac:dyDescent="0.2">
      <c r="A323" s="1541" t="s">
        <v>726</v>
      </c>
      <c r="B323" s="698" t="s">
        <v>303</v>
      </c>
      <c r="C323" s="467"/>
      <c r="D323" s="467"/>
      <c r="E323" s="467">
        <v>30090</v>
      </c>
      <c r="F323" s="467">
        <v>4425</v>
      </c>
      <c r="G323" s="467"/>
      <c r="H323" s="467"/>
      <c r="I323" s="467"/>
      <c r="J323" s="467"/>
      <c r="K323" s="1691">
        <f t="shared" si="24"/>
        <v>34515</v>
      </c>
      <c r="L323" s="467">
        <v>18500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v>300</v>
      </c>
      <c r="D325" s="467"/>
      <c r="E325" s="467"/>
      <c r="F325" s="467"/>
      <c r="G325" s="467"/>
      <c r="H325" s="467"/>
      <c r="I325" s="467"/>
      <c r="J325" s="467"/>
      <c r="K325" s="1691">
        <f t="shared" si="24"/>
        <v>300</v>
      </c>
      <c r="L325" s="467">
        <v>12000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v>41162</v>
      </c>
      <c r="F327" s="467"/>
      <c r="G327" s="467"/>
      <c r="H327" s="467"/>
      <c r="I327" s="467"/>
      <c r="J327" s="467"/>
      <c r="K327" s="1691">
        <f t="shared" si="24"/>
        <v>41162</v>
      </c>
      <c r="L327" s="467">
        <v>70000</v>
      </c>
      <c r="M327" s="666"/>
      <c r="N327" s="666"/>
    </row>
    <row r="328" spans="1:14" s="675" customFormat="1" x14ac:dyDescent="0.2">
      <c r="A328" s="1542" t="s">
        <v>492</v>
      </c>
      <c r="B328" s="691" t="s">
        <v>1194</v>
      </c>
      <c r="C328" s="474"/>
      <c r="D328" s="474"/>
      <c r="E328" s="474">
        <v>215396</v>
      </c>
      <c r="F328" s="474"/>
      <c r="G328" s="474"/>
      <c r="H328" s="474"/>
      <c r="I328" s="474"/>
      <c r="J328" s="474"/>
      <c r="K328" s="1719">
        <f>SUM(C328:J328)</f>
        <v>215396</v>
      </c>
      <c r="L328" s="474">
        <v>210565</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300</v>
      </c>
      <c r="D330" s="1690">
        <f t="shared" ref="D330:J330" si="25">SUM(D319:D329)</f>
        <v>0</v>
      </c>
      <c r="E330" s="1690">
        <f t="shared" si="25"/>
        <v>849974</v>
      </c>
      <c r="F330" s="1690">
        <f t="shared" si="25"/>
        <v>4425</v>
      </c>
      <c r="G330" s="1690">
        <f t="shared" si="25"/>
        <v>0</v>
      </c>
      <c r="H330" s="1690">
        <f t="shared" si="25"/>
        <v>0</v>
      </c>
      <c r="I330" s="1690">
        <f t="shared" si="25"/>
        <v>0</v>
      </c>
      <c r="J330" s="1690">
        <f t="shared" si="25"/>
        <v>0</v>
      </c>
      <c r="K330" s="1690">
        <f>SUM(K319:K329)</f>
        <v>854699</v>
      </c>
      <c r="L330" s="1690">
        <f>SUM(L319:L329)</f>
        <v>820745</v>
      </c>
      <c r="M330" s="666"/>
      <c r="N330" s="666"/>
    </row>
    <row r="331" spans="1:14" s="675" customFormat="1" ht="12.75" customHeight="1" thickTop="1" x14ac:dyDescent="0.2">
      <c r="A331" s="1852" t="s">
        <v>1960</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1954</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1956</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300</v>
      </c>
      <c r="D342" s="1690">
        <f>SUM(D330)</f>
        <v>0</v>
      </c>
      <c r="E342" s="1690">
        <f>SUM(E330)</f>
        <v>849974</v>
      </c>
      <c r="F342" s="1690">
        <f>SUM(F330)</f>
        <v>4425</v>
      </c>
      <c r="G342" s="1690">
        <f>SUM(G330)</f>
        <v>0</v>
      </c>
      <c r="H342" s="1690">
        <f>SUM(H330,H334,H340)</f>
        <v>0</v>
      </c>
      <c r="I342" s="1690">
        <f>SUM(I330)</f>
        <v>0</v>
      </c>
      <c r="J342" s="1690">
        <f>SUM(J330)</f>
        <v>0</v>
      </c>
      <c r="K342" s="1690">
        <f>SUM(K330,K334,K340)</f>
        <v>854699</v>
      </c>
      <c r="L342" s="1697">
        <f>SUM(L330,L340,L341)</f>
        <v>820745</v>
      </c>
    </row>
    <row r="343" spans="1:14" ht="12.75" customHeight="1" thickTop="1" x14ac:dyDescent="0.2">
      <c r="A343" s="2192" t="s">
        <v>1053</v>
      </c>
      <c r="B343" s="2193"/>
      <c r="C343" s="617"/>
      <c r="D343" s="617"/>
      <c r="E343" s="617"/>
      <c r="F343" s="617"/>
      <c r="G343" s="617"/>
      <c r="H343" s="617"/>
      <c r="I343" s="617"/>
      <c r="J343" s="617"/>
      <c r="K343" s="1704">
        <f>'Revenues 9-14'!J275-'Expenditures 15-22'!K342</f>
        <v>-33522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c r="G349" s="466">
        <v>352571</v>
      </c>
      <c r="H349" s="466"/>
      <c r="I349" s="467"/>
      <c r="J349" s="467"/>
      <c r="K349" s="1691">
        <f>SUM(C349:J349)</f>
        <v>352571</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352571</v>
      </c>
      <c r="H350" s="1690">
        <f t="shared" si="26"/>
        <v>0</v>
      </c>
      <c r="I350" s="1690">
        <f t="shared" si="26"/>
        <v>0</v>
      </c>
      <c r="J350" s="1690">
        <f t="shared" si="26"/>
        <v>0</v>
      </c>
      <c r="K350" s="1690">
        <f t="shared" si="26"/>
        <v>352571</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352571</v>
      </c>
      <c r="H352" s="1690">
        <f t="shared" si="27"/>
        <v>0</v>
      </c>
      <c r="I352" s="1690">
        <f t="shared" si="27"/>
        <v>0</v>
      </c>
      <c r="J352" s="1690">
        <f t="shared" si="27"/>
        <v>0</v>
      </c>
      <c r="K352" s="1690">
        <f t="shared" si="27"/>
        <v>352571</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1962</v>
      </c>
      <c r="B354" s="684" t="s">
        <v>1954</v>
      </c>
      <c r="C354" s="617"/>
      <c r="D354" s="617"/>
      <c r="E354" s="617"/>
      <c r="F354" s="617"/>
      <c r="G354" s="617"/>
      <c r="H354" s="474"/>
      <c r="I354" s="702"/>
      <c r="J354" s="617"/>
      <c r="K354" s="1719">
        <f>H354</f>
        <v>0</v>
      </c>
      <c r="L354" s="471">
        <v>0</v>
      </c>
    </row>
    <row r="355" spans="1:14" ht="12.75" customHeight="1" x14ac:dyDescent="0.2">
      <c r="A355" s="1535" t="s">
        <v>1963</v>
      </c>
      <c r="B355" s="691" t="s">
        <v>1956</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352571</v>
      </c>
      <c r="H367" s="1690">
        <f t="shared" si="28"/>
        <v>0</v>
      </c>
      <c r="I367" s="1690">
        <f t="shared" si="28"/>
        <v>0</v>
      </c>
      <c r="J367" s="1690">
        <f t="shared" si="28"/>
        <v>0</v>
      </c>
      <c r="K367" s="1690">
        <f t="shared" si="28"/>
        <v>352571</v>
      </c>
      <c r="L367" s="1690">
        <f t="shared" si="28"/>
        <v>0</v>
      </c>
    </row>
    <row r="368" spans="1:14" ht="13.5" thickTop="1" x14ac:dyDescent="0.2">
      <c r="A368" s="2179" t="s">
        <v>1053</v>
      </c>
      <c r="B368" s="2180"/>
      <c r="C368" s="655"/>
      <c r="D368" s="655"/>
      <c r="E368" s="627"/>
      <c r="F368" s="627"/>
      <c r="G368" s="627"/>
      <c r="H368" s="627"/>
      <c r="I368" s="627"/>
      <c r="J368" s="624"/>
      <c r="K368" s="1691">
        <f>'Revenues 9-14'!K275-'Expenditures 15-22'!K367</f>
        <v>-348829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purl.org/dc/dcmitype/"/>
    <ds:schemaRef ds:uri="http://www.w3.org/XML/1998/namespace"/>
    <ds:schemaRef ds:uri="6ce3111e-7420-4802-b50a-75d4e9a0b980"/>
    <ds:schemaRef ds:uri="http://purl.org/dc/terms/"/>
    <ds:schemaRef ds:uri="http://schemas.microsoft.com/office/infopath/2007/PartnerControls"/>
    <ds:schemaRef ds:uri="http://schemas.openxmlformats.org/package/2006/metadata/core-properties"/>
    <ds:schemaRef ds:uri="http://schemas.microsoft.com/sharepoint/v3"/>
    <ds:schemaRef ds:uri="4d435f69-8686-490b-bd6d-b153bf22ab5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2018-12-14T14:32:36Z</cp:lastPrinted>
  <dcterms:created xsi:type="dcterms:W3CDTF">2003-10-29T19:06:34Z</dcterms:created>
  <dcterms:modified xsi:type="dcterms:W3CDTF">2019-01-09T21:52:50Z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