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9"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88"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EFA1" sheetId="183" r:id="rId31"/>
    <sheet name="SEFA2" sheetId="184" r:id="rId32"/>
    <sheet name="SEFA3" sheetId="185" r:id="rId33"/>
    <sheet name="SEFA4" sheetId="186" r:id="rId34"/>
    <sheet name="SEFA5" sheetId="187" r:id="rId35"/>
    <sheet name="SF&amp;QC Sec-1" sheetId="174" r:id="rId36"/>
    <sheet name="SF&amp;QC Sec-2" sheetId="175" r:id="rId37"/>
    <sheet name="SF&amp;QC Sec-3" sheetId="176" r:id="rId38"/>
    <sheet name="SSPAF" sheetId="177" r:id="rId39"/>
  </sheets>
  <externalReferences>
    <externalReference r:id="rId40"/>
  </externalReferences>
  <definedNames>
    <definedName name="_xlnm.Print_Area" localSheetId="29">' SEFA'!$B$1:$M$46</definedName>
    <definedName name="_xlnm.Print_Area" localSheetId="5">'Assets-Liab 5-6'!$A$1:$N$41</definedName>
    <definedName name="_xlnm.Print_Area" localSheetId="28">'SEFA NOTES'!$A$1:$F$52</definedName>
    <definedName name="_xlnm.Print_Area" localSheetId="27">'SEFA Reconcile'!$A$1:$E$49</definedName>
    <definedName name="_xlnm.Print_Area" localSheetId="35">'SF&amp;QC Sec-1'!$A$1:$J$63</definedName>
    <definedName name="_xlnm.Print_Area" localSheetId="37">'SF&amp;QC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19">#REF!</definedName>
    <definedName name="SCHADDRS" localSheetId="28">#REF!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19">#REF!</definedName>
    <definedName name="SCHCTY" localSheetId="28">#REF!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19">#REF!</definedName>
    <definedName name="SCHNMBR" localSheetId="28">#REF!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19">#REF!</definedName>
    <definedName name="SCHNME" localSheetId="28">#REF!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EFA1">#REF!</definedName>
    <definedName name="SEFA10">#REF!</definedName>
    <definedName name="SEFA11">#REF!</definedName>
    <definedName name="SEFA12">#REF!</definedName>
    <definedName name="SEFA13">#REF!</definedName>
    <definedName name="SEFA14">#REF!</definedName>
    <definedName name="SEFA15">#REF!</definedName>
    <definedName name="SEFA16">#REF!</definedName>
    <definedName name="SEFA17">#REF!</definedName>
    <definedName name="SEFA18">#REF!</definedName>
    <definedName name="SEFA2">#REF!</definedName>
    <definedName name="SEFA3">#REF!</definedName>
    <definedName name="SEFA4">#REF!</definedName>
    <definedName name="SEFA5">#REF!</definedName>
    <definedName name="SEFA6">#REF!</definedName>
    <definedName name="SEFA7">#REF!</definedName>
    <definedName name="SEFA8">#REF!</definedName>
    <definedName name="SEFA9">#REF!</definedName>
    <definedName name="SUPT" localSheetId="29">#REF!</definedName>
    <definedName name="SUPT" localSheetId="18">#REF!</definedName>
    <definedName name="SUPT" localSheetId="22">#REF!</definedName>
    <definedName name="SUPT" localSheetId="4">#REF!</definedName>
    <definedName name="SUPT" localSheetId="19">#REF!</definedName>
    <definedName name="SUPT" localSheetId="28">#REF!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62913"/>
</workbook>
</file>

<file path=xl/calcChain.xml><?xml version="1.0" encoding="utf-8"?>
<calcChain xmlns="http://schemas.openxmlformats.org/spreadsheetml/2006/main">
  <c r="D39" i="3" l="1"/>
  <c r="D38" i="3"/>
  <c r="C5" i="29" l="1"/>
  <c r="C30" i="3"/>
  <c r="C27" i="3" l="1"/>
  <c r="C11" i="3" l="1"/>
  <c r="C9" i="3"/>
  <c r="C5" i="3"/>
  <c r="C4" i="3"/>
  <c r="C70" i="29"/>
  <c r="D75" i="29"/>
  <c r="D71" i="29"/>
  <c r="D70" i="29"/>
  <c r="D63" i="29"/>
  <c r="D61" i="29"/>
  <c r="D60" i="29"/>
  <c r="D59" i="29"/>
  <c r="D56" i="29"/>
  <c r="D55" i="29"/>
  <c r="D51" i="29"/>
  <c r="D50" i="29"/>
  <c r="D49" i="29"/>
  <c r="D45" i="29"/>
  <c r="D44" i="29"/>
  <c r="D41" i="29"/>
  <c r="D40" i="29"/>
  <c r="D39" i="29"/>
  <c r="D38" i="29"/>
  <c r="D36" i="29"/>
  <c r="D19" i="29"/>
  <c r="D18" i="29"/>
  <c r="D17" i="29"/>
  <c r="D16" i="29"/>
  <c r="D15" i="29"/>
  <c r="D14" i="29"/>
  <c r="D11" i="29"/>
  <c r="D10" i="29"/>
  <c r="D9" i="29"/>
  <c r="D8" i="29"/>
  <c r="D5" i="29"/>
  <c r="D35" i="171" l="1"/>
  <c r="C65" i="5" l="1"/>
  <c r="B63" i="188"/>
  <c r="B62" i="188"/>
  <c r="E19" i="187" l="1"/>
  <c r="E21" i="187" s="1"/>
  <c r="F19" i="187"/>
  <c r="G21" i="187"/>
  <c r="G19" i="187"/>
  <c r="I17" i="187"/>
  <c r="G17" i="187"/>
  <c r="F17" i="187"/>
  <c r="E17" i="187"/>
  <c r="I15" i="187"/>
  <c r="G15" i="187"/>
  <c r="F15" i="187"/>
  <c r="E15" i="187"/>
  <c r="L27" i="187"/>
  <c r="L26" i="187"/>
  <c r="L25" i="187"/>
  <c r="L24" i="187"/>
  <c r="L23" i="187"/>
  <c r="L22" i="187"/>
  <c r="L20" i="187"/>
  <c r="L18" i="187"/>
  <c r="L16" i="187"/>
  <c r="L13" i="187"/>
  <c r="L12" i="187"/>
  <c r="L11" i="187"/>
  <c r="B4" i="187"/>
  <c r="G19" i="186"/>
  <c r="E19" i="186"/>
  <c r="I17" i="186"/>
  <c r="G17" i="186"/>
  <c r="F17" i="186"/>
  <c r="E17" i="186"/>
  <c r="I14" i="186"/>
  <c r="I19" i="186" s="1"/>
  <c r="I19" i="187" s="1"/>
  <c r="I21" i="187" s="1"/>
  <c r="G14" i="186"/>
  <c r="F14" i="186"/>
  <c r="F19" i="186" s="1"/>
  <c r="E14" i="186"/>
  <c r="L27" i="186"/>
  <c r="L26" i="186"/>
  <c r="L25" i="186"/>
  <c r="L24" i="186"/>
  <c r="L23" i="186"/>
  <c r="L22" i="186"/>
  <c r="L21" i="186"/>
  <c r="L20" i="186"/>
  <c r="L18" i="186"/>
  <c r="L16" i="186"/>
  <c r="L15" i="186"/>
  <c r="L13" i="186"/>
  <c r="L12" i="186"/>
  <c r="L11" i="186"/>
  <c r="B4" i="186"/>
  <c r="I23" i="185"/>
  <c r="G23" i="185"/>
  <c r="F23" i="185"/>
  <c r="E23" i="185"/>
  <c r="I20" i="185"/>
  <c r="G20" i="185"/>
  <c r="F20" i="185"/>
  <c r="E20" i="185"/>
  <c r="I17" i="185"/>
  <c r="G17" i="185"/>
  <c r="F17" i="185"/>
  <c r="E17" i="185"/>
  <c r="I12" i="185"/>
  <c r="G12" i="185"/>
  <c r="L12" i="185" s="1"/>
  <c r="F12" i="185"/>
  <c r="E12" i="185"/>
  <c r="L11" i="185"/>
  <c r="L27" i="185"/>
  <c r="L26" i="185"/>
  <c r="L25" i="185"/>
  <c r="L24" i="185"/>
  <c r="L22" i="185"/>
  <c r="L21" i="185"/>
  <c r="L19" i="185"/>
  <c r="L18" i="185"/>
  <c r="L17" i="185"/>
  <c r="L16" i="185"/>
  <c r="L15" i="185"/>
  <c r="L14" i="185"/>
  <c r="L13" i="185"/>
  <c r="B4" i="185"/>
  <c r="I24" i="184"/>
  <c r="G24" i="184"/>
  <c r="F24" i="184"/>
  <c r="E24" i="184"/>
  <c r="I18" i="184"/>
  <c r="G18" i="184"/>
  <c r="F18" i="184"/>
  <c r="E18" i="184"/>
  <c r="I14" i="184"/>
  <c r="G14" i="184"/>
  <c r="F14" i="184"/>
  <c r="E14" i="184"/>
  <c r="L27" i="184"/>
  <c r="L26" i="184"/>
  <c r="L25" i="184"/>
  <c r="L23" i="184"/>
  <c r="L22" i="184"/>
  <c r="L21" i="184"/>
  <c r="L20" i="184"/>
  <c r="L19" i="184"/>
  <c r="L17" i="184"/>
  <c r="L16" i="184"/>
  <c r="L15" i="184"/>
  <c r="L14" i="184"/>
  <c r="L13" i="184"/>
  <c r="L12" i="184"/>
  <c r="L11" i="184"/>
  <c r="B4" i="184"/>
  <c r="I18" i="183"/>
  <c r="G18" i="183"/>
  <c r="L18" i="183" s="1"/>
  <c r="F18" i="183"/>
  <c r="E18" i="183"/>
  <c r="I15" i="183"/>
  <c r="L15" i="183" s="1"/>
  <c r="G15" i="183"/>
  <c r="F15" i="183"/>
  <c r="E15" i="183"/>
  <c r="L27" i="183"/>
  <c r="L26" i="183"/>
  <c r="L25" i="183"/>
  <c r="L24" i="183"/>
  <c r="L23" i="183"/>
  <c r="L22" i="183"/>
  <c r="L21" i="183"/>
  <c r="L20" i="183"/>
  <c r="L19" i="183"/>
  <c r="L17" i="183"/>
  <c r="L16" i="183"/>
  <c r="L14" i="183"/>
  <c r="L13" i="183"/>
  <c r="L12" i="183"/>
  <c r="L11" i="183"/>
  <c r="B4" i="183"/>
  <c r="I24" i="179"/>
  <c r="G24" i="179"/>
  <c r="F24" i="179"/>
  <c r="E24" i="179"/>
  <c r="I22" i="179"/>
  <c r="G22" i="179"/>
  <c r="F22" i="179"/>
  <c r="E22" i="179"/>
  <c r="F21" i="187" l="1"/>
  <c r="L19" i="186"/>
  <c r="L14" i="186"/>
  <c r="L21" i="187"/>
  <c r="L17" i="187"/>
  <c r="L15" i="187"/>
  <c r="L14" i="187"/>
  <c r="L19" i="187"/>
  <c r="L17" i="186"/>
  <c r="L23" i="185"/>
  <c r="L20" i="185"/>
  <c r="L24" i="184"/>
  <c r="L18"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F74" i="34" l="1"/>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7" l="1"/>
  <c r="B1" i="183"/>
  <c r="B1" i="186"/>
  <c r="B1" i="185"/>
  <c r="B1" i="184"/>
  <c r="B2" i="186"/>
  <c r="B2" i="185"/>
  <c r="B2" i="187"/>
  <c r="B2" i="184"/>
  <c r="B2" i="183"/>
  <c r="B2" i="179"/>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H109" i="5"/>
  <c r="B6025" i="106" s="1"/>
  <c r="D6025" i="106" s="1"/>
  <c r="F106" i="34"/>
  <c r="H6" i="4"/>
  <c r="B2656" i="106" s="1"/>
  <c r="D2656" i="106" s="1"/>
  <c r="D17" i="7"/>
  <c r="B4104" i="106" s="1"/>
  <c r="D4104" i="106" s="1"/>
  <c r="D12" i="7"/>
  <c r="B1769" i="106" s="1"/>
  <c r="D1769" i="106" s="1"/>
  <c r="D11" i="7"/>
  <c r="B1768" i="106" s="1"/>
  <c r="D1768" i="106" s="1"/>
  <c r="D15" i="7"/>
  <c r="B1772" i="106" s="1"/>
  <c r="D1772" i="106" s="1"/>
  <c r="C129" i="29" l="1"/>
  <c r="L342" i="29"/>
  <c r="L312" i="29"/>
  <c r="L15" i="11"/>
  <c r="B3459" i="106" s="1"/>
  <c r="D3459" i="106" s="1"/>
  <c r="F28" i="108"/>
  <c r="F41" i="108" s="1"/>
  <c r="G43" i="108" s="1"/>
  <c r="E28" i="108"/>
  <c r="F35" i="34"/>
  <c r="K41" i="3"/>
  <c r="B3568" i="106" s="1"/>
  <c r="D3568" i="106" s="1"/>
  <c r="L13" i="11"/>
  <c r="B2060" i="106" s="1"/>
  <c r="D2060" i="106" s="1"/>
  <c r="F19" i="7"/>
  <c r="B1807" i="106" s="1"/>
  <c r="D1807" i="106" s="1"/>
  <c r="J41" i="3"/>
  <c r="B6216" i="106" s="1"/>
  <c r="D6216" i="106" s="1"/>
  <c r="H33" i="118"/>
  <c r="B1329" i="106"/>
  <c r="D1329" i="106" s="1"/>
  <c r="F61" i="34"/>
  <c r="G352" i="29"/>
  <c r="K352" i="29"/>
  <c r="K13" i="4" s="1"/>
  <c r="B3572" i="106" s="1"/>
  <c r="D3572" i="106" s="1"/>
  <c r="F38" i="34"/>
  <c r="K184" i="29"/>
  <c r="F13" i="4" s="1"/>
  <c r="B2596" i="106" s="1"/>
  <c r="D2596" i="106" s="1"/>
  <c r="B1410" i="106"/>
  <c r="D1410" i="106" s="1"/>
  <c r="F36" i="34"/>
  <c r="C342" i="29"/>
  <c r="B7216" i="106" s="1"/>
  <c r="D7216" i="106" s="1"/>
  <c r="B1124" i="106"/>
  <c r="D1124" i="106" s="1"/>
  <c r="B2724" i="106"/>
  <c r="D2724" i="106" s="1"/>
  <c r="H4" i="4"/>
  <c r="B2655" i="106" s="1"/>
  <c r="D2655" i="106" s="1"/>
  <c r="G109" i="5"/>
  <c r="B6024" i="106" s="1"/>
  <c r="D6024" i="106" s="1"/>
  <c r="D7" i="7"/>
  <c r="B1763" i="106" s="1"/>
  <c r="D1763" i="106" s="1"/>
  <c r="B1746" i="106"/>
  <c r="D1746" i="106" s="1"/>
  <c r="D109" i="5"/>
  <c r="C172" i="5"/>
  <c r="B5214" i="106" s="1"/>
  <c r="D5214" i="106" s="1"/>
  <c r="C109" i="5"/>
  <c r="B5121" i="106" s="1"/>
  <c r="D5121" i="106" s="1"/>
  <c r="B5066" i="106"/>
  <c r="D506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60" i="106"/>
  <c r="D366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L114" i="29" l="1"/>
  <c r="D52" i="36"/>
  <c r="L16" i="11"/>
  <c r="B2061" i="106" s="1"/>
  <c r="D2061" i="106" s="1"/>
  <c r="D44" i="36"/>
  <c r="B1317" i="106"/>
  <c r="D1317" i="106" s="1"/>
  <c r="B3672" i="106"/>
  <c r="D3672" i="106" s="1"/>
  <c r="B3649" i="106"/>
  <c r="D3649" i="106" s="1"/>
  <c r="G367" i="29"/>
  <c r="B3650" i="106" s="1"/>
  <c r="D3650" i="106" s="1"/>
  <c r="K367" i="29"/>
  <c r="K342" i="29"/>
  <c r="F13" i="34" s="1"/>
  <c r="C114" i="29"/>
  <c r="B757" i="106" s="1"/>
  <c r="D757" i="106" s="1"/>
  <c r="G4" i="4"/>
  <c r="B2603" i="106" s="1"/>
  <c r="D2603" i="106" s="1"/>
  <c r="F275" i="5"/>
  <c r="B5653" i="106"/>
  <c r="D5653" i="106" s="1"/>
  <c r="B5356" i="106"/>
  <c r="D5356" i="106" s="1"/>
  <c r="D4" i="4"/>
  <c r="B2564" i="106" s="1"/>
  <c r="D256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B1145" i="106"/>
  <c r="D1145" i="106" s="1"/>
  <c r="G41" i="108"/>
  <c r="G44" i="108" s="1"/>
  <c r="G45" i="108" s="1"/>
  <c r="E41" i="108"/>
  <c r="E44" i="108" s="1"/>
  <c r="E45" i="108" s="1"/>
  <c r="F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<sst xmlns="http://schemas.openxmlformats.org/spreadsheetml/2006/main" count="5774" uniqueCount="2296">
  <si>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</si>
  <si>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</si>
  <si>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</si>
  <si>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</si>
  <si>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</si>
  <si>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</si>
  <si>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</si>
  <si>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</si>
  <si>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</si>
  <si>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</si>
  <si>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</si>
  <si>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</si>
  <si>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</si>
  <si>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</si>
  <si>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</si>
  <si>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</si>
  <si>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</si>
  <si>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</si>
  <si>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</si>
  <si>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</si>
  <si>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</si>
  <si>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</si>
  <si>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</si>
  <si>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</si>
  <si>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</si>
  <si>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</si>
  <si>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</si>
  <si>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</si>
  <si>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</si>
  <si>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</si>
  <si>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</si>
  <si>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</si>
  <si>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</si>
  <si>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</si>
  <si>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</si>
  <si>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</si>
  <si>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</si>
  <si>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</si>
  <si>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</si>
  <si>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</si>
  <si>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</si>
  <si>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</si>
  <si>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</si>
  <si>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</si>
  <si>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</si>
  <si>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</si>
  <si>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</si>
  <si>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</si>
  <si>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</si>
  <si>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</si>
  <si>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</si>
  <si>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</si>
  <si>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</si>
  <si>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</si>
  <si>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</si>
  <si>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</si>
  <si>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</si>
  <si>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</si>
  <si>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</si>
  <si>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</si>
  <si>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</si>
  <si>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</si>
  <si>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</si>
  <si>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</si>
  <si>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</si>
  <si>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</si>
  <si>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</si>
  <si>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</si>
  <si>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</si>
  <si>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</si>
  <si>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</si>
  <si>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</si>
  <si>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</si>
  <si>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</si>
  <si>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</si>
  <si>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</si>
  <si>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</si>
  <si>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</si>
  <si>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</si>
  <si>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</si>
  <si>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</si>
  <si>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</si>
  <si>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</si>
  <si>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</si>
  <si>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</si>
  <si>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</si>
  <si>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</si>
  <si>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</si>
  <si>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</si>
  <si>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</si>
  <si>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</si>
  <si>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</si>
  <si>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</si>
  <si>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</si>
  <si>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</si>
  <si>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</si>
  <si>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</si>
  <si>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</si>
  <si>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</si>
  <si>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</si>
  <si>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</si>
  <si>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</si>
  <si>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</si>
  <si>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</si>
  <si>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</si>
  <si>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</si>
  <si>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</si>
  <si>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</si>
  <si>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</si>
  <si>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</si>
  <si>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</si>
  <si>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</si>
  <si>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</si>
  <si>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</si>
  <si>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</si>
  <si>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</si>
  <si>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</si>
  <si>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</si>
  <si>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</si>
  <si>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</si>
  <si>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</si>
  <si>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</si>
  <si>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</si>
  <si>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</si>
  <si>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</si>
  <si>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</si>
  <si>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</si>
  <si>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</si>
  <si>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</si>
  <si>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</si>
  <si>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</si>
  <si>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</si>
  <si>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</si>
  <si>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</si>
  <si>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</si>
  <si>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</si>
  <si>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</si>
  <si>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</si>
  <si>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</si>
  <si>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</si>
  <si>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</si>
  <si>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</si>
  <si>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</si>
  <si>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</si>
  <si>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</si>
  <si>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</si>
  <si>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</si>
  <si>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</si>
  <si>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</si>
  <si>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</si>
  <si>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</si>
  <si>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</si>
  <si>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</si>
  <si>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</si>
  <si>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</si>
  <si>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</si>
  <si>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</si>
  <si>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</si>
  <si>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</si>
  <si>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</si>
  <si>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</si>
  <si>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</si>
  <si>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</si>
  <si>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</si>
  <si>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</si>
  <si>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</si>
  <si>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</si>
  <si>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</si>
  <si>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</si>
  <si>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</si>
  <si>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</si>
  <si>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</si>
  <si>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</si>
  <si>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</si>
  <si>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</si>
  <si>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</si>
  <si>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</si>
  <si>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</si>
  <si>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</si>
  <si>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</si>
  <si>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</si>
  <si>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</si>
  <si>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</si>
  <si>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</si>
  <si>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</si>
  <si>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</si>
  <si>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</si>
  <si>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</si>
  <si>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</si>
  <si>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</si>
  <si>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</si>
  <si>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</si>
  <si>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</si>
  <si>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</si>
  <si>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</si>
  <si>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</si>
  <si>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</si>
  <si>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</si>
  <si>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</si>
  <si>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</si>
  <si>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</si>
  <si>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</si>
  <si>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</si>
  <si>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</si>
  <si>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</si>
  <si>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</si>
  <si>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</si>
  <si>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</si>
  <si>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</si>
  <si>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</si>
  <si>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</si>
  <si>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</si>
  <si>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</si>
  <si>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</si>
  <si>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</si>
  <si>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</si>
  <si>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</si>
  <si>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</si>
  <si>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</si>
  <si>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</si>
  <si>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</si>
  <si>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</si>
  <si>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</si>
  <si>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</si>
  <si>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</si>
  <si>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</si>
  <si>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</si>
  <si>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</si>
  <si>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</si>
  <si>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</si>
  <si>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</si>
  <si>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</si>
  <si>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</si>
  <si>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</si>
  <si>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</si>
  <si>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</si>
  <si>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</si>
  <si>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</si>
  <si>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</si>
  <si>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</si>
  <si>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</si>
  <si>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</si>
  <si>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</si>
  <si>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</si>
  <si>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</si>
  <si>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</si>
  <si>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</si>
  <si>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</si>
  <si>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</si>
  <si>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</si>
  <si>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</si>
  <si>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</si>
  <si>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</si>
  <si>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</si>
  <si>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</si>
  <si>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</si>
  <si>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</si>
  <si>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</si>
  <si>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</si>
  <si>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</si>
  <si>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</si>
  <si>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</si>
  <si>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</si>
  <si>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</si>
  <si>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</si>
  <si>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</si>
  <si>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</si>
  <si>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</si>
  <si>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</si>
  <si>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</si>
  <si>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</si>
  <si>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</si>
  <si>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</si>
  <si>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</si>
  <si>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</si>
  <si>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</si>
  <si>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</si>
  <si>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</si>
  <si>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</si>
  <si>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</si>
  <si>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</si>
  <si>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</si>
  <si>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</si>
  <si>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</si>
  <si>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</si>
  <si>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</si>
  <si>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</si>
  <si>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</si>
  <si>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</si>
  <si>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</si>
  <si>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</si>
  <si>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</si>
  <si>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</si>
  <si>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</si>
  <si>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</si>
  <si>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</si>
  <si>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</si>
  <si>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</si>
  <si>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</si>
  <si>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</si>
  <si>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</si>
  <si>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</si>
  <si>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</si>
  <si>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</si>
  <si>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</si>
  <si>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</si>
  <si>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</si>
  <si>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</si>
  <si>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</si>
  <si>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</si>
  <si>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</si>
  <si>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</si>
  <si>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</si>
  <si>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</si>
  <si>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</si>
  <si>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</si>
  <si>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</si>
  <si>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</si>
  <si>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</si>
  <si>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</si>
  <si>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</si>
  <si>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</si>
  <si>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</si>
  <si>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</si>
  <si>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</si>
  <si>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</si>
  <si>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</si>
  <si>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</si>
  <si>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</si>
  <si>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</si>
  <si>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</si>
  <si>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</si>
  <si>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</si>
  <si>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</si>
  <si>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</si>
  <si>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</si>
  <si>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</si>
  <si>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</si>
  <si>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</si>
  <si>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</si>
  <si>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</si>
  <si>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</si>
  <si>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</si>
  <si>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</si>
  <si>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</si>
  <si>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</si>
  <si>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</si>
  <si>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</si>
  <si>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</si>
  <si>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</si>
  <si>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</si>
  <si>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</si>
  <si>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</si>
  <si>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</si>
  <si>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</si>
  <si>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</si>
  <si>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</si>
  <si>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</si>
  <si>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</si>
  <si>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</si>
  <si>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</si>
  <si>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</si>
  <si>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</si>
  <si>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</si>
  <si>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</si>
  <si>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</si>
  <si>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</si>
  <si>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</si>
  <si>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</si>
  <si>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</si>
  <si>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</si>
  <si>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</si>
  <si>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</si>
  <si>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</si>
  <si>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</si>
  <si>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</si>
  <si>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</si>
  <si>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</si>
  <si>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</si>
  <si>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</si>
  <si>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</si>
  <si>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</si>
  <si>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</si>
  <si>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</si>
  <si>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</si>
  <si>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</si>
  <si>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</si>
  <si>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</si>
  <si>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</si>
  <si>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</si>
  <si>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</si>
  <si>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</si>
  <si>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</si>
  <si>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</si>
  <si>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</si>
  <si>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</si>
  <si>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</si>
  <si>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</si>
  <si>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</si>
  <si>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</si>
  <si>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</si>
  <si>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</si>
  <si>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</si>
  <si>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</si>
  <si>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</si>
  <si>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</si>
  <si>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</si>
  <si>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</si>
  <si>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</si>
  <si>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</si>
  <si>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</si>
  <si>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</si>
  <si>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</si>
  <si>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</si>
  <si>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</si>
  <si>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</si>
  <si>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</si>
  <si>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</si>
  <si>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</si>
  <si>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</si>
  <si>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</si>
  <si>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</si>
  <si>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</si>
  <si>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</si>
  <si>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</si>
  <si>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</si>
  <si>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</si>
  <si>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</si>
  <si>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</si>
  <si>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</si>
  <si>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</si>
  <si>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</si>
  <si>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</si>
  <si>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</si>
  <si>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</si>
  <si>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</si>
  <si>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</si>
  <si>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</si>
  <si>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</si>
  <si>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</si>
  <si>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</si>
  <si>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</si>
  <si>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</si>
  <si>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</si>
  <si>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</si>
  <si>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</si>
  <si>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</si>
  <si>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</si>
  <si>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</si>
  <si>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</si>
  <si>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</si>
  <si>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</si>
  <si>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</si>
  <si>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</si>
  <si>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</si>
  <si>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</si>
  <si>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</si>
  <si>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</si>
  <si>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</si>
  <si>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</si>
  <si>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</si>
  <si>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</si>
  <si>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</si>
  <si>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</si>
  <si>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</si>
  <si>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</si>
  <si>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</si>
  <si>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</si>
  <si>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</si>
  <si>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</si>
  <si>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</si>
  <si>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</si>
  <si>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</si>
  <si>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</si>
  <si>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</si>
  <si>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</si>
  <si>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</si>
  <si>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</si>
  <si>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</si>
  <si>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</si>
  <si>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</si>
  <si>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</si>
  <si>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</si>
  <si>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</si>
  <si>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</si>
  <si>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</si>
  <si>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</si>
  <si>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</si>
  <si>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</si>
  <si>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</si>
  <si>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</si>
  <si>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</si>
  <si>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</si>
  <si>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</si>
  <si>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</si>
  <si>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</si>
  <si>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</si>
  <si>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</si>
  <si>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</si>
  <si>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</si>
  <si>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</si>
  <si>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</si>
  <si>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</si>
  <si>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</si>
  <si>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</si>
  <si>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</si>
  <si>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</si>
  <si>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</si>
  <si>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</si>
  <si>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</si>
  <si>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</si>
  <si>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</si>
  <si>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</si>
  <si>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</si>
  <si>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</si>
  <si>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</si>
  <si>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</si>
  <si>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</si>
  <si>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</si>
  <si>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</si>
  <si>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</si>
  <si>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</si>
  <si>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</si>
  <si>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</si>
  <si>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</si>
  <si>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</si>
  <si>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</si>
  <si>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</si>
  <si>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</si>
  <si>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</si>
  <si>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</si>
  <si>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</si>
  <si>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</si>
  <si>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</si>
  <si>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</si>
  <si>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</si>
  <si>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</si>
  <si>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</si>
  <si>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</si>
  <si>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</si>
  <si>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</si>
  <si>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</si>
  <si>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</si>
  <si>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</si>
  <si>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</si>
  <si>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</si>
  <si>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</si>
  <si>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</si>
  <si>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</si>
  <si>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</si>
  <si>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</si>
  <si>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</si>
  <si>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</si>
  <si>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</si>
  <si>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</si>
  <si>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</si>
  <si>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</si>
  <si>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</si>
  <si>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</si>
  <si>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</si>
  <si>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</si>
  <si>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</si>
  <si>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</si>
  <si>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</si>
  <si>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</si>
  <si>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</si>
  <si>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</si>
  <si>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</si>
  <si>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</si>
  <si>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</si>
  <si>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</si>
  <si>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</si>
  <si>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</si>
  <si>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</si>
  <si>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</si>
  <si>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</si>
  <si>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</si>
  <si>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</si>
  <si>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</si>
  <si>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</si>
  <si>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</si>
  <si>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</si>
  <si>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</si>
  <si>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</si>
  <si>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</si>
  <si>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</si>
  <si>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</si>
  <si>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</si>
  <si>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</si>
  <si>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</si>
  <si>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</si>
  <si>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</si>
  <si>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</si>
  <si>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</si>
  <si>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</si>
  <si>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</si>
  <si>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</si>
  <si>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</si>
  <si>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</si>
  <si>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</si>
  <si>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</si>
  <si>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</si>
  <si>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</si>
  <si>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</si>
  <si>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</si>
  <si>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</si>
  <si>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</si>
  <si>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</si>
  <si>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</si>
  <si>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</si>
  <si>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</si>
  <si>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</si>
  <si>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</si>
  <si>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</si>
  <si>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</si>
  <si>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</si>
  <si>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</si>
  <si>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</si>
  <si>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</si>
  <si>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</si>
  <si>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</si>
  <si>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</si>
  <si>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</si>
  <si>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</si>
  <si>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</si>
  <si>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</si>
  <si>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</si>
  <si>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</si>
  <si>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</si>
  <si>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</si>
  <si>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</si>
  <si>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</si>
  <si>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</si>
  <si>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</si>
  <si>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</si>
  <si>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</si>
  <si>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</si>
  <si>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</si>
  <si>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</si>
  <si>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</si>
  <si>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</si>
  <si>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</si>
  <si>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</si>
  <si>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</si>
  <si>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</si>
  <si>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</si>
  <si>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</si>
  <si>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</si>
  <si>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</si>
  <si>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</si>
  <si>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</si>
  <si>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</si>
  <si>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</si>
  <si>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</si>
  <si>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</si>
  <si>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</si>
  <si>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</si>
  <si>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</si>
  <si>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</si>
  <si>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</si>
  <si>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</si>
  <si>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</si>
  <si>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</si>
  <si>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</si>
  <si>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</si>
  <si>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</si>
  <si>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</si>
  <si>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</si>
  <si>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</si>
  <si>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</si>
  <si>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</si>
  <si>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</si>
  <si>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</si>
  <si>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</si>
  <si>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</si>
  <si>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</si>
  <si>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</si>
  <si>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</si>
  <si>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</si>
  <si>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</si>
  <si>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</si>
  <si>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</si>
  <si>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</si>
  <si>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</si>
  <si>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</si>
  <si>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</si>
  <si>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</si>
  <si>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</si>
  <si>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</si>
  <si>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</si>
  <si>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</si>
  <si>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</si>
  <si>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</si>
  <si>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</si>
  <si>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</si>
  <si>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</si>
  <si>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</si>
  <si>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</si>
  <si>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</si>
  <si>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</si>
  <si>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</si>
  <si>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</si>
  <si>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</si>
  <si>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</si>
  <si>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</si>
  <si>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</si>
  <si>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</si>
  <si>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</si>
  <si>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</si>
  <si>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</si>
  <si>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</si>
  <si>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</si>
  <si>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</si>
  <si>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</si>
  <si>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</si>
  <si>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</si>
  <si>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</si>
  <si>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</si>
  <si>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</si>
  <si>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</si>
  <si>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</si>
  <si>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</si>
  <si>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</si>
  <si>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</si>
  <si>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</si>
  <si>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</si>
  <si>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</si>
  <si>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</si>
  <si>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</si>
  <si>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</si>
  <si>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</si>
  <si>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</si>
  <si>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</si>
  <si>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</si>
  <si>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</si>
  <si>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</si>
  <si>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</si>
  <si>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</si>
  <si>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</si>
  <si>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</si>
  <si>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</si>
  <si>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</si>
  <si>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</si>
  <si>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</si>
  <si>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</si>
  <si>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</si>
  <si>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</si>
  <si>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</si>
  <si>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</si>
  <si>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</si>
  <si>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</si>
  <si>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</si>
  <si>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</si>
  <si>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</si>
  <si>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</si>
  <si>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</si>
  <si>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</si>
  <si>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</si>
  <si>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</si>
  <si>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</si>
  <si>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</si>
  <si>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</si>
  <si>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</si>
  <si>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</si>
  <si>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</si>
  <si>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</si>
  <si>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</si>
  <si>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</si>
  <si>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</si>
  <si>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</si>
  <si>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</si>
  <si>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</si>
  <si>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</si>
  <si>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</si>
  <si>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</si>
  <si>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</si>
  <si>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</si>
  <si>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</si>
  <si>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</si>
  <si>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</si>
  <si>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</si>
  <si>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</si>
  <si>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</si>
  <si>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</si>
  <si>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</si>
  <si>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</si>
  <si>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</si>
  <si>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</si>
  <si>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</si>
  <si>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</si>
  <si>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</si>
  <si>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</si>
  <si>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</si>
  <si>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</si>
  <si>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</si>
  <si>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</si>
  <si>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</si>
  <si>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</si>
  <si>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</si>
  <si>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</si>
  <si>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</si>
  <si>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</si>
  <si>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</si>
  <si>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</si>
  <si>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</si>
  <si>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</si>
  <si>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</si>
  <si>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</si>
  <si>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</si>
  <si>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</si>
  <si>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</si>
  <si>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</si>
  <si>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</si>
  <si>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</si>
  <si>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</si>
  <si>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</si>
  <si>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</si>
  <si>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</si>
  <si>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</si>
  <si>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</si>
  <si>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</si>
  <si>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</si>
  <si>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</si>
  <si>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</si>
  <si>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</si>
  <si>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</si>
  <si>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</si>
  <si>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</si>
  <si>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</si>
  <si>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</si>
  <si>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</si>
  <si>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</si>
  <si>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</si>
  <si>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</si>
  <si>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</si>
  <si>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</si>
  <si>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</si>
  <si>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</si>
  <si>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</si>
  <si>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</si>
  <si>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</si>
  <si>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</si>
  <si>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</si>
  <si>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</si>
  <si>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</si>
  <si>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</si>
  <si>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</si>
  <si>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</si>
  <si>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</si>
  <si>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</si>
  <si>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</si>
  <si>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</si>
  <si>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</si>
  <si>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</si>
  <si>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</si>
  <si>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</si>
  <si>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</si>
  <si>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</si>
  <si>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</si>
  <si>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</si>
  <si>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</si>
  <si>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</si>
  <si>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</si>
  <si>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</si>
  <si>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</si>
  <si>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</si>
  <si>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</si>
  <si>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</si>
  <si>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</si>
  <si>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</si>
  <si>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</si>
  <si>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</si>
  <si>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</si>
  <si>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</si>
  <si>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</si>
  <si>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</si>
  <si>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</si>
  <si>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</si>
  <si>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</si>
  <si>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</si>
  <si>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</si>
  <si>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</si>
  <si>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</si>
  <si>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</si>
  <si>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</si>
  <si>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</si>
  <si>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</si>
  <si>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</si>
  <si>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</si>
  <si>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</si>
  <si>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</si>
  <si>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</si>
  <si>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</si>
  <si>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</si>
  <si>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</si>
  <si>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</si>
  <si>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</si>
  <si>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</si>
  <si>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</si>
  <si>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</si>
  <si>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</si>
  <si>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</si>
  <si>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</si>
  <si>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</si>
  <si>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</si>
  <si>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</si>
  <si>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</si>
  <si>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</si>
  <si>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</si>
  <si>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</si>
  <si>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</si>
  <si>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</si>
  <si>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</si>
  <si>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</si>
  <si>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</si>
  <si>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</si>
  <si>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</si>
  <si>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</si>
  <si>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</si>
  <si>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</si>
  <si>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</si>
  <si>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</si>
  <si>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</si>
  <si>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</si>
  <si>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</si>
  <si>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</si>
  <si>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</si>
  <si>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</si>
  <si>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</si>
  <si>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</si>
  <si>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</si>
  <si>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</si>
  <si>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</si>
  <si>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</si>
  <si>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</si>
  <si>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</si>
  <si>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</si>
  <si>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</si>
  <si>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</si>
  <si>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</si>
  <si>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</si>
  <si>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</si>
  <si>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</si>
  <si>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</si>
  <si>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</si>
  <si>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</si>
  <si>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</si>
  <si>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</si>
  <si>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</si>
  <si>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</si>
  <si>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</si>
  <si>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</si>
  <si>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</si>
  <si>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</si>
  <si>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</si>
  <si>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</si>
  <si>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</si>
  <si>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</si>
  <si>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</si>
  <si>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</si>
  <si>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</si>
  <si>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</si>
  <si>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</si>
  <si>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</si>
  <si>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</si>
  <si>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</si>
  <si>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</si>
  <si>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</si>
  <si>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</si>
  <si>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</si>
  <si>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</si>
  <si>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</si>
  <si>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</si>
  <si>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</si>
  <si>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</si>
  <si>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</si>
  <si>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</si>
  <si>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</si>
  <si>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</si>
  <si>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</si>
  <si>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</si>
  <si>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</si>
  <si>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</si>
  <si>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</si>
  <si>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</si>
  <si>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</si>
  <si>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</si>
  <si>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</si>
  <si>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</si>
  <si>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</si>
  <si>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</si>
  <si>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</si>
  <si>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</si>
  <si>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</si>
  <si>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</si>
  <si>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</si>
  <si>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</si>
  <si>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</si>
  <si>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</si>
  <si>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</si>
  <si>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</si>
  <si>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</si>
  <si>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</si>
  <si>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</si>
  <si>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</si>
  <si>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</si>
  <si>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</si>
  <si>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</si>
  <si>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</si>
  <si>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</si>
  <si>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</si>
  <si>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</si>
  <si>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</si>
  <si>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</si>
  <si>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</si>
  <si>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</si>
  <si>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</si>
  <si>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</si>
  <si>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</si>
  <si>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</si>
  <si>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</si>
  <si>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</si>
  <si>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</si>
  <si>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</si>
  <si>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</si>
  <si>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</si>
  <si>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</si>
  <si>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</si>
  <si>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</si>
  <si>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</si>
  <si>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</si>
  <si>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</si>
  <si>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</si>
  <si>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</si>
  <si>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</si>
  <si>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</si>
  <si>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</si>
  <si>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</si>
  <si>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</si>
  <si>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</si>
  <si>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</si>
  <si>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</si>
  <si>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</si>
  <si>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</si>
  <si>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</si>
  <si>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</si>
  <si>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</si>
  <si>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</si>
  <si>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</si>
  <si>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</si>
  <si>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</si>
  <si>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</si>
  <si>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</si>
  <si>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</si>
  <si>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</si>
  <si>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</si>
  <si>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</si>
  <si>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</si>
  <si>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</si>
  <si>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</si>
  <si>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</si>
  <si>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</si>
  <si>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</si>
  <si>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</si>
  <si>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</si>
  <si>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</si>
  <si>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</si>
  <si>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</si>
  <si>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</si>
  <si>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</si>
  <si>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</si>
  <si>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</si>
  <si>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</si>
  <si>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</si>
  <si>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</si>
  <si>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</si>
  <si>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</si>
  <si>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</si>
  <si>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</si>
  <si>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</si>
  <si>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</si>
  <si>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</si>
  <si>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</si>
  <si>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</si>
  <si>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</si>
  <si>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</si>
  <si>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</si>
  <si>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</si>
  <si>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</si>
  <si>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</si>
  <si>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</si>
  <si>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</si>
  <si>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</si>
  <si>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</si>
  <si>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</si>
  <si>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</si>
  <si>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</si>
  <si>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</si>
  <si>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</si>
  <si>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</si>
  <si>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</si>
  <si>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</si>
  <si>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</si>
  <si>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</si>
  <si>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</si>
  <si>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</si>
  <si>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</si>
  <si>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</si>
  <si>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</si>
  <si>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</si>
  <si>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</si>
  <si>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</si>
  <si>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</si>
  <si>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</si>
  <si>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</si>
  <si>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</si>
  <si>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</si>
  <si>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</si>
  <si>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</si>
  <si>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</si>
  <si>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</si>
  <si>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</si>
  <si>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</si>
  <si>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</si>
  <si>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</si>
  <si>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</si>
  <si>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</si>
  <si>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</si>
  <si>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</si>
  <si>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</si>
  <si>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</si>
  <si>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</si>
  <si>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</si>
  <si>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</si>
  <si>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</si>
  <si>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</si>
  <si>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</si>
  <si>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</si>
  <si>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</si>
  <si>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</si>
  <si>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</si>
  <si>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</si>
  <si>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</si>
  <si>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</si>
  <si>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</si>
  <si>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</si>
  <si>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</si>
  <si>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</si>
  <si>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</si>
  <si>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</si>
  <si>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</si>
  <si>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</si>
  <si>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</si>
  <si>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</si>
  <si>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</si>
  <si>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</si>
  <si>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</si>
  <si>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</si>
  <si>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</si>
  <si>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</si>
  <si>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</si>
  <si>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</si>
  <si>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</si>
  <si>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</si>
  <si>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</si>
  <si>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</si>
  <si>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</si>
  <si>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</si>
  <si>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</si>
  <si>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</si>
  <si>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</si>
  <si>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</si>
  <si>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</si>
  <si>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</si>
  <si>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</si>
  <si>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</si>
  <si>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</si>
  <si>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</si>
  <si>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</si>
  <si>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</si>
  <si>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</si>
  <si>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</si>
  <si>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</si>
  <si>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</si>
  <si>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</si>
  <si>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</si>
  <si>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</si>
  <si>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</si>
  <si>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</si>
  <si>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</si>
  <si>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</si>
  <si>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</si>
  <si>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</si>
  <si>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</si>
  <si>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</si>
  <si>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</si>
  <si>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</si>
  <si>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</si>
  <si>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</si>
  <si>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</si>
  <si>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</si>
  <si>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</si>
  <si>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</si>
  <si>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</si>
  <si>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</si>
  <si>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</si>
  <si>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</si>
  <si>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</si>
  <si>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</si>
  <si>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</si>
  <si>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</si>
  <si>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</si>
  <si>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</si>
  <si>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</si>
  <si>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</si>
  <si>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</si>
  <si>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</si>
  <si>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</si>
  <si>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</si>
  <si>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</si>
  <si>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</si>
  <si>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</si>
  <si>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</si>
  <si>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</si>
  <si>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</si>
  <si>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</si>
  <si>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</si>
  <si>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</si>
  <si>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</si>
  <si>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</si>
  <si>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</si>
  <si>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</si>
  <si>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</si>
  <si>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</si>
  <si>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</si>
  <si>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</si>
  <si>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</si>
  <si>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</si>
  <si>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</si>
  <si>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</si>
  <si>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</si>
  <si>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</si>
  <si>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</si>
  <si>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</si>
  <si>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</si>
  <si>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</si>
  <si>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</si>
  <si>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</si>
  <si>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</si>
  <si>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</si>
  <si>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</si>
  <si>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</si>
  <si>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</si>
  <si>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</si>
  <si>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</si>
  <si>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</si>
  <si>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</si>
  <si>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</si>
  <si>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</si>
  <si>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</si>
  <si>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</si>
  <si>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</si>
  <si>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</si>
  <si>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</si>
  <si>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</si>
  <si>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</si>
  <si>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</si>
  <si>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</si>
  <si>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</si>
  <si>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</si>
  <si>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</si>
  <si>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</si>
  <si>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</si>
  <si>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</si>
  <si>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</si>
  <si>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</si>
  <si>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</si>
  <si>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</si>
  <si>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</si>
  <si>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</si>
  <si>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</si>
  <si>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</si>
  <si>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</si>
  <si>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</si>
  <si>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</si>
  <si>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</si>
  <si>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</si>
  <si>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</si>
  <si>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</si>
  <si>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</si>
  <si>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</si>
  <si>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</si>
  <si>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</si>
  <si>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</si>
  <si>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</si>
  <si>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</si>
  <si>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</si>
  <si>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</si>
  <si>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</si>
  <si>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</si>
  <si>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</si>
  <si>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</si>
  <si>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</si>
  <si>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</si>
  <si>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</si>
  <si>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</si>
  <si>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</si>
  <si>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</si>
  <si>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</si>
  <si>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</si>
  <si>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</si>
  <si>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</si>
  <si>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</si>
  <si>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</si>
  <si>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</si>
  <si>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</si>
  <si>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</si>
  <si>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</si>
  <si>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</si>
  <si>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</si>
  <si>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</si>
  <si>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</si>
  <si>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</si>
  <si>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</si>
  <si>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</si>
  <si>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</si>
  <si>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</si>
  <si>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</si>
  <si>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</si>
  <si>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</si>
  <si>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</si>
  <si>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</si>
  <si>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</si>
  <si>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</si>
  <si>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</si>
  <si>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</si>
  <si>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</si>
  <si>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</si>
  <si>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</si>
  <si>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</si>
  <si>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</si>
  <si>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</si>
  <si>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</si>
  <si>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</si>
  <si>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</si>
  <si>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</si>
  <si>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</si>
  <si>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</si>
  <si>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</si>
  <si>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</si>
  <si>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</si>
  <si>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</si>
  <si>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</si>
  <si>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</si>
  <si>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</si>
  <si>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</si>
  <si>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</si>
  <si>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</si>
  <si>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</si>
  <si>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</si>
  <si>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</si>
  <si>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</si>
  <si>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</si>
  <si>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</si>
  <si>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</si>
  <si>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</si>
  <si>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</si>
  <si>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</si>
  <si>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</si>
  <si>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</si>
  <si>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</si>
  <si>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</si>
  <si>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</si>
  <si>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</si>
  <si>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</si>
  <si>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</si>
  <si>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</si>
  <si>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</si>
  <si>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</si>
  <si>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</si>
  <si>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</si>
  <si>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</si>
  <si>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</si>
  <si>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</si>
  <si>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</si>
  <si>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</si>
  <si>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</si>
  <si>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</si>
  <si>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</si>
  <si>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</si>
  <si>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</si>
  <si>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</si>
  <si>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</si>
  <si>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</si>
  <si>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</si>
  <si>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</si>
  <si>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</si>
  <si>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</si>
  <si>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</si>
  <si>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</si>
  <si>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</si>
  <si>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</si>
  <si>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</si>
  <si>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</si>
  <si>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</si>
  <si>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</si>
  <si>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</si>
  <si>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</si>
  <si>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</si>
  <si>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</si>
  <si>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</si>
  <si>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</si>
  <si>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</si>
  <si>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</si>
  <si>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</si>
  <si>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</si>
  <si>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</si>
  <si>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</si>
  <si>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</si>
  <si>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</si>
  <si>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</si>
  <si>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</si>
  <si>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</si>
  <si>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</si>
  <si>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</si>
  <si>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</si>
  <si>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</si>
  <si>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</si>
  <si>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</si>
  <si>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</si>
  <si>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</si>
  <si>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</si>
  <si>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</si>
  <si>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</si>
  <si>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</si>
  <si>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</si>
  <si>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</si>
  <si>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</si>
  <si>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</si>
  <si>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</si>
  <si>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</si>
  <si>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</si>
  <si>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</si>
  <si>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</si>
  <si>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</si>
  <si>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</si>
  <si>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</si>
  <si>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</si>
  <si>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</si>
  <si>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</si>
  <si>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</si>
  <si>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</si>
  <si>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</si>
  <si>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</si>
  <si>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</si>
  <si>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</si>
  <si>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</si>
  <si>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</si>
  <si>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</si>
  <si>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</si>
  <si>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</si>
  <si>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</si>
  <si>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</si>
  <si>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</si>
  <si>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</si>
  <si>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</si>
  <si>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</si>
  <si>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</si>
  <si>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</si>
  <si>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</si>
  <si>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</si>
  <si>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</si>
  <si>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</si>
  <si>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</si>
  <si>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</si>
  <si>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</si>
  <si>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</si>
  <si>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</si>
  <si>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</si>
  <si>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</si>
  <si>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</si>
  <si>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</si>
  <si>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</si>
  <si>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</si>
  <si>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</si>
  <si>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</si>
  <si>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</si>
  <si>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</si>
  <si>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</si>
  <si>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</si>
  <si>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</si>
  <si>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</si>
  <si>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</si>
  <si>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</si>
  <si>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</si>
  <si>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</si>
  <si>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</si>
  <si>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</si>
  <si>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</si>
  <si>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</si>
  <si>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</si>
  <si>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</si>
  <si>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</si>
  <si>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</si>
  <si>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</si>
  <si>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</si>
  <si>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</si>
  <si>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</si>
  <si>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</si>
  <si>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</si>
  <si>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</si>
  <si>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</si>
  <si>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</si>
  <si>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</si>
  <si>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</si>
  <si>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</si>
  <si>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</si>
  <si>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</si>
  <si>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</si>
  <si>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</si>
  <si>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</si>
  <si>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</si>
  <si>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</si>
  <si>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</si>
  <si>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</si>
  <si>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</si>
  <si>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</si>
  <si>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</si>
  <si>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</si>
  <si>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</si>
  <si>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</si>
  <si>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</si>
  <si>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</si>
  <si>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</si>
  <si>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</si>
  <si>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</si>
  <si>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</si>
  <si>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</si>
  <si>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</si>
  <si>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</si>
  <si>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</si>
  <si>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</si>
  <si>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</si>
  <si>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</si>
  <si>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</si>
  <si>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</si>
  <si>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</si>
  <si>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</si>
  <si>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</si>
  <si>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</si>
  <si>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</si>
  <si>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</si>
  <si>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</si>
  <si>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</si>
  <si>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</si>
  <si>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</si>
  <si>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</si>
  <si>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</si>
  <si>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</si>
  <si>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</si>
  <si>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</si>
  <si>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</si>
  <si>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</si>
  <si>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</si>
  <si>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</si>
  <si>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</si>
  <si>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</si>
  <si>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</si>
  <si>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</si>
  <si>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</si>
  <si>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</si>
  <si>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</si>
  <si>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</si>
  <si>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</si>
  <si>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</si>
  <si>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</si>
  <si>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</si>
  <si>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</si>
  <si>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</si>
  <si>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</si>
  <si>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</si>
  <si>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</si>
  <si>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</si>
  <si>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</si>
  <si>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</si>
  <si>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</si>
  <si>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</si>
  <si>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</si>
  <si>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</si>
  <si>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</si>
  <si>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</si>
  <si>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</si>
  <si>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</si>
  <si>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</si>
  <si>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</si>
  <si>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</si>
  <si>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</si>
  <si>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</si>
  <si>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</si>
  <si>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</si>
  <si>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</si>
  <si>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</si>
  <si>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</si>
  <si>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</si>
  <si>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</si>
  <si>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</si>
  <si>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</si>
  <si>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</si>
  <si>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</si>
  <si>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</si>
  <si>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</si>
  <si>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</si>
  <si>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</si>
  <si>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</si>
  <si>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</si>
  <si>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</si>
  <si>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</si>
  <si>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</si>
  <si>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</si>
  <si>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</si>
  <si>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</si>
  <si>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</si>
  <si>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</si>
  <si>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</si>
  <si>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</si>
  <si>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</si>
  <si>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</si>
  <si>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</si>
  <si>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</si>
  <si>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</si>
  <si>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</si>
  <si>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</si>
  <si>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</si>
  <si>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</si>
  <si>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</si>
  <si>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</si>
  <si>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</si>
  <si>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</si>
  <si>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</si>
  <si>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</si>
  <si>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</si>
  <si>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</si>
  <si>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</si>
  <si>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</si>
  <si>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</si>
  <si>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</si>
  <si>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</si>
  <si>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</si>
  <si>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</si>
  <si>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</si>
  <si>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</si>
  <si>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</si>
  <si>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</si>
  <si>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</si>
  <si>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</si>
  <si>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</si>
  <si>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</si>
  <si>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</si>
  <si>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</si>
  <si>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</si>
  <si>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</si>
  <si>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</si>
  <si>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</si>
  <si>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</si>
  <si>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</si>
  <si>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</si>
  <si>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</si>
  <si>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</si>
  <si>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</si>
  <si>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</si>
  <si>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</si>
  <si>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</si>
  <si>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</si>
  <si>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</si>
  <si>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</si>
  <si>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</si>
  <si>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</si>
  <si>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</si>
  <si>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</si>
  <si>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</si>
  <si>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</si>
  <si>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</si>
  <si>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</si>
  <si>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</si>
  <si>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</si>
  <si>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</si>
  <si>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</si>
  <si>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</si>
  <si>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</si>
  <si>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</si>
  <si>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</si>
  <si>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</si>
  <si>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</si>
  <si>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</si>
  <si>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</si>
  <si>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</si>
  <si>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</si>
  <si>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</si>
  <si>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</si>
  <si>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</si>
  <si>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</si>
  <si>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</si>
  <si>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</si>
  <si>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</si>
  <si>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</si>
  <si>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</si>
  <si>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</si>
  <si>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</si>
  <si>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</si>
  <si>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</si>
  <si>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</si>
  <si>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</si>
  <si>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</si>
  <si>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</si>
  <si>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</si>
  <si>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</si>
  <si>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</si>
  <si>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</si>
  <si>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</si>
  <si>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</si>
  <si>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</si>
  <si>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</si>
  <si>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</si>
  <si>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</si>
  <si>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</si>
  <si>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</si>
  <si>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</si>
  <si>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</si>
  <si>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</si>
  <si>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</si>
  <si>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</si>
  <si>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</si>
  <si>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</si>
  <si>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</si>
  <si>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</si>
  <si>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</si>
  <si>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</si>
  <si>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</si>
  <si>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</si>
  <si>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</si>
  <si>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</si>
  <si>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</si>
  <si>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</si>
  <si>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</si>
  <si>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</si>
  <si>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</si>
  <si>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</si>
  <si>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</si>
  <si>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</si>
  <si>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</si>
  <si>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</si>
  <si>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</si>
  <si>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</si>
  <si>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</si>
  <si>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</si>
  <si>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</si>
  <si>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</si>
  <si>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</si>
  <si>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</si>
  <si>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</si>
  <si>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</si>
  <si>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</si>
  <si>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</si>
  <si>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</si>
  <si>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</si>
  <si>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</si>
  <si>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</si>
  <si>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</si>
  <si>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</si>
  <si>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</si>
  <si>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</si>
  <si>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</si>
  <si>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</si>
  <si>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</si>
  <si>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</si>
  <si>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</si>
  <si>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</si>
  <si>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</si>
  <si>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</si>
  <si>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</si>
  <si>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</si>
  <si>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</si>
  <si>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</si>
  <si>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</si>
  <si>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</si>
  <si>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</si>
  <si>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</si>
  <si>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</si>
  <si>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</si>
  <si>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</si>
  <si>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</si>
  <si>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</si>
  <si>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</si>
  <si>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</si>
  <si>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</si>
  <si>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</si>
  <si>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</si>
  <si>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</si>
  <si>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</si>
  <si>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</si>
  <si>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</si>
  <si>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</si>
  <si>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</si>
  <si>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</si>
  <si>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</si>
  <si>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</si>
  <si>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</si>
  <si>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</si>
  <si>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</si>
  <si>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</si>
  <si>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</si>
  <si>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</si>
  <si>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</si>
  <si>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</si>
  <si>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</si>
  <si>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</si>
  <si>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</si>
  <si>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</si>
  <si>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</si>
  <si>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</si>
  <si>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</si>
  <si>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</si>
  <si>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</si>
  <si>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</si>
  <si>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</si>
  <si>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</si>
  <si>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</si>
  <si>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</si>
  <si>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</si>
  <si>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</si>
  <si>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</si>
  <si>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</si>
  <si>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</si>
  <si>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</si>
  <si>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</si>
  <si>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</si>
  <si>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</si>
  <si>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</si>
  <si>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</si>
  <si>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</si>
  <si>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</si>
  <si>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</si>
  <si>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</si>
  <si>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</si>
  <si>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</si>
  <si>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</si>
  <si>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</si>
  <si>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</si>
  <si>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</si>
  <si>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</si>
  <si>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</si>
  <si>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</si>
  <si>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</si>
  <si>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</si>
  <si>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</si>
  <si>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</si>
  <si>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</si>
  <si>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</si>
  <si>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</si>
  <si>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</si>
  <si>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</si>
  <si>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</si>
  <si>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</si>
  <si>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</si>
  <si>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</si>
  <si>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</si>
  <si>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</si>
  <si>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</si>
  <si>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</si>
  <si>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</si>
  <si>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</si>
  <si>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</si>
  <si>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</si>
  <si>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</si>
  <si>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</si>
  <si>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</si>
  <si>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</si>
  <si>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</si>
  <si>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</si>
  <si>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</si>
  <si>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</si>
  <si>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</si>
  <si>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</si>
  <si>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</si>
  <si>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</si>
  <si>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</si>
  <si>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</si>
  <si>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</si>
  <si>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</si>
  <si>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</si>
  <si>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</si>
  <si>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</si>
  <si>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</si>
  <si>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</si>
  <si>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</si>
  <si>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</si>
  <si>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</si>
  <si>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</si>
  <si>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</si>
  <si>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</si>
  <si>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</si>
  <si>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</si>
  <si>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</si>
  <si>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</si>
  <si>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</si>
  <si>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</si>
  <si>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</si>
  <si>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</si>
  <si>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</si>
  <si>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</si>
  <si>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</si>
  <si>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</si>
  <si>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</si>
  <si>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</si>
  <si>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</si>
  <si>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</si>
  <si>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</si>
  <si>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</si>
  <si>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</si>
  <si>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</si>
  <si>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</si>
  <si>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</si>
  <si>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</si>
  <si>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</si>
  <si>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</si>
  <si>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</si>
  <si>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</si>
  <si>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</si>
  <si>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</si>
  <si>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</si>
  <si>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</si>
  <si>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</si>
  <si>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</si>
  <si>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</si>
  <si>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</si>
  <si>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</si>
  <si>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</si>
  <si>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</si>
  <si>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</si>
  <si>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</si>
  <si>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</si>
  <si>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</si>
  <si>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</si>
  <si>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</si>
  <si>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</si>
  <si>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</si>
  <si>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</si>
  <si>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</si>
  <si>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</si>
  <si>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</si>
  <si>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</si>
  <si>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</si>
  <si>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</si>
  <si>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</si>
  <si>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</si>
  <si>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</si>
  <si>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</si>
  <si>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</si>
  <si>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</si>
  <si>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</si>
  <si>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</si>
  <si>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</si>
  <si>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</si>
  <si>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</si>
  <si>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</si>
  <si>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</si>
  <si>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</si>
  <si>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</si>
  <si>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</si>
  <si>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</si>
  <si>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</si>
  <si>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</si>
  <si>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</si>
  <si>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</si>
  <si>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</si>
  <si>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</si>
  <si>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</si>
  <si>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</si>
  <si>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</si>
  <si>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</si>
  <si>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</si>
  <si>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</si>
  <si>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</si>
  <si>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</si>
  <si>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</si>
  <si>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</si>
  <si>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</si>
  <si>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</si>
  <si>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</si>
  <si>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</si>
  <si>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</si>
  <si>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</si>
  <si>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</si>
  <si>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</si>
  <si>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</si>
  <si>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</si>
  <si>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</si>
  <si>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</si>
  <si>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</si>
  <si>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</si>
  <si>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</si>
  <si>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</si>
  <si>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</si>
  <si>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</si>
  <si>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</si>
  <si>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</si>
  <si>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</si>
  <si>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</si>
  <si>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</si>
  <si>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</si>
  <si>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</si>
  <si>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</si>
  <si>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</si>
  <si>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</si>
  <si>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</si>
  <si>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</si>
  <si>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</si>
  <si>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</si>
  <si>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</si>
  <si>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</si>
  <si>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</si>
  <si>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</si>
  <si>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</si>
  <si>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</si>
  <si>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</si>
  <si>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</si>
  <si>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</si>
  <si>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</si>
  <si>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</si>
  <si>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</si>
  <si>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</si>
  <si>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</si>
  <si>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</si>
  <si>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</si>
  <si>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</si>
  <si>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</si>
  <si>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</si>
  <si>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</si>
  <si>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</si>
  <si>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</si>
  <si>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</si>
  <si>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</si>
  <si>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</si>
  <si>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</si>
  <si>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</si>
  <si>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</si>
  <si>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</si>
  <si>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</si>
  <si>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</si>
  <si>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</si>
  <si>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</si>
  <si>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</si>
  <si>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</si>
  <si>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</si>
  <si>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</si>
  <si>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</si>
  <si>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</si>
  <si>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</si>
  <si>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</si>
  <si>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</si>
  <si>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</si>
  <si>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</si>
  <si>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</si>
  <si>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</si>
  <si>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</si>
  <si>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</si>
  <si>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</si>
  <si>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</si>
  <si>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</si>
  <si>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</si>
  <si>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</si>
  <si>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</si>
  <si>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</si>
  <si>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</si>
  <si>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</si>
  <si>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U.S. Dept. of Agriculture Passed through ISBE</t>
  </si>
  <si>
    <t xml:space="preserve">     School Breakfast Program</t>
  </si>
  <si>
    <t>17-4220-00</t>
  </si>
  <si>
    <t>18-4220-00</t>
  </si>
  <si>
    <t xml:space="preserve">     National School Lunch Program</t>
  </si>
  <si>
    <t>17-4210-00</t>
  </si>
  <si>
    <t>18-4210-00</t>
  </si>
  <si>
    <t xml:space="preserve">     Food Distribution Program (Commodities) - Noncash</t>
  </si>
  <si>
    <t xml:space="preserve">     Fresh Fruits and Vegetables (Commodities) - Noncash</t>
  </si>
  <si>
    <t xml:space="preserve">     Total Child Nutrition Cluster</t>
  </si>
  <si>
    <t>Total U.S. Dept of Agriculture Passed through ISBE</t>
  </si>
  <si>
    <t>18-4250-00</t>
  </si>
  <si>
    <t>n/a</t>
  </si>
  <si>
    <t>U.S. Dept. of Health and Human Services Passed through IL Dept. of Healthcare and Human Services</t>
  </si>
  <si>
    <t xml:space="preserve">     Medicaid Outreach</t>
  </si>
  <si>
    <t>Total U.S. Dept. of Health and Human Services Passed through IL Dept. of Healthcare and Human Services</t>
  </si>
  <si>
    <t>Total U.S. Dept of Education Passed through IL Dept. of Human Services</t>
  </si>
  <si>
    <t>17-4900-00</t>
  </si>
  <si>
    <t>18-4900-00</t>
  </si>
  <si>
    <t>U.S. Dept. of Ed Passed through ISBE</t>
  </si>
  <si>
    <t>84.010A</t>
  </si>
  <si>
    <t>17-4300-00</t>
  </si>
  <si>
    <t xml:space="preserve">     Title I - Low Income</t>
  </si>
  <si>
    <t>18-4300-00</t>
  </si>
  <si>
    <t xml:space="preserve">     Total CFDA 84.010A</t>
  </si>
  <si>
    <t xml:space="preserve">     Title II - Improving Teacher Quality</t>
  </si>
  <si>
    <t>84.367A</t>
  </si>
  <si>
    <t>17-4932-00</t>
  </si>
  <si>
    <t>18-4932-00</t>
  </si>
  <si>
    <t xml:space="preserve">     Total CFDA 84.367A</t>
  </si>
  <si>
    <t xml:space="preserve">     Title III - Language Instruction Program</t>
  </si>
  <si>
    <t>17-4909-00</t>
  </si>
  <si>
    <t>84.365A</t>
  </si>
  <si>
    <t>18-4909-00</t>
  </si>
  <si>
    <t xml:space="preserve">     Title III - Immigrant Education Program</t>
  </si>
  <si>
    <t>17-4905-00</t>
  </si>
  <si>
    <t>18-4905-00</t>
  </si>
  <si>
    <t xml:space="preserve">     Total CFDA 84.365A</t>
  </si>
  <si>
    <t xml:space="preserve">     Title IVA - Student Support</t>
  </si>
  <si>
    <t>84.424A</t>
  </si>
  <si>
    <t>18-4400-00</t>
  </si>
  <si>
    <t xml:space="preserve">      Total CFDA 84.424A</t>
  </si>
  <si>
    <t>84.027A</t>
  </si>
  <si>
    <t>17-4625-00</t>
  </si>
  <si>
    <t>18-4625-00</t>
  </si>
  <si>
    <t>17-4620-00</t>
  </si>
  <si>
    <t>84.173A</t>
  </si>
  <si>
    <t>17-4600-00</t>
  </si>
  <si>
    <t xml:space="preserve">     Total CFDA 84.027A</t>
  </si>
  <si>
    <t xml:space="preserve">     Total CFDA 84.173A</t>
  </si>
  <si>
    <t>Total U.S. Dept. of Education Passed through ISBE</t>
  </si>
  <si>
    <t>U.S. Dept. of Ed Passed through Black Hawk Area Special Education Center</t>
  </si>
  <si>
    <t>18-4620-00</t>
  </si>
  <si>
    <t>18-4600-00</t>
  </si>
  <si>
    <t>Total U.S. Dept. of Ed Passed through Black hawk Area Special Education Center</t>
  </si>
  <si>
    <t>U.S. Dept. of Education passed through the Regional Office of Education</t>
  </si>
  <si>
    <t xml:space="preserve">     21st Century Community Learning Centers</t>
  </si>
  <si>
    <t>84.287A</t>
  </si>
  <si>
    <t>17-4421-00</t>
  </si>
  <si>
    <t>18-4421-00</t>
  </si>
  <si>
    <t xml:space="preserve">     Total CFDA 84.287A</t>
  </si>
  <si>
    <t>Total U.S. Dept. of Education Passed through the Regional Office of Education</t>
  </si>
  <si>
    <t>Total U.S. Dept. of Education</t>
  </si>
  <si>
    <t>Total Expenditures of Federal Awards</t>
  </si>
  <si>
    <t>Statement of Revenues</t>
  </si>
  <si>
    <t>Line 17 - Educational Fund - City of Moline TIF Sales Tax</t>
  </si>
  <si>
    <t>Line 74 - Educational Fund - Food Service Vending</t>
  </si>
  <si>
    <t>Line 92 - Educational Fund - Fees &amp; Fines</t>
  </si>
  <si>
    <t>Line 107 - Educational Fund - Other Grants/Rebates</t>
  </si>
  <si>
    <t>Line 107 - Capital Projects - Facility Usage</t>
  </si>
  <si>
    <t>Line 171 - Educational Fund - Professional Standard Certifications/School Library Program/Mentoring Program/Safe Schools ADA</t>
  </si>
  <si>
    <t>Statement of Expenditures</t>
  </si>
  <si>
    <t>Line 41 - Educational Fund - Commencement/Freshman First Day Purchases</t>
  </si>
  <si>
    <t>Line 56 - Educational Fund - Curriculum and Admin Personnel Salaries and Benefits</t>
  </si>
  <si>
    <t>Line 107 - O&amp;M Fund - Erate Reimbursement/Insurance Proceeds</t>
  </si>
  <si>
    <t>X</t>
  </si>
  <si>
    <t>RSM US LLP</t>
  </si>
  <si>
    <t>Rock Island</t>
  </si>
  <si>
    <t>Heidi Hobkirk</t>
  </si>
  <si>
    <t>201 N. Harrison Street</t>
  </si>
  <si>
    <t>1619 11th Avenue</t>
  </si>
  <si>
    <t>Davenport</t>
  </si>
  <si>
    <t>IA</t>
  </si>
  <si>
    <t>Moline</t>
  </si>
  <si>
    <t>563-888-4000</t>
  </si>
  <si>
    <t>563-324-6939</t>
  </si>
  <si>
    <t>heidi.hobkirk@rsmus.com</t>
  </si>
  <si>
    <t>Lanty McGuire, Superintendent of Schools</t>
  </si>
  <si>
    <t>Series 2009 GO Bonds</t>
  </si>
  <si>
    <t>Series 2010C GO Bonds</t>
  </si>
  <si>
    <t>Series 2010B GO Bonds</t>
  </si>
  <si>
    <t>Series 2013A GO Bonds</t>
  </si>
  <si>
    <t>Series 2018 GO Bonds</t>
  </si>
  <si>
    <t>Series 2018A GO Bonds</t>
  </si>
  <si>
    <t>066-003346</t>
  </si>
  <si>
    <r>
      <t xml:space="preserve">The accompanying Schedule of Expenditures of Federal Awards includes the federal grant activity of Moline - Coal Valley School District No. 40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</si>
  <si>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</si>
  <si>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The following amounts were expended in the form of non-cash assistance by 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</si>
  <si>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IDEA Room and Board (M)</t>
  </si>
  <si>
    <t xml:space="preserve">     IDEA Flow-Through (M)</t>
  </si>
  <si>
    <t xml:space="preserve">     IDEA Pre-School Flow-Through (M)</t>
  </si>
  <si>
    <t>Unmodified</t>
  </si>
  <si>
    <t>84.027A / 84.173A</t>
  </si>
  <si>
    <t>Special Education Cluster</t>
  </si>
  <si>
    <t>NONE</t>
  </si>
  <si>
    <t>ED - Instruction - Purch Svc</t>
  </si>
  <si>
    <t>10-1000-300</t>
  </si>
  <si>
    <t>Advanced Business Systems</t>
  </si>
  <si>
    <t>Wells Fargo Financial Leasing</t>
  </si>
  <si>
    <t>Oconomowoc Development Training Center</t>
  </si>
  <si>
    <t>Midwest Therapy Centers</t>
  </si>
  <si>
    <t>Arrowhead Ranch</t>
  </si>
  <si>
    <t>Chileda Institute</t>
  </si>
  <si>
    <t>Camelot Education</t>
  </si>
  <si>
    <t>Change Academy Lake of the Ozarks</t>
  </si>
  <si>
    <t>Harbor Point Behavioral Health Center</t>
  </si>
  <si>
    <t>Nacole Jackson</t>
  </si>
  <si>
    <t>The ASL Source</t>
  </si>
  <si>
    <t>Houghton Mifflin Harcourt</t>
  </si>
  <si>
    <t>McGraw-Hill Education</t>
  </si>
  <si>
    <t>Learning A-Z</t>
  </si>
  <si>
    <t>Imagine Learning</t>
  </si>
  <si>
    <t>Teaching Strategies LLC</t>
  </si>
  <si>
    <t>United Township Area Career Center</t>
  </si>
  <si>
    <t>Rock Valley Physical Therapy</t>
  </si>
  <si>
    <t>Regional Office of Education</t>
  </si>
  <si>
    <t>Connie Versluys</t>
  </si>
  <si>
    <t>Performance Matters</t>
  </si>
  <si>
    <t>Junior Achievement</t>
  </si>
  <si>
    <t>K-12 Teachers Alliance</t>
  </si>
  <si>
    <t>Upslope</t>
  </si>
  <si>
    <t>University of Colorado Boulder</t>
  </si>
  <si>
    <t>Heartland Business Systems</t>
  </si>
  <si>
    <t>Kimberly Landrum McDuffie, PhD</t>
  </si>
  <si>
    <t>Adelante Educational Specialists Group</t>
  </si>
  <si>
    <t>Nyhart</t>
  </si>
  <si>
    <t>New Ground Builders Inc.</t>
  </si>
  <si>
    <t>City of Moline Finance Office</t>
  </si>
  <si>
    <t>Dan Cone Group</t>
  </si>
  <si>
    <t>Chartwells</t>
  </si>
  <si>
    <t>Firm Systems</t>
  </si>
  <si>
    <t>Lohman Companies</t>
  </si>
  <si>
    <t>Itsavvy, LLC</t>
  </si>
  <si>
    <t>CDW Government, Inc.</t>
  </si>
  <si>
    <t>Follett School Solutions</t>
  </si>
  <si>
    <t>edlio</t>
  </si>
  <si>
    <t>Filewave (USA), Inc.</t>
  </si>
  <si>
    <t>SysCloud, Inc.</t>
  </si>
  <si>
    <t>Tri-City Electric Company</t>
  </si>
  <si>
    <t>Skyward</t>
  </si>
  <si>
    <t>Bell Techlogix, Inc.</t>
  </si>
  <si>
    <t>Maryn Solutions, LLC</t>
  </si>
  <si>
    <t>Edgenuity, Inc.</t>
  </si>
  <si>
    <t>Northwest Evaluation Association</t>
  </si>
  <si>
    <t>Pitney Bowes</t>
  </si>
  <si>
    <t>Advanced Business Systems Leasing</t>
  </si>
  <si>
    <t>BHC Outreach Center</t>
  </si>
  <si>
    <t>Boys and Girls Clubs of the Mississippi Valley</t>
  </si>
  <si>
    <t>AssetGenie, Inc.</t>
  </si>
  <si>
    <t>PDC Laboratories, Inc.</t>
  </si>
  <si>
    <t>ECSI</t>
  </si>
  <si>
    <t>Erickson Plumbing and Heating</t>
  </si>
  <si>
    <t>Tri-State Fire Control</t>
  </si>
  <si>
    <t>Olds Boiler and Welding Service</t>
  </si>
  <si>
    <t>H Coopman Trucking and Excavating</t>
  </si>
  <si>
    <t>Aramark Uniform &amp; Career Apparel</t>
  </si>
  <si>
    <t>Johnson Controls, Inc.</t>
  </si>
  <si>
    <t>Communication Revolving Fund</t>
  </si>
  <si>
    <t>B&amp;B Drain</t>
  </si>
  <si>
    <t>Stalker Sports Floors</t>
  </si>
  <si>
    <t>Haldeman-Homme, Inc.</t>
  </si>
  <si>
    <t>Per Mar Security Services</t>
  </si>
  <si>
    <t>Geneseo Communications</t>
  </si>
  <si>
    <t>Morland Environmental Services</t>
  </si>
  <si>
    <t>Simplexgrinnell</t>
  </si>
  <si>
    <t>Emerick Pest Control</t>
  </si>
  <si>
    <t>Dude Solutions</t>
  </si>
  <si>
    <t>Kone, Inc.</t>
  </si>
  <si>
    <t>Iowa-Illinois Taylor Insulation</t>
  </si>
  <si>
    <t>Republic Services</t>
  </si>
  <si>
    <t>Windstream Corporation</t>
  </si>
  <si>
    <t>Four Seasons Maintenance</t>
  </si>
  <si>
    <t>Great Western Supply</t>
  </si>
  <si>
    <t>River Valley Turf</t>
  </si>
  <si>
    <t>Johannes Bus Service</t>
  </si>
  <si>
    <t>Tri-State Travel</t>
  </si>
  <si>
    <t>West Bend Mutual Insurance Company</t>
  </si>
  <si>
    <t>The Hanover Insurance Group</t>
  </si>
  <si>
    <t>USI Midwest LLC</t>
  </si>
  <si>
    <t>Wright National Flood Insurance Co.</t>
  </si>
  <si>
    <t>Seyfarth Shaw LLP</t>
  </si>
  <si>
    <t>Churchill and Churchill</t>
  </si>
  <si>
    <t>Hodges, Loizzi, Eisenhammer, Rodick, and Kohn</t>
  </si>
  <si>
    <t>10-2100-300</t>
  </si>
  <si>
    <t>10-2200-300</t>
  </si>
  <si>
    <t>10-2510-300</t>
  </si>
  <si>
    <t>10-2520-300</t>
  </si>
  <si>
    <t>10-2540-300</t>
  </si>
  <si>
    <t>10-2560-300</t>
  </si>
  <si>
    <t>10-2640-300</t>
  </si>
  <si>
    <t>10-2660-300</t>
  </si>
  <si>
    <t>10-3000-300</t>
  </si>
  <si>
    <t>20-2540-300</t>
  </si>
  <si>
    <t>40-2550-300</t>
  </si>
  <si>
    <t>80-2300-300</t>
  </si>
  <si>
    <t>ED - Support Svc Pupils - Purch Svc</t>
  </si>
  <si>
    <t>ED - Prof Dev - Purch Svc</t>
  </si>
  <si>
    <t>ED - Direction of Business - Purch Svc</t>
  </si>
  <si>
    <t>ED - Fiscal Svc - Purch Svc</t>
  </si>
  <si>
    <t>ED - Oper and Maint - Purch Svc</t>
  </si>
  <si>
    <t>ED - Food Svc - Purch Svc</t>
  </si>
  <si>
    <t>ED - Staff Svc - Purch Svc</t>
  </si>
  <si>
    <t>ED - Data Processing - Purch Svc</t>
  </si>
  <si>
    <t>ED - Comm Svc - Purch Svc</t>
  </si>
  <si>
    <t>O&amp;M - Oper and Maint - Purch Svc</t>
  </si>
  <si>
    <t>TRANS - Pupil Trans - Purch Svc</t>
  </si>
  <si>
    <t>TORT - Gen Admin - Purch Svc</t>
  </si>
  <si>
    <t>Line 106 - Debt Service - Tax Rebates</t>
  </si>
  <si>
    <t>Line 260 - Municipal Retirement/Social Security Fund - Curriculum and Admin Personnel Benefits</t>
  </si>
  <si>
    <t>Line 237 - Municipal Retirement/Social Security Fund - Hall Monitor/Freshman First Day Benefits</t>
  </si>
  <si>
    <t>Moline-Coal Valley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</si>
</sst>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2" fillId="0" borderId="0" xfId="0" applyFont="1"/>
    <xf numFmtId="164" fontId="10" fillId="0" borderId="0" xfId="0" applyNumberFormat="1" applyFont="1"/>
    <xf numFmtId="164" fontId="0" fillId="0" borderId="0" xfId="0" applyNumberFormat="1"/>
    <xf numFmtId="0" fontId="10" fillId="0" borderId="0" xfId="0" applyFont="1" applyAlignment="1">
      <alignment horizontal="left"/>
    </xf>
    <xf numFmtId="166" fontId="10" fillId="0" borderId="0" xfId="0" applyNumberFormat="1" applyFont="1" applyAlignment="1">
      <alignment horizontal="left"/>
    </xf>
    <xf numFmtId="0" fontId="2" fillId="0" borderId="158" xfId="22" applyFont="1" applyBorder="1" applyAlignment="1" applyProtection="1">
      <alignment horizontal="left" vertical="top" wrapText="1"/>
      <protection locked="0"/>
    </xf>
    <xf numFmtId="49" fontId="2" fillId="0" borderId="158" xfId="22" applyNumberFormat="1" applyFont="1" applyBorder="1" applyAlignment="1" applyProtection="1">
      <alignment horizontal="center" vertical="top"/>
      <protection locked="0"/>
    </xf>
    <xf numFmtId="0" fontId="2" fillId="0" borderId="158" xfId="22" applyFont="1" applyBorder="1" applyAlignment="1" applyProtection="1">
      <alignment vertical="top"/>
      <protection locked="0"/>
    </xf>
    <xf numFmtId="38" fontId="2" fillId="0" borderId="158" xfId="22" applyNumberFormat="1" applyBorder="1" applyAlignment="1" applyProtection="1">
      <alignment horizontal="right" vertical="top"/>
      <protection locked="0"/>
    </xf>
    <xf numFmtId="38" fontId="2" fillId="0" borderId="158" xfId="22" applyNumberFormat="1" applyBorder="1" applyAlignment="1" applyProtection="1">
      <alignment horizontal="right" vertical="top"/>
      <protection locked="0"/>
    </xf>
    <xf numFmtId="0" fontId="2" fillId="0" borderId="158" xfId="22" applyFont="1" applyBorder="1" applyAlignment="1" applyProtection="1">
      <alignment vertical="top"/>
      <protection locked="0"/>
    </xf>
    <xf numFmtId="49" fontId="2" fillId="0" borderId="158" xfId="22" applyNumberFormat="1" applyFont="1" applyBorder="1" applyAlignment="1" applyProtection="1">
      <alignment horizontal="center" vertical="top"/>
      <protection locked="0"/>
    </xf>
    <xf numFmtId="49" fontId="2" fillId="0" borderId="158" xfId="22" applyNumberFormat="1" applyFont="1" applyBorder="1" applyAlignment="1" applyProtection="1">
      <alignment horizontal="center" vertical="center"/>
      <protection locked="0"/>
    </xf>
    <xf numFmtId="0" fontId="2" fillId="0" borderId="158" xfId="22" applyFont="1" applyBorder="1" applyAlignment="1" applyProtection="1">
      <alignment horizontal="left" vertical="top" wrapText="1"/>
      <protection locked="0"/>
    </xf>
    <xf numFmtId="164" fontId="10"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2 4" xfId="25"/>
    <cellStyle name="Normal 3 3" xfId="19"/>
    <cellStyle name="Normal 3 4" xfId="24"/>
    <cellStyle name="Normal 4" xfId="16"/>
    <cellStyle name="Normal 4 2" xfId="21"/>
    <cellStyle name="Normal 4 3" xfId="26"/>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458932</xdr:colOff>
          <xdr:row>1</xdr:row>
          <xdr:rowOff>25977</xdr:rowOff>
        </xdr:from>
        <xdr:to>
          <xdr:col>1</xdr:col>
          <xdr:colOff>1373332</xdr:colOff>
          <xdr:row>5</xdr:row>
          <xdr:rowOff>64077</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1</xdr:row>
          <xdr:rowOff>17318</xdr:rowOff>
        </xdr:from>
        <xdr:to>
          <xdr:col>1</xdr:col>
          <xdr:colOff>2434936</xdr:colOff>
          <xdr:row>5</xdr:row>
          <xdr:rowOff>55418</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6</xdr:row>
          <xdr:rowOff>43296</xdr:rowOff>
        </xdr:from>
        <xdr:to>
          <xdr:col>1</xdr:col>
          <xdr:colOff>1388052</xdr:colOff>
          <xdr:row>10</xdr:row>
          <xdr:rowOff>81396</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6</xdr:row>
          <xdr:rowOff>60614</xdr:rowOff>
        </xdr:from>
        <xdr:to>
          <xdr:col>1</xdr:col>
          <xdr:colOff>2434936</xdr:colOff>
          <xdr:row>10</xdr:row>
          <xdr:rowOff>98714</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laborate.rsmus.com/Audit/2016%20-%202017/Workpapers/9%20AFR/AFR%20FY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NOTES"/>
      <sheetName val=" SEFA"/>
      <sheetName val=" SEFA (2)"/>
      <sheetName val=" SEFA (3)"/>
      <sheetName val=" SEFA (4)"/>
      <sheetName val=" SEFA (5)"/>
      <sheetName val="SF&amp;QC Sec-1"/>
      <sheetName val="SF&amp;QC Sec-2"/>
      <sheetName val="SF&amp;QC Sec-3"/>
      <sheetName val="SSPAF"/>
      <sheetName val="CAP"/>
      <sheetName val="AFR17"/>
    </sheetNames>
    <sheetDataSet>
      <sheetData sheetId="0">
        <row r="13">
          <cell r="A13" t="str">
            <v>49-081-0400-22</v>
          </cell>
        </row>
        <row r="17">
          <cell r="A17" t="str">
            <v>Moline-Coal Valley School District No. 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2150</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t="s">
        <v>2150</v>
      </c>
      <c r="P12" s="100" t="s">
        <v>211</v>
      </c>
      <c r="Q12" s="74"/>
      <c r="R12" s="30"/>
      <c r="S12" s="30"/>
      <c r="T12" s="85" t="s">
        <v>283</v>
      </c>
      <c r="U12" s="51"/>
      <c r="V12" s="51"/>
      <c r="W12" s="51"/>
      <c r="X12" s="51"/>
      <c r="Y12" s="45"/>
      <c r="Z12" s="45"/>
      <c r="AA12" s="46"/>
    </row>
    <row r="13" spans="1:28" ht="13.5" customHeight="1" x14ac:dyDescent="0.2">
      <c r="A13" s="2008">
        <v>49081040022</v>
      </c>
      <c r="B13" s="2009"/>
      <c r="C13" s="2009"/>
      <c r="D13" s="2009"/>
      <c r="E13" s="2009"/>
      <c r="F13" s="2009"/>
      <c r="G13" s="2009"/>
      <c r="H13" s="2010"/>
      <c r="I13" s="31"/>
      <c r="J13" s="30"/>
      <c r="K13" s="28"/>
      <c r="L13" s="30"/>
      <c r="M13" s="30"/>
      <c r="N13" s="30"/>
      <c r="O13" s="30"/>
      <c r="P13" s="30"/>
      <c r="Q13" s="30"/>
      <c r="R13" s="30"/>
      <c r="S13" s="30"/>
      <c r="T13" s="2013" t="s">
        <v>2151</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2152</v>
      </c>
      <c r="B15" s="2011"/>
      <c r="C15" s="2011"/>
      <c r="D15" s="2011"/>
      <c r="E15" s="2011"/>
      <c r="F15" s="2011"/>
      <c r="G15" s="2011"/>
      <c r="H15" s="2012"/>
      <c r="T15" s="1974" t="s">
        <v>2153</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2295</v>
      </c>
      <c r="B17" s="2036"/>
      <c r="C17" s="2036"/>
      <c r="D17" s="2036"/>
      <c r="E17" s="2036"/>
      <c r="F17" s="2036"/>
      <c r="G17" s="2036"/>
      <c r="H17" s="2037"/>
      <c r="T17" s="2023" t="s">
        <v>2154</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2155</v>
      </c>
      <c r="B19" s="2007"/>
      <c r="C19" s="2007"/>
      <c r="D19" s="2007"/>
      <c r="E19" s="2007"/>
      <c r="F19" s="2007"/>
      <c r="G19" s="2007"/>
      <c r="H19" s="2005"/>
      <c r="I19" s="30"/>
      <c r="J19" s="99"/>
      <c r="K19" s="40"/>
      <c r="L19" s="38"/>
      <c r="M19" s="112" t="s">
        <v>333</v>
      </c>
      <c r="P19" s="27"/>
      <c r="Q19" s="27"/>
      <c r="R19" s="27"/>
      <c r="S19" s="31"/>
      <c r="T19" s="2006" t="s">
        <v>2156</v>
      </c>
      <c r="U19" s="2004"/>
      <c r="V19" s="2004"/>
      <c r="W19" s="2005"/>
      <c r="X19" s="2021" t="s">
        <v>2157</v>
      </c>
      <c r="Y19" s="2022"/>
      <c r="Z19" s="2019">
        <v>52801</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2158</v>
      </c>
      <c r="B21" s="2004"/>
      <c r="C21" s="2004"/>
      <c r="D21" s="2004"/>
      <c r="E21" s="2004"/>
      <c r="F21" s="2004"/>
      <c r="G21" s="2004"/>
      <c r="H21" s="2005"/>
      <c r="I21" s="2029" t="s">
        <v>699</v>
      </c>
      <c r="J21" s="1992"/>
      <c r="K21" s="1992"/>
      <c r="L21" s="1992"/>
      <c r="M21" s="1992"/>
      <c r="N21" s="1992"/>
      <c r="O21" s="1992"/>
      <c r="P21" s="1992"/>
      <c r="Q21" s="1992"/>
      <c r="R21" s="1992"/>
      <c r="S21" s="1993"/>
      <c r="T21" s="1971" t="s">
        <v>2159</v>
      </c>
      <c r="U21" s="1972"/>
      <c r="V21" s="1972"/>
      <c r="W21" s="1972"/>
      <c r="X21" s="1985" t="s">
        <v>2160</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c r="B23" s="2027"/>
      <c r="C23" s="2027"/>
      <c r="D23" s="2027"/>
      <c r="E23" s="2027"/>
      <c r="F23" s="2027"/>
      <c r="G23" s="2027"/>
      <c r="H23" s="2028"/>
      <c r="T23" s="1966" t="s">
        <v>2169</v>
      </c>
      <c r="U23" s="1967"/>
      <c r="V23" s="1967"/>
      <c r="W23" s="1967"/>
      <c r="X23" s="1982"/>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61265</v>
      </c>
      <c r="B25" s="2004"/>
      <c r="C25" s="2004"/>
      <c r="D25" s="2004"/>
      <c r="E25" s="2004"/>
      <c r="F25" s="2004"/>
      <c r="G25" s="2004"/>
      <c r="H25" s="2005"/>
      <c r="I25" s="113"/>
      <c r="J25" s="2070"/>
      <c r="K25" s="2070"/>
      <c r="L25" s="2070"/>
      <c r="M25" s="2070"/>
      <c r="N25" s="2070"/>
      <c r="O25" s="2070"/>
      <c r="P25" s="2070"/>
      <c r="Q25" s="2070"/>
      <c r="R25" s="2070"/>
      <c r="S25" s="2071"/>
      <c r="T25" s="1963" t="s">
        <v>2161</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2150</v>
      </c>
      <c r="F29" s="141" t="s">
        <v>1383</v>
      </c>
      <c r="G29" s="114"/>
      <c r="I29" s="54"/>
      <c r="J29" s="148" t="s">
        <v>2150</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2150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2150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2162</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00" workbookViewId="0">
      <pane ySplit="2" topLeftCell="A236" activePane="bottomLeft" state="frozen"/>
      <selection sqref="A1:M1"/>
      <selection pane="bottomLeft" sqref="A1:M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f>24172054-657021</f>
        <v>23515033</v>
      </c>
      <c r="D5" s="466">
        <f>5645309+1810214</f>
        <v>7455523</v>
      </c>
      <c r="E5" s="466">
        <v>169006</v>
      </c>
      <c r="F5" s="466">
        <v>451018</v>
      </c>
      <c r="G5" s="466">
        <v>415868</v>
      </c>
      <c r="H5" s="466"/>
      <c r="I5" s="467"/>
      <c r="J5" s="467"/>
      <c r="K5" s="1688">
        <f>SUM(C5:J5)</f>
        <v>32006448</v>
      </c>
      <c r="L5" s="466">
        <v>31138316</v>
      </c>
    </row>
    <row r="6" spans="1:14" x14ac:dyDescent="0.2">
      <c r="A6" s="1523" t="s">
        <v>1508</v>
      </c>
      <c r="B6" s="615" t="s">
        <v>1506</v>
      </c>
      <c r="C6" s="477"/>
      <c r="D6" s="477"/>
      <c r="E6" s="466"/>
      <c r="F6" s="477"/>
      <c r="G6" s="477"/>
      <c r="H6" s="477"/>
      <c r="I6" s="477"/>
      <c r="J6" s="477"/>
      <c r="K6" s="1688">
        <f>SUM(C6,E6)</f>
        <v>0</v>
      </c>
      <c r="L6" s="466">
        <v>0</v>
      </c>
    </row>
    <row r="7" spans="1:14" x14ac:dyDescent="0.2">
      <c r="A7" s="1523" t="s">
        <v>165</v>
      </c>
      <c r="B7" s="615" t="s">
        <v>1024</v>
      </c>
      <c r="C7" s="467"/>
      <c r="D7" s="467"/>
      <c r="E7" s="467"/>
      <c r="F7" s="467"/>
      <c r="G7" s="467"/>
      <c r="H7" s="467"/>
      <c r="I7" s="467"/>
      <c r="J7" s="467"/>
      <c r="K7" s="1688">
        <f t="shared" ref="K7:K32" si="0">SUM(C7:J7)</f>
        <v>0</v>
      </c>
      <c r="L7" s="466">
        <v>0</v>
      </c>
    </row>
    <row r="8" spans="1:14" x14ac:dyDescent="0.2">
      <c r="A8" s="1523" t="s">
        <v>166</v>
      </c>
      <c r="B8" s="615">
        <v>1200</v>
      </c>
      <c r="C8" s="466">
        <v>5260908</v>
      </c>
      <c r="D8" s="466">
        <f>1128091+361732</f>
        <v>1489823</v>
      </c>
      <c r="E8" s="466">
        <v>745496</v>
      </c>
      <c r="F8" s="466">
        <v>6342</v>
      </c>
      <c r="G8" s="466"/>
      <c r="H8" s="466"/>
      <c r="I8" s="467"/>
      <c r="J8" s="467"/>
      <c r="K8" s="1688">
        <f t="shared" si="0"/>
        <v>7502569</v>
      </c>
      <c r="L8" s="466">
        <v>7424098</v>
      </c>
    </row>
    <row r="9" spans="1:14" x14ac:dyDescent="0.2">
      <c r="A9" s="1523" t="s">
        <v>745</v>
      </c>
      <c r="B9" s="615" t="s">
        <v>1025</v>
      </c>
      <c r="C9" s="467">
        <v>110041</v>
      </c>
      <c r="D9" s="467">
        <f>35940+11524</f>
        <v>47464</v>
      </c>
      <c r="E9" s="467"/>
      <c r="F9" s="467"/>
      <c r="G9" s="467"/>
      <c r="H9" s="467"/>
      <c r="I9" s="467"/>
      <c r="J9" s="467"/>
      <c r="K9" s="1688">
        <f t="shared" si="0"/>
        <v>157505</v>
      </c>
      <c r="L9" s="466">
        <v>123019</v>
      </c>
    </row>
    <row r="10" spans="1:14" x14ac:dyDescent="0.2">
      <c r="A10" s="1523" t="s">
        <v>746</v>
      </c>
      <c r="B10" s="615">
        <v>1250</v>
      </c>
      <c r="C10" s="466">
        <v>33136</v>
      </c>
      <c r="D10" s="466">
        <f>4824+1547</f>
        <v>6371</v>
      </c>
      <c r="E10" s="466">
        <v>399656</v>
      </c>
      <c r="F10" s="466">
        <v>621659</v>
      </c>
      <c r="G10" s="466">
        <v>144020</v>
      </c>
      <c r="H10" s="466"/>
      <c r="I10" s="467"/>
      <c r="J10" s="467"/>
      <c r="K10" s="1688">
        <f t="shared" si="0"/>
        <v>1204842</v>
      </c>
      <c r="L10" s="466">
        <v>1459829</v>
      </c>
    </row>
    <row r="11" spans="1:14" x14ac:dyDescent="0.2">
      <c r="A11" s="1523" t="s">
        <v>1192</v>
      </c>
      <c r="B11" s="615" t="s">
        <v>163</v>
      </c>
      <c r="C11" s="467">
        <v>554719</v>
      </c>
      <c r="D11" s="467">
        <f>115325+36980</f>
        <v>152305</v>
      </c>
      <c r="E11" s="467">
        <v>9414</v>
      </c>
      <c r="F11" s="467">
        <v>2454</v>
      </c>
      <c r="G11" s="467">
        <v>13664</v>
      </c>
      <c r="H11" s="467"/>
      <c r="I11" s="467"/>
      <c r="J11" s="467"/>
      <c r="K11" s="1688">
        <f t="shared" si="0"/>
        <v>732556</v>
      </c>
      <c r="L11" s="466">
        <v>678302</v>
      </c>
    </row>
    <row r="12" spans="1:14" x14ac:dyDescent="0.2">
      <c r="A12" s="1523" t="s">
        <v>1019</v>
      </c>
      <c r="B12" s="615">
        <v>1300</v>
      </c>
      <c r="C12" s="466"/>
      <c r="D12" s="466"/>
      <c r="E12" s="466"/>
      <c r="F12" s="466"/>
      <c r="G12" s="466"/>
      <c r="H12" s="466"/>
      <c r="I12" s="467"/>
      <c r="J12" s="467"/>
      <c r="K12" s="1688">
        <f t="shared" si="0"/>
        <v>0</v>
      </c>
      <c r="L12" s="466">
        <v>0</v>
      </c>
    </row>
    <row r="13" spans="1:14" x14ac:dyDescent="0.2">
      <c r="A13" s="1523" t="s">
        <v>747</v>
      </c>
      <c r="B13" s="615">
        <v>1400</v>
      </c>
      <c r="C13" s="466"/>
      <c r="D13" s="466"/>
      <c r="E13" s="466">
        <v>59200</v>
      </c>
      <c r="F13" s="466"/>
      <c r="G13" s="466"/>
      <c r="H13" s="466"/>
      <c r="I13" s="467"/>
      <c r="J13" s="467"/>
      <c r="K13" s="1688">
        <f t="shared" si="0"/>
        <v>59200</v>
      </c>
      <c r="L13" s="466">
        <v>74000</v>
      </c>
    </row>
    <row r="14" spans="1:14" x14ac:dyDescent="0.2">
      <c r="A14" s="1523" t="s">
        <v>1020</v>
      </c>
      <c r="B14" s="615">
        <v>1500</v>
      </c>
      <c r="C14" s="466">
        <v>638191</v>
      </c>
      <c r="D14" s="466">
        <f>59150+18967</f>
        <v>78117</v>
      </c>
      <c r="E14" s="466">
        <v>89518</v>
      </c>
      <c r="F14" s="466">
        <v>51585</v>
      </c>
      <c r="G14" s="466"/>
      <c r="H14" s="466"/>
      <c r="I14" s="467"/>
      <c r="J14" s="467"/>
      <c r="K14" s="1688">
        <f t="shared" si="0"/>
        <v>857411</v>
      </c>
      <c r="L14" s="466">
        <v>836688</v>
      </c>
    </row>
    <row r="15" spans="1:14" x14ac:dyDescent="0.2">
      <c r="A15" s="1523" t="s">
        <v>1021</v>
      </c>
      <c r="B15" s="615">
        <v>1600</v>
      </c>
      <c r="C15" s="466">
        <v>81095</v>
      </c>
      <c r="D15" s="466">
        <f>7194+2307</f>
        <v>9501</v>
      </c>
      <c r="E15" s="466"/>
      <c r="F15" s="466">
        <v>330</v>
      </c>
      <c r="G15" s="466"/>
      <c r="H15" s="466"/>
      <c r="I15" s="467"/>
      <c r="J15" s="467"/>
      <c r="K15" s="1688">
        <f t="shared" si="0"/>
        <v>90926</v>
      </c>
      <c r="L15" s="466">
        <v>118381</v>
      </c>
    </row>
    <row r="16" spans="1:14" x14ac:dyDescent="0.2">
      <c r="A16" s="1523" t="s">
        <v>1044</v>
      </c>
      <c r="B16" s="615" t="s">
        <v>444</v>
      </c>
      <c r="C16" s="466">
        <v>489293</v>
      </c>
      <c r="D16" s="466">
        <f>121246+38879</f>
        <v>160125</v>
      </c>
      <c r="E16" s="466">
        <v>586</v>
      </c>
      <c r="F16" s="466"/>
      <c r="G16" s="466"/>
      <c r="H16" s="466"/>
      <c r="I16" s="467"/>
      <c r="J16" s="467"/>
      <c r="K16" s="1688">
        <f t="shared" si="0"/>
        <v>650004</v>
      </c>
      <c r="L16" s="466">
        <v>652838</v>
      </c>
    </row>
    <row r="17" spans="1:12" x14ac:dyDescent="0.2">
      <c r="A17" s="1523" t="s">
        <v>748</v>
      </c>
      <c r="B17" s="615" t="s">
        <v>164</v>
      </c>
      <c r="C17" s="467">
        <v>161918</v>
      </c>
      <c r="D17" s="467">
        <f>43482+13943</f>
        <v>57425</v>
      </c>
      <c r="E17" s="467">
        <v>1249</v>
      </c>
      <c r="F17" s="467">
        <v>3572</v>
      </c>
      <c r="G17" s="467"/>
      <c r="H17" s="467"/>
      <c r="I17" s="467"/>
      <c r="J17" s="467"/>
      <c r="K17" s="1688">
        <f t="shared" si="0"/>
        <v>224164</v>
      </c>
      <c r="L17" s="466">
        <v>315177</v>
      </c>
    </row>
    <row r="18" spans="1:12" x14ac:dyDescent="0.2">
      <c r="A18" s="1523" t="s">
        <v>1148</v>
      </c>
      <c r="B18" s="615">
        <v>1800</v>
      </c>
      <c r="C18" s="466">
        <v>966212</v>
      </c>
      <c r="D18" s="466">
        <f>213478+68454</f>
        <v>281932</v>
      </c>
      <c r="E18" s="466">
        <v>436</v>
      </c>
      <c r="F18" s="466">
        <v>4781</v>
      </c>
      <c r="G18" s="466"/>
      <c r="H18" s="466"/>
      <c r="I18" s="467"/>
      <c r="J18" s="467"/>
      <c r="K18" s="1688">
        <f t="shared" si="0"/>
        <v>1253361</v>
      </c>
      <c r="L18" s="466">
        <v>1236468</v>
      </c>
    </row>
    <row r="19" spans="1:12" x14ac:dyDescent="0.2">
      <c r="A19" s="1523" t="s">
        <v>136</v>
      </c>
      <c r="B19" s="615">
        <v>1900</v>
      </c>
      <c r="C19" s="466">
        <v>419189</v>
      </c>
      <c r="D19" s="466">
        <f>70555+22624</f>
        <v>93179</v>
      </c>
      <c r="E19" s="466">
        <v>29869</v>
      </c>
      <c r="F19" s="466">
        <v>23383</v>
      </c>
      <c r="G19" s="466"/>
      <c r="H19" s="466"/>
      <c r="I19" s="467"/>
      <c r="J19" s="467"/>
      <c r="K19" s="1688">
        <f t="shared" si="0"/>
        <v>565620</v>
      </c>
      <c r="L19" s="466">
        <v>565141</v>
      </c>
    </row>
    <row r="20" spans="1:12" x14ac:dyDescent="0.2">
      <c r="A20" s="1524" t="s">
        <v>762</v>
      </c>
      <c r="B20" s="603" t="s">
        <v>749</v>
      </c>
      <c r="C20" s="477"/>
      <c r="D20" s="477"/>
      <c r="E20" s="477"/>
      <c r="F20" s="477"/>
      <c r="G20" s="477"/>
      <c r="H20" s="474"/>
      <c r="I20" s="617"/>
      <c r="J20" s="475"/>
      <c r="K20" s="1688">
        <f t="shared" si="0"/>
        <v>0</v>
      </c>
      <c r="L20" s="471"/>
    </row>
    <row r="21" spans="1:12" x14ac:dyDescent="0.2">
      <c r="A21" s="1524" t="s">
        <v>763</v>
      </c>
      <c r="B21" s="603" t="s">
        <v>750</v>
      </c>
      <c r="C21" s="477"/>
      <c r="D21" s="477"/>
      <c r="E21" s="477"/>
      <c r="F21" s="477"/>
      <c r="G21" s="477"/>
      <c r="H21" s="474"/>
      <c r="I21" s="617"/>
      <c r="J21" s="477"/>
      <c r="K21" s="1688">
        <f t="shared" si="0"/>
        <v>0</v>
      </c>
      <c r="L21" s="471"/>
    </row>
    <row r="22" spans="1:12" x14ac:dyDescent="0.2">
      <c r="A22" s="1524" t="s">
        <v>764</v>
      </c>
      <c r="B22" s="603" t="s">
        <v>751</v>
      </c>
      <c r="C22" s="477"/>
      <c r="D22" s="477"/>
      <c r="E22" s="477"/>
      <c r="F22" s="477"/>
      <c r="G22" s="477"/>
      <c r="H22" s="474"/>
      <c r="I22" s="617"/>
      <c r="J22" s="477"/>
      <c r="K22" s="1688">
        <f t="shared" si="0"/>
        <v>0</v>
      </c>
      <c r="L22" s="471"/>
    </row>
    <row r="23" spans="1:12" x14ac:dyDescent="0.2">
      <c r="A23" s="1524" t="s">
        <v>765</v>
      </c>
      <c r="B23" s="603" t="s">
        <v>752</v>
      </c>
      <c r="C23" s="477"/>
      <c r="D23" s="477"/>
      <c r="E23" s="477"/>
      <c r="F23" s="477"/>
      <c r="G23" s="477"/>
      <c r="H23" s="474"/>
      <c r="I23" s="617"/>
      <c r="J23" s="477"/>
      <c r="K23" s="1688">
        <f t="shared" si="0"/>
        <v>0</v>
      </c>
      <c r="L23" s="471"/>
    </row>
    <row r="24" spans="1:12" ht="12.75" customHeight="1" x14ac:dyDescent="0.2">
      <c r="A24" s="1524" t="s">
        <v>766</v>
      </c>
      <c r="B24" s="603" t="s">
        <v>753</v>
      </c>
      <c r="C24" s="477"/>
      <c r="D24" s="477"/>
      <c r="E24" s="477"/>
      <c r="F24" s="477"/>
      <c r="G24" s="477"/>
      <c r="H24" s="474"/>
      <c r="I24" s="617"/>
      <c r="J24" s="477"/>
      <c r="K24" s="1688">
        <f t="shared" si="0"/>
        <v>0</v>
      </c>
      <c r="L24" s="471"/>
    </row>
    <row r="25" spans="1:12" ht="12.75" customHeight="1" x14ac:dyDescent="0.2">
      <c r="A25" s="1524" t="s">
        <v>835</v>
      </c>
      <c r="B25" s="603" t="s">
        <v>754</v>
      </c>
      <c r="C25" s="477"/>
      <c r="D25" s="477"/>
      <c r="E25" s="477"/>
      <c r="F25" s="477"/>
      <c r="G25" s="477"/>
      <c r="H25" s="474"/>
      <c r="I25" s="617"/>
      <c r="J25" s="477"/>
      <c r="K25" s="1688">
        <f t="shared" si="0"/>
        <v>0</v>
      </c>
      <c r="L25" s="471"/>
    </row>
    <row r="26" spans="1:12" x14ac:dyDescent="0.2">
      <c r="A26" s="1524" t="s">
        <v>643</v>
      </c>
      <c r="B26" s="603" t="s">
        <v>755</v>
      </c>
      <c r="C26" s="477"/>
      <c r="D26" s="477"/>
      <c r="E26" s="477"/>
      <c r="F26" s="477"/>
      <c r="G26" s="477"/>
      <c r="H26" s="474"/>
      <c r="I26" s="617"/>
      <c r="J26" s="477"/>
      <c r="K26" s="1688">
        <f t="shared" si="0"/>
        <v>0</v>
      </c>
      <c r="L26" s="471"/>
    </row>
    <row r="27" spans="1:12" x14ac:dyDescent="0.2">
      <c r="A27" s="1524" t="s">
        <v>644</v>
      </c>
      <c r="B27" s="603" t="s">
        <v>756</v>
      </c>
      <c r="C27" s="477"/>
      <c r="D27" s="477"/>
      <c r="E27" s="477"/>
      <c r="F27" s="477"/>
      <c r="G27" s="477"/>
      <c r="H27" s="474"/>
      <c r="I27" s="617"/>
      <c r="J27" s="477"/>
      <c r="K27" s="1688">
        <f t="shared" si="0"/>
        <v>0</v>
      </c>
      <c r="L27" s="471"/>
    </row>
    <row r="28" spans="1:12" x14ac:dyDescent="0.2">
      <c r="A28" s="1524" t="s">
        <v>152</v>
      </c>
      <c r="B28" s="603" t="s">
        <v>757</v>
      </c>
      <c r="C28" s="477"/>
      <c r="D28" s="477"/>
      <c r="E28" s="477"/>
      <c r="F28" s="477"/>
      <c r="G28" s="477"/>
      <c r="H28" s="474"/>
      <c r="I28" s="617"/>
      <c r="J28" s="477"/>
      <c r="K28" s="1688">
        <f t="shared" si="0"/>
        <v>0</v>
      </c>
      <c r="L28" s="471"/>
    </row>
    <row r="29" spans="1:12" x14ac:dyDescent="0.2">
      <c r="A29" s="1524" t="s">
        <v>153</v>
      </c>
      <c r="B29" s="603" t="s">
        <v>758</v>
      </c>
      <c r="C29" s="477"/>
      <c r="D29" s="477"/>
      <c r="E29" s="477"/>
      <c r="F29" s="477"/>
      <c r="G29" s="477"/>
      <c r="H29" s="474"/>
      <c r="I29" s="617"/>
      <c r="J29" s="477"/>
      <c r="K29" s="1688">
        <f t="shared" si="0"/>
        <v>0</v>
      </c>
      <c r="L29" s="471"/>
    </row>
    <row r="30" spans="1:12" x14ac:dyDescent="0.2">
      <c r="A30" s="1524" t="s">
        <v>154</v>
      </c>
      <c r="B30" s="603" t="s">
        <v>759</v>
      </c>
      <c r="C30" s="477"/>
      <c r="D30" s="477"/>
      <c r="E30" s="477"/>
      <c r="F30" s="477"/>
      <c r="G30" s="477"/>
      <c r="H30" s="474"/>
      <c r="I30" s="617"/>
      <c r="J30" s="477"/>
      <c r="K30" s="1688">
        <f t="shared" si="0"/>
        <v>0</v>
      </c>
      <c r="L30" s="471"/>
    </row>
    <row r="31" spans="1:12" x14ac:dyDescent="0.2">
      <c r="A31" s="1524" t="s">
        <v>155</v>
      </c>
      <c r="B31" s="603" t="s">
        <v>760</v>
      </c>
      <c r="C31" s="477"/>
      <c r="D31" s="477"/>
      <c r="E31" s="477"/>
      <c r="F31" s="477"/>
      <c r="G31" s="477"/>
      <c r="H31" s="474"/>
      <c r="I31" s="617"/>
      <c r="J31" s="477"/>
      <c r="K31" s="1688">
        <f t="shared" si="0"/>
        <v>0</v>
      </c>
      <c r="L31" s="471"/>
    </row>
    <row r="32" spans="1:12" x14ac:dyDescent="0.2">
      <c r="A32" s="1525" t="s">
        <v>1191</v>
      </c>
      <c r="B32" s="615" t="s">
        <v>761</v>
      </c>
      <c r="C32" s="477"/>
      <c r="D32" s="477"/>
      <c r="E32" s="477"/>
      <c r="F32" s="477"/>
      <c r="G32" s="477"/>
      <c r="H32" s="474"/>
      <c r="I32" s="617"/>
      <c r="J32" s="480"/>
      <c r="K32" s="1688">
        <f t="shared" si="0"/>
        <v>0</v>
      </c>
      <c r="L32" s="471"/>
    </row>
    <row r="33" spans="1:14" ht="12.75" customHeight="1" thickBot="1" x14ac:dyDescent="0.25">
      <c r="A33" s="1685" t="s">
        <v>1767</v>
      </c>
      <c r="B33" s="1686" t="s">
        <v>591</v>
      </c>
      <c r="C33" s="1687">
        <f>SUM(C5:C32)</f>
        <v>32229735</v>
      </c>
      <c r="D33" s="1687">
        <f t="shared" ref="D33:L33" si="1">SUM(D5:D32)</f>
        <v>9831765</v>
      </c>
      <c r="E33" s="1687">
        <f t="shared" si="1"/>
        <v>1504430</v>
      </c>
      <c r="F33" s="1687">
        <f t="shared" si="1"/>
        <v>1165124</v>
      </c>
      <c r="G33" s="1687">
        <f t="shared" si="1"/>
        <v>573552</v>
      </c>
      <c r="H33" s="1687">
        <f t="shared" si="1"/>
        <v>0</v>
      </c>
      <c r="I33" s="1687">
        <f t="shared" si="1"/>
        <v>0</v>
      </c>
      <c r="J33" s="1687">
        <f t="shared" si="1"/>
        <v>0</v>
      </c>
      <c r="K33" s="1687">
        <f t="shared" si="1"/>
        <v>45304606</v>
      </c>
      <c r="L33" s="1687">
        <f t="shared" si="1"/>
        <v>44622257</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481326</v>
      </c>
      <c r="D36" s="481">
        <f>92191+29562</f>
        <v>121753</v>
      </c>
      <c r="E36" s="481">
        <v>1395</v>
      </c>
      <c r="F36" s="481">
        <v>624</v>
      </c>
      <c r="G36" s="481"/>
      <c r="H36" s="481"/>
      <c r="I36" s="467"/>
      <c r="J36" s="467"/>
      <c r="K36" s="1688">
        <f t="shared" ref="K36:K41" si="2">SUM(C36:J36)</f>
        <v>605098</v>
      </c>
      <c r="L36" s="466">
        <v>571092</v>
      </c>
    </row>
    <row r="37" spans="1:14" x14ac:dyDescent="0.2">
      <c r="A37" s="1523" t="s">
        <v>1151</v>
      </c>
      <c r="B37" s="615">
        <v>2120</v>
      </c>
      <c r="C37" s="466"/>
      <c r="D37" s="466"/>
      <c r="E37" s="466">
        <v>12431</v>
      </c>
      <c r="F37" s="466"/>
      <c r="G37" s="466"/>
      <c r="H37" s="466"/>
      <c r="I37" s="467"/>
      <c r="J37" s="467"/>
      <c r="K37" s="1688">
        <f t="shared" si="2"/>
        <v>12431</v>
      </c>
      <c r="L37" s="466">
        <v>35500</v>
      </c>
    </row>
    <row r="38" spans="1:14" x14ac:dyDescent="0.2">
      <c r="A38" s="1523" t="s">
        <v>207</v>
      </c>
      <c r="B38" s="615">
        <v>2130</v>
      </c>
      <c r="C38" s="466">
        <v>619218</v>
      </c>
      <c r="D38" s="466">
        <f>47650+15280</f>
        <v>62930</v>
      </c>
      <c r="E38" s="466">
        <v>9514</v>
      </c>
      <c r="F38" s="466">
        <v>9988</v>
      </c>
      <c r="G38" s="466"/>
      <c r="H38" s="466"/>
      <c r="I38" s="467"/>
      <c r="J38" s="467"/>
      <c r="K38" s="1688">
        <f t="shared" si="2"/>
        <v>701650</v>
      </c>
      <c r="L38" s="466">
        <v>700736</v>
      </c>
    </row>
    <row r="39" spans="1:14" x14ac:dyDescent="0.2">
      <c r="A39" s="1523" t="s">
        <v>208</v>
      </c>
      <c r="B39" s="615">
        <v>2140</v>
      </c>
      <c r="C39" s="466">
        <v>258366</v>
      </c>
      <c r="D39" s="466">
        <f>69410+22257</f>
        <v>91667</v>
      </c>
      <c r="E39" s="466">
        <v>1448</v>
      </c>
      <c r="F39" s="466">
        <v>1115</v>
      </c>
      <c r="G39" s="466"/>
      <c r="H39" s="466"/>
      <c r="I39" s="467"/>
      <c r="J39" s="467"/>
      <c r="K39" s="1688">
        <f t="shared" si="2"/>
        <v>352596</v>
      </c>
      <c r="L39" s="466">
        <v>403091</v>
      </c>
    </row>
    <row r="40" spans="1:14" x14ac:dyDescent="0.2">
      <c r="A40" s="1523" t="s">
        <v>209</v>
      </c>
      <c r="B40" s="615">
        <v>2150</v>
      </c>
      <c r="C40" s="466">
        <v>838857</v>
      </c>
      <c r="D40" s="466">
        <f>200771+64379</f>
        <v>265150</v>
      </c>
      <c r="E40" s="466">
        <v>6607</v>
      </c>
      <c r="F40" s="466">
        <v>708</v>
      </c>
      <c r="G40" s="466"/>
      <c r="H40" s="466"/>
      <c r="I40" s="467"/>
      <c r="J40" s="467"/>
      <c r="K40" s="1688">
        <f t="shared" si="2"/>
        <v>1111322</v>
      </c>
      <c r="L40" s="466">
        <v>1058575</v>
      </c>
    </row>
    <row r="41" spans="1:14" x14ac:dyDescent="0.2">
      <c r="A41" s="1523" t="s">
        <v>1768</v>
      </c>
      <c r="B41" s="615">
        <v>2190</v>
      </c>
      <c r="C41" s="466">
        <v>11908</v>
      </c>
      <c r="D41" s="466">
        <f>22+7</f>
        <v>29</v>
      </c>
      <c r="E41" s="466">
        <v>2232</v>
      </c>
      <c r="F41" s="466">
        <v>2905</v>
      </c>
      <c r="G41" s="466"/>
      <c r="H41" s="466"/>
      <c r="I41" s="467"/>
      <c r="J41" s="467"/>
      <c r="K41" s="1688">
        <f t="shared" si="2"/>
        <v>17074</v>
      </c>
      <c r="L41" s="466">
        <v>19088</v>
      </c>
    </row>
    <row r="42" spans="1:14" ht="12.75" customHeight="1" thickBot="1" x14ac:dyDescent="0.25">
      <c r="A42" s="1685" t="s">
        <v>581</v>
      </c>
      <c r="B42" s="1686" t="s">
        <v>740</v>
      </c>
      <c r="C42" s="1687">
        <f>SUM(C36:C41)</f>
        <v>2209675</v>
      </c>
      <c r="D42" s="1687">
        <f t="shared" ref="D42:L42" si="3">SUM(D36:D41)</f>
        <v>541529</v>
      </c>
      <c r="E42" s="1687">
        <f t="shared" si="3"/>
        <v>33627</v>
      </c>
      <c r="F42" s="1687">
        <f t="shared" si="3"/>
        <v>15340</v>
      </c>
      <c r="G42" s="1687">
        <f t="shared" si="3"/>
        <v>0</v>
      </c>
      <c r="H42" s="1687">
        <f t="shared" si="3"/>
        <v>0</v>
      </c>
      <c r="I42" s="1687">
        <f t="shared" si="3"/>
        <v>0</v>
      </c>
      <c r="J42" s="1687">
        <f t="shared" si="3"/>
        <v>0</v>
      </c>
      <c r="K42" s="1687">
        <f t="shared" si="3"/>
        <v>2800171</v>
      </c>
      <c r="L42" s="1687">
        <f t="shared" si="3"/>
        <v>2788082</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316565</v>
      </c>
      <c r="D44" s="481">
        <f>40442+12969</f>
        <v>53411</v>
      </c>
      <c r="E44" s="481">
        <v>223641</v>
      </c>
      <c r="F44" s="481">
        <v>276942</v>
      </c>
      <c r="G44" s="481">
        <v>550</v>
      </c>
      <c r="H44" s="481">
        <v>4913</v>
      </c>
      <c r="I44" s="467"/>
      <c r="J44" s="467"/>
      <c r="K44" s="1689">
        <f>SUM(C44:J44)</f>
        <v>876022</v>
      </c>
      <c r="L44" s="481">
        <v>674814</v>
      </c>
    </row>
    <row r="45" spans="1:14" x14ac:dyDescent="0.2">
      <c r="A45" s="1523" t="s">
        <v>869</v>
      </c>
      <c r="B45" s="615">
        <v>2220</v>
      </c>
      <c r="C45" s="466">
        <v>595766</v>
      </c>
      <c r="D45" s="466">
        <f>134808+43228</f>
        <v>178036</v>
      </c>
      <c r="E45" s="466"/>
      <c r="F45" s="466">
        <v>5348</v>
      </c>
      <c r="G45" s="466"/>
      <c r="H45" s="466"/>
      <c r="I45" s="467"/>
      <c r="J45" s="467"/>
      <c r="K45" s="1689">
        <f>SUM(C45:J45)</f>
        <v>779150</v>
      </c>
      <c r="L45" s="466">
        <v>932532</v>
      </c>
    </row>
    <row r="46" spans="1:14" x14ac:dyDescent="0.2">
      <c r="A46" s="1523" t="s">
        <v>870</v>
      </c>
      <c r="B46" s="615">
        <v>2230</v>
      </c>
      <c r="C46" s="466"/>
      <c r="D46" s="466"/>
      <c r="E46" s="466">
        <v>5724</v>
      </c>
      <c r="F46" s="466">
        <v>675</v>
      </c>
      <c r="G46" s="466"/>
      <c r="H46" s="466"/>
      <c r="I46" s="467"/>
      <c r="J46" s="467"/>
      <c r="K46" s="1689">
        <f>SUM(C46:J46)</f>
        <v>6399</v>
      </c>
      <c r="L46" s="466">
        <v>1475</v>
      </c>
    </row>
    <row r="47" spans="1:14" ht="12.75" customHeight="1" thickBot="1" x14ac:dyDescent="0.25">
      <c r="A47" s="1685" t="s">
        <v>582</v>
      </c>
      <c r="B47" s="1686" t="s">
        <v>32</v>
      </c>
      <c r="C47" s="1687">
        <f>SUM(C44:C46)</f>
        <v>912331</v>
      </c>
      <c r="D47" s="1687">
        <f t="shared" ref="D47:K47" si="4">SUM(D44:D46)</f>
        <v>231447</v>
      </c>
      <c r="E47" s="1687">
        <f t="shared" si="4"/>
        <v>229365</v>
      </c>
      <c r="F47" s="1687">
        <f t="shared" si="4"/>
        <v>282965</v>
      </c>
      <c r="G47" s="1687">
        <f t="shared" si="4"/>
        <v>550</v>
      </c>
      <c r="H47" s="1687">
        <f t="shared" si="4"/>
        <v>4913</v>
      </c>
      <c r="I47" s="1687">
        <f t="shared" si="4"/>
        <v>0</v>
      </c>
      <c r="J47" s="1687">
        <f t="shared" si="4"/>
        <v>0</v>
      </c>
      <c r="K47" s="1687">
        <f t="shared" si="4"/>
        <v>1661571</v>
      </c>
      <c r="L47" s="1687">
        <f>SUM(L44:L46)</f>
        <v>1608821</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22859</v>
      </c>
      <c r="D49" s="481">
        <f>6261+2008</f>
        <v>8269</v>
      </c>
      <c r="E49" s="481">
        <v>56048</v>
      </c>
      <c r="F49" s="481">
        <v>16773</v>
      </c>
      <c r="G49" s="481"/>
      <c r="H49" s="481"/>
      <c r="I49" s="467"/>
      <c r="J49" s="467"/>
      <c r="K49" s="1689">
        <f>SUM(C49:J49)</f>
        <v>103949</v>
      </c>
      <c r="L49" s="481">
        <v>136371</v>
      </c>
    </row>
    <row r="50" spans="1:14" x14ac:dyDescent="0.2">
      <c r="A50" s="1523" t="s">
        <v>872</v>
      </c>
      <c r="B50" s="615">
        <v>2320</v>
      </c>
      <c r="C50" s="466">
        <v>237348</v>
      </c>
      <c r="D50" s="466">
        <f>44829+14375</f>
        <v>59204</v>
      </c>
      <c r="E50" s="466">
        <v>14086</v>
      </c>
      <c r="F50" s="466"/>
      <c r="G50" s="466"/>
      <c r="H50" s="466"/>
      <c r="I50" s="467"/>
      <c r="J50" s="467"/>
      <c r="K50" s="1689">
        <f>SUM(C50:J50)</f>
        <v>310638</v>
      </c>
      <c r="L50" s="466">
        <v>313572</v>
      </c>
    </row>
    <row r="51" spans="1:14" x14ac:dyDescent="0.2">
      <c r="A51" s="1523" t="s">
        <v>44</v>
      </c>
      <c r="B51" s="615">
        <v>2330</v>
      </c>
      <c r="C51" s="466">
        <v>542405</v>
      </c>
      <c r="D51" s="466">
        <f>112098+35945</f>
        <v>148043</v>
      </c>
      <c r="E51" s="466">
        <v>940</v>
      </c>
      <c r="F51" s="466">
        <v>941</v>
      </c>
      <c r="G51" s="466"/>
      <c r="H51" s="466"/>
      <c r="I51" s="467"/>
      <c r="J51" s="467"/>
      <c r="K51" s="1689">
        <f>SUM(C51:J51)</f>
        <v>692329</v>
      </c>
      <c r="L51" s="466">
        <v>600836</v>
      </c>
    </row>
    <row r="52" spans="1:14" ht="22.5" x14ac:dyDescent="0.2">
      <c r="A52" s="1524" t="s">
        <v>316</v>
      </c>
      <c r="B52" s="628" t="s">
        <v>384</v>
      </c>
      <c r="C52" s="474"/>
      <c r="D52" s="474"/>
      <c r="E52" s="474"/>
      <c r="F52" s="474"/>
      <c r="G52" s="474"/>
      <c r="H52" s="474"/>
      <c r="I52" s="474"/>
      <c r="J52" s="474"/>
      <c r="K52" s="1689">
        <f>SUM(C52:J52)</f>
        <v>0</v>
      </c>
      <c r="L52" s="474">
        <v>0</v>
      </c>
    </row>
    <row r="53" spans="1:14" ht="12.75" customHeight="1" thickBot="1" x14ac:dyDescent="0.25">
      <c r="A53" s="1685" t="s">
        <v>741</v>
      </c>
      <c r="B53" s="1686" t="s">
        <v>33</v>
      </c>
      <c r="C53" s="1687">
        <f>SUM(C49:C52)</f>
        <v>802612</v>
      </c>
      <c r="D53" s="1687">
        <f t="shared" ref="D53:L53" si="5">SUM(D49:D52)</f>
        <v>215516</v>
      </c>
      <c r="E53" s="1687">
        <f t="shared" si="5"/>
        <v>71074</v>
      </c>
      <c r="F53" s="1687">
        <f t="shared" si="5"/>
        <v>17714</v>
      </c>
      <c r="G53" s="1687">
        <f t="shared" si="5"/>
        <v>0</v>
      </c>
      <c r="H53" s="1687">
        <f t="shared" si="5"/>
        <v>0</v>
      </c>
      <c r="I53" s="1687">
        <f t="shared" si="5"/>
        <v>0</v>
      </c>
      <c r="J53" s="1687">
        <f t="shared" si="5"/>
        <v>0</v>
      </c>
      <c r="K53" s="1687">
        <f t="shared" si="5"/>
        <v>1106916</v>
      </c>
      <c r="L53" s="1687">
        <f t="shared" si="5"/>
        <v>1050779</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3383299</v>
      </c>
      <c r="D55" s="481">
        <f>721521+231362</f>
        <v>952883</v>
      </c>
      <c r="E55" s="481"/>
      <c r="F55" s="481"/>
      <c r="G55" s="481"/>
      <c r="H55" s="481"/>
      <c r="I55" s="467"/>
      <c r="J55" s="467"/>
      <c r="K55" s="1689">
        <f>SUM(C55:J55)</f>
        <v>4336182</v>
      </c>
      <c r="L55" s="481">
        <v>4163423</v>
      </c>
    </row>
    <row r="56" spans="1:14" ht="12.75" customHeight="1" x14ac:dyDescent="0.2">
      <c r="A56" s="1527" t="s">
        <v>394</v>
      </c>
      <c r="B56" s="629">
        <v>2490</v>
      </c>
      <c r="C56" s="466">
        <v>184039</v>
      </c>
      <c r="D56" s="466">
        <f>33027+10590</f>
        <v>43617</v>
      </c>
      <c r="E56" s="466">
        <v>794</v>
      </c>
      <c r="F56" s="466"/>
      <c r="G56" s="466"/>
      <c r="H56" s="466"/>
      <c r="I56" s="467"/>
      <c r="J56" s="467"/>
      <c r="K56" s="1689">
        <f>SUM(C56:J56)</f>
        <v>228450</v>
      </c>
      <c r="L56" s="466">
        <v>216144</v>
      </c>
    </row>
    <row r="57" spans="1:14" s="343" customFormat="1" ht="12.75" customHeight="1" thickBot="1" x14ac:dyDescent="0.25">
      <c r="A57" s="1685" t="s">
        <v>281</v>
      </c>
      <c r="B57" s="1690" t="s">
        <v>34</v>
      </c>
      <c r="C57" s="1691">
        <f>SUM(C55:C56)</f>
        <v>3567338</v>
      </c>
      <c r="D57" s="1691">
        <f t="shared" ref="D57:K57" si="6">SUM(D55:D56)</f>
        <v>996500</v>
      </c>
      <c r="E57" s="1691">
        <f t="shared" si="6"/>
        <v>794</v>
      </c>
      <c r="F57" s="1691">
        <f t="shared" si="6"/>
        <v>0</v>
      </c>
      <c r="G57" s="1691">
        <f t="shared" si="6"/>
        <v>0</v>
      </c>
      <c r="H57" s="1691">
        <f t="shared" si="6"/>
        <v>0</v>
      </c>
      <c r="I57" s="1691">
        <f t="shared" si="6"/>
        <v>0</v>
      </c>
      <c r="J57" s="1691">
        <f t="shared" si="6"/>
        <v>0</v>
      </c>
      <c r="K57" s="1691">
        <f t="shared" si="6"/>
        <v>4564632</v>
      </c>
      <c r="L57" s="1687">
        <f>SUM(L55:L56)</f>
        <v>4379567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196125</v>
      </c>
      <c r="D59" s="481">
        <f>16599+5323</f>
        <v>21922</v>
      </c>
      <c r="E59" s="481">
        <v>942</v>
      </c>
      <c r="F59" s="481"/>
      <c r="G59" s="481"/>
      <c r="H59" s="481"/>
      <c r="I59" s="467"/>
      <c r="J59" s="467"/>
      <c r="K59" s="1689">
        <f t="shared" ref="K59:K64" si="7">SUM(C59:J59)</f>
        <v>218989</v>
      </c>
      <c r="L59" s="481">
        <v>221246</v>
      </c>
      <c r="M59" s="610"/>
      <c r="N59" s="610"/>
    </row>
    <row r="60" spans="1:14" s="343" customFormat="1" x14ac:dyDescent="0.2">
      <c r="A60" s="1523" t="s">
        <v>483</v>
      </c>
      <c r="B60" s="615">
        <v>2520</v>
      </c>
      <c r="C60" s="466">
        <v>353617</v>
      </c>
      <c r="D60" s="466">
        <f>45342+14540</f>
        <v>59882</v>
      </c>
      <c r="E60" s="466">
        <v>200</v>
      </c>
      <c r="F60" s="466"/>
      <c r="G60" s="466"/>
      <c r="H60" s="466"/>
      <c r="I60" s="467"/>
      <c r="J60" s="467"/>
      <c r="K60" s="1689">
        <f t="shared" si="7"/>
        <v>413699</v>
      </c>
      <c r="L60" s="466">
        <v>425738</v>
      </c>
      <c r="M60" s="610"/>
      <c r="N60" s="610"/>
    </row>
    <row r="61" spans="1:14" s="343" customFormat="1" x14ac:dyDescent="0.2">
      <c r="A61" s="1523" t="s">
        <v>206</v>
      </c>
      <c r="B61" s="615">
        <v>2540</v>
      </c>
      <c r="C61" s="466">
        <v>165564</v>
      </c>
      <c r="D61" s="466">
        <f>38411+12316</f>
        <v>50727</v>
      </c>
      <c r="E61" s="466">
        <v>225575</v>
      </c>
      <c r="F61" s="466">
        <v>6676</v>
      </c>
      <c r="G61" s="466">
        <v>34372</v>
      </c>
      <c r="H61" s="466"/>
      <c r="I61" s="467"/>
      <c r="J61" s="467"/>
      <c r="K61" s="1689">
        <f t="shared" si="7"/>
        <v>482914</v>
      </c>
      <c r="L61" s="466">
        <v>401754</v>
      </c>
      <c r="M61" s="610"/>
      <c r="N61" s="610"/>
    </row>
    <row r="62" spans="1:14" s="343" customFormat="1" x14ac:dyDescent="0.2">
      <c r="A62" s="1523" t="s">
        <v>1010</v>
      </c>
      <c r="B62" s="615">
        <v>2550</v>
      </c>
      <c r="C62" s="466"/>
      <c r="D62" s="466"/>
      <c r="E62" s="466">
        <v>426701</v>
      </c>
      <c r="F62" s="466"/>
      <c r="G62" s="466"/>
      <c r="H62" s="466"/>
      <c r="I62" s="467"/>
      <c r="J62" s="467"/>
      <c r="K62" s="1689">
        <f t="shared" si="7"/>
        <v>426701</v>
      </c>
      <c r="L62" s="466">
        <v>37415</v>
      </c>
      <c r="M62" s="610"/>
      <c r="N62" s="610"/>
    </row>
    <row r="63" spans="1:14" s="610" customFormat="1" x14ac:dyDescent="0.2">
      <c r="A63" s="1523" t="s">
        <v>102</v>
      </c>
      <c r="B63" s="615">
        <v>2560</v>
      </c>
      <c r="C63" s="466">
        <v>569186</v>
      </c>
      <c r="D63" s="466">
        <f>1252+402</f>
        <v>1654</v>
      </c>
      <c r="E63" s="466">
        <v>1923537</v>
      </c>
      <c r="F63" s="466">
        <v>15992</v>
      </c>
      <c r="G63" s="466">
        <v>70772</v>
      </c>
      <c r="H63" s="466"/>
      <c r="I63" s="467"/>
      <c r="J63" s="467"/>
      <c r="K63" s="1689">
        <f t="shared" si="7"/>
        <v>2581141</v>
      </c>
      <c r="L63" s="466">
        <v>2422700</v>
      </c>
    </row>
    <row r="64" spans="1:14" s="610" customFormat="1" x14ac:dyDescent="0.2">
      <c r="A64" s="1528" t="s">
        <v>103</v>
      </c>
      <c r="B64" s="631">
        <v>2570</v>
      </c>
      <c r="C64" s="481"/>
      <c r="D64" s="481"/>
      <c r="E64" s="481"/>
      <c r="F64" s="481"/>
      <c r="G64" s="481"/>
      <c r="H64" s="481"/>
      <c r="I64" s="467"/>
      <c r="J64" s="467"/>
      <c r="K64" s="1689">
        <f t="shared" si="7"/>
        <v>0</v>
      </c>
      <c r="L64" s="481">
        <v>0</v>
      </c>
    </row>
    <row r="65" spans="1:14" s="343" customFormat="1" ht="12.75" customHeight="1" thickBot="1" x14ac:dyDescent="0.25">
      <c r="A65" s="1685" t="s">
        <v>743</v>
      </c>
      <c r="B65" s="1686" t="s">
        <v>35</v>
      </c>
      <c r="C65" s="1687">
        <f>SUM(C59:C64)</f>
        <v>1284492</v>
      </c>
      <c r="D65" s="1687">
        <f t="shared" ref="D65:L65" si="8">SUM(D59:D64)</f>
        <v>134185</v>
      </c>
      <c r="E65" s="1687">
        <f t="shared" si="8"/>
        <v>2576955</v>
      </c>
      <c r="F65" s="1687">
        <f t="shared" si="8"/>
        <v>22668</v>
      </c>
      <c r="G65" s="1687">
        <f t="shared" si="8"/>
        <v>105144</v>
      </c>
      <c r="H65" s="1687">
        <f t="shared" si="8"/>
        <v>0</v>
      </c>
      <c r="I65" s="1687">
        <f t="shared" si="8"/>
        <v>0</v>
      </c>
      <c r="J65" s="1687">
        <f t="shared" si="8"/>
        <v>0</v>
      </c>
      <c r="K65" s="1687">
        <f t="shared" si="8"/>
        <v>4123444</v>
      </c>
      <c r="L65" s="1687">
        <f t="shared" si="8"/>
        <v>3508853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v>18539</v>
      </c>
      <c r="F67" s="466">
        <v>67953</v>
      </c>
      <c r="G67" s="466"/>
      <c r="H67" s="466"/>
      <c r="I67" s="467"/>
      <c r="J67" s="467"/>
      <c r="K67" s="1689">
        <f>SUM(C67:J67)</f>
        <v>86492</v>
      </c>
      <c r="L67" s="481">
        <v>0</v>
      </c>
      <c r="M67" s="610"/>
      <c r="N67" s="610"/>
    </row>
    <row r="68" spans="1:14" s="343" customFormat="1" x14ac:dyDescent="0.2">
      <c r="A68" s="1523" t="s">
        <v>628</v>
      </c>
      <c r="B68" s="615">
        <v>2620</v>
      </c>
      <c r="C68" s="466"/>
      <c r="D68" s="466"/>
      <c r="E68" s="466"/>
      <c r="F68" s="466"/>
      <c r="G68" s="466"/>
      <c r="H68" s="466"/>
      <c r="I68" s="467"/>
      <c r="J68" s="467"/>
      <c r="K68" s="1689">
        <f>SUM(C68:J68)</f>
        <v>0</v>
      </c>
      <c r="L68" s="466">
        <v>0</v>
      </c>
      <c r="M68" s="610"/>
      <c r="N68" s="610"/>
    </row>
    <row r="69" spans="1:14" s="343" customFormat="1" x14ac:dyDescent="0.2">
      <c r="A69" s="1523" t="s">
        <v>1121</v>
      </c>
      <c r="B69" s="615">
        <v>2630</v>
      </c>
      <c r="C69" s="466"/>
      <c r="D69" s="466"/>
      <c r="E69" s="466"/>
      <c r="F69" s="466"/>
      <c r="G69" s="466"/>
      <c r="H69" s="466"/>
      <c r="I69" s="467"/>
      <c r="J69" s="467"/>
      <c r="K69" s="1689">
        <f>SUM(C69:J69)</f>
        <v>0</v>
      </c>
      <c r="L69" s="466">
        <v>0</v>
      </c>
      <c r="M69" s="610"/>
      <c r="N69" s="610"/>
    </row>
    <row r="70" spans="1:14" s="343" customFormat="1" x14ac:dyDescent="0.2">
      <c r="A70" s="1523" t="s">
        <v>423</v>
      </c>
      <c r="B70" s="615">
        <v>2640</v>
      </c>
      <c r="C70" s="466">
        <f>322305</f>
        <v>322305</v>
      </c>
      <c r="D70" s="466">
        <f>39150+12554</f>
        <v>51704</v>
      </c>
      <c r="E70" s="466">
        <v>8661</v>
      </c>
      <c r="F70" s="466">
        <v>1107</v>
      </c>
      <c r="G70" s="466"/>
      <c r="H70" s="466"/>
      <c r="I70" s="467"/>
      <c r="J70" s="467"/>
      <c r="K70" s="1689">
        <f>SUM(C70:J70)</f>
        <v>383777</v>
      </c>
      <c r="L70" s="466">
        <v>11071354</v>
      </c>
      <c r="M70" s="610"/>
      <c r="N70" s="610"/>
    </row>
    <row r="71" spans="1:14" s="343" customFormat="1" x14ac:dyDescent="0.2">
      <c r="A71" s="1523" t="s">
        <v>424</v>
      </c>
      <c r="B71" s="615">
        <v>2660</v>
      </c>
      <c r="C71" s="466">
        <v>799117</v>
      </c>
      <c r="D71" s="466">
        <f>84160+26987</f>
        <v>111147</v>
      </c>
      <c r="E71" s="466">
        <v>375188</v>
      </c>
      <c r="F71" s="466">
        <v>21976</v>
      </c>
      <c r="G71" s="466">
        <v>174349</v>
      </c>
      <c r="H71" s="466"/>
      <c r="I71" s="467"/>
      <c r="J71" s="467"/>
      <c r="K71" s="1689">
        <f>SUM(C71:J71)</f>
        <v>1481777</v>
      </c>
      <c r="L71" s="466">
        <v>1452068</v>
      </c>
      <c r="M71" s="610"/>
      <c r="N71" s="610"/>
    </row>
    <row r="72" spans="1:14" s="343" customFormat="1" ht="12.75" customHeight="1" thickBot="1" x14ac:dyDescent="0.25">
      <c r="A72" s="1685" t="s">
        <v>37</v>
      </c>
      <c r="B72" s="1692" t="s">
        <v>36</v>
      </c>
      <c r="C72" s="1687">
        <f>SUM(C67:C71)</f>
        <v>1121422</v>
      </c>
      <c r="D72" s="1687">
        <f t="shared" ref="D72:K72" si="9">SUM(D67:D71)</f>
        <v>162851</v>
      </c>
      <c r="E72" s="1687">
        <f t="shared" si="9"/>
        <v>402388</v>
      </c>
      <c r="F72" s="1687">
        <f t="shared" si="9"/>
        <v>91036</v>
      </c>
      <c r="G72" s="1687">
        <f t="shared" si="9"/>
        <v>174349</v>
      </c>
      <c r="H72" s="1687">
        <f t="shared" si="9"/>
        <v>0</v>
      </c>
      <c r="I72" s="1687">
        <f t="shared" si="9"/>
        <v>0</v>
      </c>
      <c r="J72" s="1687">
        <f t="shared" si="9"/>
        <v>0</v>
      </c>
      <c r="K72" s="1687">
        <f t="shared" si="9"/>
        <v>1952046</v>
      </c>
      <c r="L72" s="1687">
        <f>SUM(L67:L71)</f>
        <v>12523422</v>
      </c>
      <c r="M72" s="610"/>
      <c r="N72" s="610"/>
    </row>
    <row r="73" spans="1:14" s="343" customFormat="1" ht="14.25" thickTop="1" thickBot="1" x14ac:dyDescent="0.25">
      <c r="A73" s="1529" t="s">
        <v>1037</v>
      </c>
      <c r="B73" s="633" t="s">
        <v>595</v>
      </c>
      <c r="C73" s="573"/>
      <c r="D73" s="573"/>
      <c r="E73" s="573"/>
      <c r="F73" s="573"/>
      <c r="G73" s="573"/>
      <c r="H73" s="573"/>
      <c r="I73" s="531"/>
      <c r="J73" s="531"/>
      <c r="K73" s="1687">
        <f>SUM(C73:J73)</f>
        <v>0</v>
      </c>
      <c r="L73" s="576">
        <v>0</v>
      </c>
      <c r="M73" s="610"/>
      <c r="N73" s="610"/>
    </row>
    <row r="74" spans="1:14" ht="12.75" customHeight="1" thickTop="1" thickBot="1" x14ac:dyDescent="0.25">
      <c r="A74" s="1685" t="s">
        <v>865</v>
      </c>
      <c r="B74" s="1693">
        <v>2000</v>
      </c>
      <c r="C74" s="1694">
        <f>SUM(C42,C47,C53,C57,C65,C72,C73)</f>
        <v>9897870</v>
      </c>
      <c r="D74" s="1694">
        <f t="shared" ref="D74:K74" si="10">SUM(D42,D47,D53,D57,D65,D72,D73)</f>
        <v>2282028</v>
      </c>
      <c r="E74" s="1694">
        <f t="shared" si="10"/>
        <v>3314203</v>
      </c>
      <c r="F74" s="1694">
        <f t="shared" si="10"/>
        <v>429723</v>
      </c>
      <c r="G74" s="1694">
        <f t="shared" si="10"/>
        <v>280043</v>
      </c>
      <c r="H74" s="1694">
        <f t="shared" si="10"/>
        <v>4913</v>
      </c>
      <c r="I74" s="1694">
        <f t="shared" si="10"/>
        <v>0</v>
      </c>
      <c r="J74" s="1694">
        <f t="shared" si="10"/>
        <v>0</v>
      </c>
      <c r="K74" s="1694">
        <f t="shared" si="10"/>
        <v>16208780</v>
      </c>
      <c r="L74" s="1694">
        <f>SUM(L42,L47,L53,L57,L65,L72,L73)</f>
        <v>25859524</v>
      </c>
    </row>
    <row r="75" spans="1:14" s="259" customFormat="1" ht="15.75" customHeight="1" thickTop="1" thickBot="1" x14ac:dyDescent="0.25">
      <c r="A75" s="1629" t="s">
        <v>49</v>
      </c>
      <c r="B75" s="1630" t="s">
        <v>596</v>
      </c>
      <c r="C75" s="573">
        <v>126688</v>
      </c>
      <c r="D75" s="573">
        <f>25020+8023</f>
        <v>33043</v>
      </c>
      <c r="E75" s="573">
        <v>54025</v>
      </c>
      <c r="F75" s="573">
        <v>134557</v>
      </c>
      <c r="G75" s="573">
        <v>2687</v>
      </c>
      <c r="H75" s="573"/>
      <c r="I75" s="531"/>
      <c r="J75" s="531"/>
      <c r="K75" s="1687">
        <f>SUM(C75:J75)</f>
        <v>351000</v>
      </c>
      <c r="L75" s="576">
        <v>343269</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8">
        <f t="shared" ref="K78:K83" si="11">SUM(C78:J78)</f>
        <v>0</v>
      </c>
      <c r="L78" s="481">
        <v>1000</v>
      </c>
    </row>
    <row r="79" spans="1:14" x14ac:dyDescent="0.2">
      <c r="A79" s="1523" t="s">
        <v>322</v>
      </c>
      <c r="B79" s="615">
        <v>4120</v>
      </c>
      <c r="C79" s="617"/>
      <c r="D79" s="617"/>
      <c r="E79" s="466">
        <v>24840</v>
      </c>
      <c r="F79" s="617"/>
      <c r="G79" s="617"/>
      <c r="H79" s="466">
        <v>109147</v>
      </c>
      <c r="I79" s="477"/>
      <c r="J79" s="477"/>
      <c r="K79" s="1688">
        <f t="shared" si="11"/>
        <v>133987</v>
      </c>
      <c r="L79" s="466">
        <v>201630</v>
      </c>
    </row>
    <row r="80" spans="1:14" x14ac:dyDescent="0.2">
      <c r="A80" s="1523" t="s">
        <v>323</v>
      </c>
      <c r="B80" s="615">
        <v>4130</v>
      </c>
      <c r="C80" s="617"/>
      <c r="D80" s="617"/>
      <c r="E80" s="466">
        <v>8708</v>
      </c>
      <c r="F80" s="617"/>
      <c r="G80" s="617"/>
      <c r="H80" s="466"/>
      <c r="I80" s="477"/>
      <c r="J80" s="477"/>
      <c r="K80" s="1688">
        <f t="shared" si="11"/>
        <v>8708</v>
      </c>
      <c r="L80" s="466">
        <v>0</v>
      </c>
    </row>
    <row r="81" spans="1:12" x14ac:dyDescent="0.2">
      <c r="A81" s="1523" t="s">
        <v>721</v>
      </c>
      <c r="B81" s="615">
        <v>4140</v>
      </c>
      <c r="C81" s="617"/>
      <c r="D81" s="617"/>
      <c r="E81" s="466"/>
      <c r="F81" s="617"/>
      <c r="G81" s="617"/>
      <c r="H81" s="466"/>
      <c r="I81" s="477"/>
      <c r="J81" s="477"/>
      <c r="K81" s="1688">
        <f t="shared" si="11"/>
        <v>0</v>
      </c>
      <c r="L81" s="466">
        <v>0</v>
      </c>
    </row>
    <row r="82" spans="1:12" x14ac:dyDescent="0.2">
      <c r="A82" s="1523" t="s">
        <v>88</v>
      </c>
      <c r="B82" s="615">
        <v>4170</v>
      </c>
      <c r="C82" s="617"/>
      <c r="D82" s="617"/>
      <c r="E82" s="466"/>
      <c r="F82" s="617"/>
      <c r="G82" s="617"/>
      <c r="H82" s="466"/>
      <c r="I82" s="477"/>
      <c r="J82" s="477"/>
      <c r="K82" s="1688">
        <f t="shared" si="11"/>
        <v>0</v>
      </c>
      <c r="L82" s="466">
        <v>0</v>
      </c>
    </row>
    <row r="83" spans="1:12" x14ac:dyDescent="0.2">
      <c r="A83" s="1527" t="s">
        <v>722</v>
      </c>
      <c r="B83" s="629">
        <v>4190</v>
      </c>
      <c r="C83" s="617"/>
      <c r="D83" s="617"/>
      <c r="E83" s="466"/>
      <c r="F83" s="617"/>
      <c r="G83" s="617"/>
      <c r="H83" s="466"/>
      <c r="I83" s="477"/>
      <c r="J83" s="477"/>
      <c r="K83" s="1688">
        <f t="shared" si="11"/>
        <v>0</v>
      </c>
      <c r="L83" s="466">
        <v>0</v>
      </c>
    </row>
    <row r="84" spans="1:12" ht="13.5" thickBot="1" x14ac:dyDescent="0.25">
      <c r="A84" s="1685" t="s">
        <v>1565</v>
      </c>
      <c r="B84" s="1695">
        <v>4100</v>
      </c>
      <c r="C84" s="617"/>
      <c r="D84" s="617"/>
      <c r="E84" s="1687">
        <f>SUM(E78:E83)</f>
        <v>33548</v>
      </c>
      <c r="F84" s="617"/>
      <c r="G84" s="617"/>
      <c r="H84" s="1687">
        <f>SUM(H78:H83)</f>
        <v>109147</v>
      </c>
      <c r="I84" s="477"/>
      <c r="J84" s="477"/>
      <c r="K84" s="1687">
        <f>SUM(K78:K83)</f>
        <v>142695</v>
      </c>
      <c r="L84" s="1687">
        <f>SUM(L78:L83)</f>
        <v>202630</v>
      </c>
    </row>
    <row r="85" spans="1:12" ht="12.75" customHeight="1" thickTop="1" thickBot="1" x14ac:dyDescent="0.25">
      <c r="A85" s="1530" t="s">
        <v>273</v>
      </c>
      <c r="B85" s="636">
        <v>4210</v>
      </c>
      <c r="C85" s="617"/>
      <c r="D85" s="617"/>
      <c r="E85" s="637"/>
      <c r="F85" s="617"/>
      <c r="G85" s="617"/>
      <c r="H85" s="535"/>
      <c r="I85" s="477"/>
      <c r="J85" s="477"/>
      <c r="K85" s="1694">
        <f>H85</f>
        <v>0</v>
      </c>
      <c r="L85" s="530">
        <v>0</v>
      </c>
    </row>
    <row r="86" spans="1:12" ht="12.75" customHeight="1" thickTop="1" thickBot="1" x14ac:dyDescent="0.25">
      <c r="A86" s="1531" t="s">
        <v>723</v>
      </c>
      <c r="B86" s="638">
        <v>4220</v>
      </c>
      <c r="C86" s="617"/>
      <c r="D86" s="617"/>
      <c r="E86" s="639"/>
      <c r="F86" s="617"/>
      <c r="G86" s="617"/>
      <c r="H86" s="467">
        <v>134605</v>
      </c>
      <c r="I86" s="477"/>
      <c r="J86" s="477"/>
      <c r="K86" s="1694">
        <f t="shared" ref="K86:K98" si="12">H86</f>
        <v>134605</v>
      </c>
      <c r="L86" s="530">
        <v>82000</v>
      </c>
    </row>
    <row r="87" spans="1:12" ht="14.25" thickTop="1" thickBot="1" x14ac:dyDescent="0.25">
      <c r="A87" s="1532" t="s">
        <v>724</v>
      </c>
      <c r="B87" s="640">
        <v>4230</v>
      </c>
      <c r="C87" s="617"/>
      <c r="D87" s="617"/>
      <c r="E87" s="639"/>
      <c r="F87" s="617"/>
      <c r="G87" s="617"/>
      <c r="H87" s="467"/>
      <c r="I87" s="477"/>
      <c r="J87" s="477"/>
      <c r="K87" s="1694">
        <f t="shared" si="12"/>
        <v>0</v>
      </c>
      <c r="L87" s="530">
        <v>0</v>
      </c>
    </row>
    <row r="88" spans="1:12" ht="12.75" customHeight="1" thickTop="1" thickBot="1" x14ac:dyDescent="0.25">
      <c r="A88" s="1532" t="s">
        <v>789</v>
      </c>
      <c r="B88" s="640">
        <v>4240</v>
      </c>
      <c r="C88" s="617"/>
      <c r="D88" s="617"/>
      <c r="E88" s="639"/>
      <c r="F88" s="617"/>
      <c r="G88" s="617"/>
      <c r="H88" s="467"/>
      <c r="I88" s="477"/>
      <c r="J88" s="477"/>
      <c r="K88" s="1694">
        <f t="shared" si="12"/>
        <v>0</v>
      </c>
      <c r="L88" s="530">
        <v>0</v>
      </c>
    </row>
    <row r="89" spans="1:12" ht="12.75" customHeight="1" thickTop="1" thickBot="1" x14ac:dyDescent="0.25">
      <c r="A89" s="1532" t="s">
        <v>725</v>
      </c>
      <c r="B89" s="640">
        <v>4270</v>
      </c>
      <c r="C89" s="617"/>
      <c r="D89" s="617"/>
      <c r="E89" s="639"/>
      <c r="F89" s="617"/>
      <c r="G89" s="617"/>
      <c r="H89" s="467"/>
      <c r="I89" s="477"/>
      <c r="J89" s="477"/>
      <c r="K89" s="1694">
        <f t="shared" si="12"/>
        <v>0</v>
      </c>
      <c r="L89" s="530">
        <v>0</v>
      </c>
    </row>
    <row r="90" spans="1:12" ht="12.75" customHeight="1" thickTop="1" thickBot="1" x14ac:dyDescent="0.25">
      <c r="A90" s="1532" t="s">
        <v>710</v>
      </c>
      <c r="B90" s="640">
        <v>4280</v>
      </c>
      <c r="C90" s="617"/>
      <c r="D90" s="617"/>
      <c r="E90" s="639"/>
      <c r="F90" s="617"/>
      <c r="G90" s="617"/>
      <c r="H90" s="467"/>
      <c r="I90" s="477"/>
      <c r="J90" s="477"/>
      <c r="K90" s="1694">
        <f t="shared" si="12"/>
        <v>0</v>
      </c>
      <c r="L90" s="530">
        <v>0</v>
      </c>
    </row>
    <row r="91" spans="1:12" ht="12.75" customHeight="1" thickTop="1" thickBot="1" x14ac:dyDescent="0.25">
      <c r="A91" s="1532" t="s">
        <v>711</v>
      </c>
      <c r="B91" s="640">
        <v>4290</v>
      </c>
      <c r="C91" s="617"/>
      <c r="D91" s="617"/>
      <c r="E91" s="639"/>
      <c r="F91" s="617"/>
      <c r="G91" s="617"/>
      <c r="H91" s="467"/>
      <c r="I91" s="477"/>
      <c r="J91" s="477"/>
      <c r="K91" s="1694">
        <f t="shared" si="12"/>
        <v>0</v>
      </c>
      <c r="L91" s="530">
        <v>0</v>
      </c>
    </row>
    <row r="92" spans="1:12" ht="14.25" thickTop="1" thickBot="1" x14ac:dyDescent="0.25">
      <c r="A92" s="1697" t="s">
        <v>1641</v>
      </c>
      <c r="B92" s="1695">
        <v>4200</v>
      </c>
      <c r="C92" s="617"/>
      <c r="D92" s="617"/>
      <c r="E92" s="639"/>
      <c r="F92" s="617"/>
      <c r="G92" s="617"/>
      <c r="H92" s="1687">
        <f>SUM(H85:H91)</f>
        <v>134605</v>
      </c>
      <c r="I92" s="477"/>
      <c r="J92" s="477"/>
      <c r="K92" s="1694">
        <f t="shared" si="12"/>
        <v>134605</v>
      </c>
      <c r="L92" s="1687">
        <f>SUM(L85:L91)</f>
        <v>82000</v>
      </c>
    </row>
    <row r="93" spans="1:12" ht="14.25" thickTop="1" thickBot="1" x14ac:dyDescent="0.25">
      <c r="A93" s="1531" t="s">
        <v>712</v>
      </c>
      <c r="B93" s="641">
        <v>4310</v>
      </c>
      <c r="C93" s="617"/>
      <c r="D93" s="617"/>
      <c r="E93" s="639"/>
      <c r="F93" s="617"/>
      <c r="G93" s="617"/>
      <c r="H93" s="642"/>
      <c r="I93" s="477"/>
      <c r="J93" s="477"/>
      <c r="K93" s="1694">
        <f t="shared" si="12"/>
        <v>0</v>
      </c>
      <c r="L93" s="532">
        <v>0</v>
      </c>
    </row>
    <row r="94" spans="1:12" ht="12.75" customHeight="1" thickTop="1" thickBot="1" x14ac:dyDescent="0.25">
      <c r="A94" s="1532" t="s">
        <v>713</v>
      </c>
      <c r="B94" s="640">
        <v>4320</v>
      </c>
      <c r="C94" s="617"/>
      <c r="D94" s="617"/>
      <c r="E94" s="639"/>
      <c r="F94" s="617"/>
      <c r="G94" s="617"/>
      <c r="H94" s="467"/>
      <c r="I94" s="477"/>
      <c r="J94" s="477"/>
      <c r="K94" s="1694">
        <f t="shared" si="12"/>
        <v>0</v>
      </c>
      <c r="L94" s="530">
        <v>0</v>
      </c>
    </row>
    <row r="95" spans="1:12" ht="15" customHeight="1" thickTop="1" thickBot="1" x14ac:dyDescent="0.25">
      <c r="A95" s="1532" t="s">
        <v>1568</v>
      </c>
      <c r="B95" s="640">
        <v>4330</v>
      </c>
      <c r="C95" s="617"/>
      <c r="D95" s="617"/>
      <c r="E95" s="639"/>
      <c r="F95" s="617"/>
      <c r="G95" s="617"/>
      <c r="H95" s="467"/>
      <c r="I95" s="477"/>
      <c r="J95" s="477"/>
      <c r="K95" s="1694">
        <f t="shared" si="12"/>
        <v>0</v>
      </c>
      <c r="L95" s="530">
        <v>0</v>
      </c>
    </row>
    <row r="96" spans="1:12" ht="14.25" thickTop="1" thickBot="1" x14ac:dyDescent="0.25">
      <c r="A96" s="1532" t="s">
        <v>714</v>
      </c>
      <c r="B96" s="640">
        <v>4340</v>
      </c>
      <c r="C96" s="617"/>
      <c r="D96" s="617"/>
      <c r="E96" s="639"/>
      <c r="F96" s="617"/>
      <c r="G96" s="617"/>
      <c r="H96" s="467"/>
      <c r="I96" s="477"/>
      <c r="J96" s="477"/>
      <c r="K96" s="1694">
        <f t="shared" si="12"/>
        <v>0</v>
      </c>
      <c r="L96" s="530">
        <v>0</v>
      </c>
    </row>
    <row r="97" spans="1:14" ht="12.75" customHeight="1" thickTop="1" thickBot="1" x14ac:dyDescent="0.25">
      <c r="A97" s="1532" t="s">
        <v>787</v>
      </c>
      <c r="B97" s="640">
        <v>4370</v>
      </c>
      <c r="C97" s="617"/>
      <c r="D97" s="617"/>
      <c r="E97" s="639"/>
      <c r="F97" s="617"/>
      <c r="G97" s="617"/>
      <c r="H97" s="467"/>
      <c r="I97" s="477"/>
      <c r="J97" s="477"/>
      <c r="K97" s="1694">
        <f t="shared" si="12"/>
        <v>0</v>
      </c>
      <c r="L97" s="530">
        <v>0</v>
      </c>
    </row>
    <row r="98" spans="1:14" ht="14.25" thickTop="1" thickBot="1" x14ac:dyDescent="0.25">
      <c r="A98" s="1532" t="s">
        <v>788</v>
      </c>
      <c r="B98" s="640">
        <v>4380</v>
      </c>
      <c r="C98" s="617"/>
      <c r="D98" s="617"/>
      <c r="E98" s="643"/>
      <c r="F98" s="617"/>
      <c r="G98" s="617"/>
      <c r="H98" s="467"/>
      <c r="I98" s="477"/>
      <c r="J98" s="477"/>
      <c r="K98" s="1694">
        <f t="shared" si="12"/>
        <v>0</v>
      </c>
      <c r="L98" s="530">
        <v>0</v>
      </c>
    </row>
    <row r="99" spans="1:14" ht="14.25" thickTop="1" thickBot="1" x14ac:dyDescent="0.25">
      <c r="A99" s="1532" t="s">
        <v>385</v>
      </c>
      <c r="B99" s="640">
        <v>4390</v>
      </c>
      <c r="C99" s="617"/>
      <c r="D99" s="617"/>
      <c r="E99" s="532"/>
      <c r="F99" s="617"/>
      <c r="G99" s="617"/>
      <c r="H99" s="467"/>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9" t="s">
        <v>1569</v>
      </c>
      <c r="B101" s="644" t="s">
        <v>988</v>
      </c>
      <c r="C101" s="617"/>
      <c r="D101" s="617"/>
      <c r="E101" s="531"/>
      <c r="F101" s="617"/>
      <c r="G101" s="617"/>
      <c r="H101" s="531"/>
      <c r="I101" s="477"/>
      <c r="J101" s="477"/>
      <c r="K101" s="1696">
        <f>SUM(C101:J101)</f>
        <v>0</v>
      </c>
      <c r="L101" s="530"/>
    </row>
    <row r="102" spans="1:14" ht="12.75" customHeight="1" thickTop="1" thickBot="1" x14ac:dyDescent="0.25">
      <c r="A102" s="1685" t="s">
        <v>1567</v>
      </c>
      <c r="B102" s="1695">
        <v>4000</v>
      </c>
      <c r="C102" s="617"/>
      <c r="D102" s="617"/>
      <c r="E102" s="1694">
        <f>SUM(E84,E92,E100,E101)</f>
        <v>33548</v>
      </c>
      <c r="F102" s="617"/>
      <c r="G102" s="617"/>
      <c r="H102" s="1694">
        <f>SUM(H84,H92,H100,H101)</f>
        <v>243752</v>
      </c>
      <c r="I102" s="477"/>
      <c r="J102" s="477"/>
      <c r="K102" s="1694">
        <f>SUM(K84,K92,K100,K101)</f>
        <v>277300</v>
      </c>
      <c r="L102" s="1694">
        <f>SUM(L84,L92,L100,L101)</f>
        <v>284630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8">
        <f>H105</f>
        <v>0</v>
      </c>
      <c r="L105" s="481">
        <v>0</v>
      </c>
      <c r="M105" s="210"/>
      <c r="N105" s="210"/>
    </row>
    <row r="106" spans="1:14" s="598" customFormat="1" x14ac:dyDescent="0.2">
      <c r="A106" s="1523" t="s">
        <v>90</v>
      </c>
      <c r="B106" s="615">
        <v>5120</v>
      </c>
      <c r="C106" s="617"/>
      <c r="D106" s="617"/>
      <c r="E106" s="617"/>
      <c r="F106" s="617"/>
      <c r="G106" s="617"/>
      <c r="H106" s="466"/>
      <c r="I106" s="468"/>
      <c r="J106" s="468"/>
      <c r="K106" s="1688">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8">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8">
        <f>H108</f>
        <v>0</v>
      </c>
      <c r="L108" s="466">
        <v>0</v>
      </c>
      <c r="M108" s="210"/>
      <c r="N108" s="210"/>
    </row>
    <row r="109" spans="1:14" s="598" customFormat="1" x14ac:dyDescent="0.2">
      <c r="A109" s="1523" t="s">
        <v>272</v>
      </c>
      <c r="B109" s="629">
        <v>5150</v>
      </c>
      <c r="C109" s="617"/>
      <c r="D109" s="617"/>
      <c r="E109" s="617"/>
      <c r="F109" s="617"/>
      <c r="G109" s="617"/>
      <c r="H109" s="466"/>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1045747</v>
      </c>
      <c r="M113" s="614"/>
      <c r="N113" s="614"/>
    </row>
    <row r="114" spans="1:14" ht="12.75" customHeight="1" thickTop="1" thickBot="1" x14ac:dyDescent="0.25">
      <c r="A114" s="1685" t="s">
        <v>50</v>
      </c>
      <c r="B114" s="1699"/>
      <c r="C114" s="1687">
        <f>SUM(C33,C74,C75,C102,C112,C113)</f>
        <v>42254293</v>
      </c>
      <c r="D114" s="1687">
        <f t="shared" ref="D114:K114" si="13">SUM(D33,D74,D75,D102,D112,D113)</f>
        <v>12146836</v>
      </c>
      <c r="E114" s="1687">
        <f t="shared" si="13"/>
        <v>4906206</v>
      </c>
      <c r="F114" s="1687">
        <f t="shared" si="13"/>
        <v>1729404</v>
      </c>
      <c r="G114" s="1687">
        <f t="shared" si="13"/>
        <v>856282</v>
      </c>
      <c r="H114" s="1687">
        <f>SUM(H33,H74,H75,H102,H112,H113)</f>
        <v>248665</v>
      </c>
      <c r="I114" s="1687">
        <f t="shared" si="13"/>
        <v>0</v>
      </c>
      <c r="J114" s="1687">
        <f t="shared" si="13"/>
        <v>0</v>
      </c>
      <c r="K114" s="1687">
        <f t="shared" si="13"/>
        <v>62141686</v>
      </c>
      <c r="L114" s="1687">
        <f>SUM(L33,L74,L75,L102,L112,L113)</f>
        <v>72155427</v>
      </c>
    </row>
    <row r="115" spans="1:14" ht="13.5" thickTop="1" x14ac:dyDescent="0.2">
      <c r="A115" s="2203" t="s">
        <v>1053</v>
      </c>
      <c r="B115" s="2204"/>
      <c r="C115" s="619"/>
      <c r="D115" s="619"/>
      <c r="E115" s="619"/>
      <c r="F115" s="619"/>
      <c r="G115" s="619"/>
      <c r="H115" s="619"/>
      <c r="I115" s="619"/>
      <c r="J115" s="619"/>
      <c r="K115" s="1701">
        <f>'Revenues 9-14'!C275-'Expenditures 15-22'!K114</f>
        <v>2729149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7">
        <f>SUM(C122:J122)</f>
        <v>0</v>
      </c>
      <c r="L122" s="466">
        <v>0</v>
      </c>
    </row>
    <row r="123" spans="1:14" ht="14.25" thickTop="1" thickBot="1" x14ac:dyDescent="0.25">
      <c r="A123" s="1523" t="s">
        <v>4</v>
      </c>
      <c r="B123" s="615">
        <v>2530</v>
      </c>
      <c r="C123" s="466"/>
      <c r="D123" s="466"/>
      <c r="E123" s="466"/>
      <c r="F123" s="466"/>
      <c r="G123" s="466"/>
      <c r="H123" s="466"/>
      <c r="I123" s="467"/>
      <c r="J123" s="467"/>
      <c r="K123" s="1687">
        <f>SUM(C123:J123)</f>
        <v>0</v>
      </c>
      <c r="L123" s="466">
        <v>0</v>
      </c>
    </row>
    <row r="124" spans="1:14" ht="14.25" thickTop="1" thickBot="1" x14ac:dyDescent="0.25">
      <c r="A124" s="1523" t="s">
        <v>206</v>
      </c>
      <c r="B124" s="615">
        <v>2540</v>
      </c>
      <c r="C124" s="466">
        <v>3112142</v>
      </c>
      <c r="D124" s="466">
        <v>604361</v>
      </c>
      <c r="E124" s="466">
        <v>879937</v>
      </c>
      <c r="F124" s="466">
        <v>1430972</v>
      </c>
      <c r="G124" s="466">
        <v>4407610</v>
      </c>
      <c r="H124" s="466"/>
      <c r="I124" s="467"/>
      <c r="J124" s="467"/>
      <c r="K124" s="1687">
        <f>SUM(C124:J124)</f>
        <v>10435022</v>
      </c>
      <c r="L124" s="466">
        <v>11810694</v>
      </c>
    </row>
    <row r="125" spans="1:14" ht="14.25" thickTop="1" thickBot="1" x14ac:dyDescent="0.25">
      <c r="A125" s="1523" t="s">
        <v>1010</v>
      </c>
      <c r="B125" s="615">
        <v>2550</v>
      </c>
      <c r="C125" s="466"/>
      <c r="D125" s="466"/>
      <c r="E125" s="466"/>
      <c r="F125" s="466"/>
      <c r="G125" s="466"/>
      <c r="H125" s="466"/>
      <c r="I125" s="467"/>
      <c r="J125" s="467"/>
      <c r="K125" s="1687">
        <f>SUM(C125:J125)</f>
        <v>0</v>
      </c>
      <c r="L125" s="466">
        <v>0</v>
      </c>
    </row>
    <row r="126" spans="1:14" ht="14.25" thickTop="1" thickBot="1" x14ac:dyDescent="0.25">
      <c r="A126" s="1523" t="s">
        <v>102</v>
      </c>
      <c r="B126" s="615">
        <v>2560</v>
      </c>
      <c r="C126" s="655"/>
      <c r="D126" s="655"/>
      <c r="E126" s="655"/>
      <c r="F126" s="655"/>
      <c r="G126" s="466"/>
      <c r="H126" s="655"/>
      <c r="I126" s="474"/>
      <c r="J126" s="617"/>
      <c r="K126" s="1687">
        <f>SUM(C126:J126)</f>
        <v>0</v>
      </c>
      <c r="L126" s="466">
        <v>0</v>
      </c>
    </row>
    <row r="127" spans="1:14" ht="12.75" customHeight="1" thickTop="1" thickBot="1" x14ac:dyDescent="0.25">
      <c r="A127" s="1685" t="s">
        <v>743</v>
      </c>
      <c r="B127" s="1686" t="s">
        <v>35</v>
      </c>
      <c r="C127" s="1687">
        <f>SUM(C122:C126)</f>
        <v>3112142</v>
      </c>
      <c r="D127" s="1687">
        <f t="shared" ref="D127:L127" si="14">SUM(D122:D126)</f>
        <v>604361</v>
      </c>
      <c r="E127" s="1687">
        <f t="shared" si="14"/>
        <v>879937</v>
      </c>
      <c r="F127" s="1687">
        <f t="shared" si="14"/>
        <v>1430972</v>
      </c>
      <c r="G127" s="1687">
        <f t="shared" si="14"/>
        <v>4407610</v>
      </c>
      <c r="H127" s="1687">
        <f t="shared" si="14"/>
        <v>0</v>
      </c>
      <c r="I127" s="1687">
        <f t="shared" si="14"/>
        <v>0</v>
      </c>
      <c r="J127" s="1687">
        <f t="shared" si="14"/>
        <v>0</v>
      </c>
      <c r="K127" s="1687">
        <f t="shared" si="14"/>
        <v>10435022</v>
      </c>
      <c r="L127" s="1687">
        <f t="shared" si="14"/>
        <v>11810694</v>
      </c>
    </row>
    <row r="128" spans="1:14" ht="12.75" customHeight="1" thickTop="1" x14ac:dyDescent="0.2">
      <c r="A128" s="1530" t="s">
        <v>1037</v>
      </c>
      <c r="B128" s="656" t="s">
        <v>595</v>
      </c>
      <c r="C128" s="657"/>
      <c r="D128" s="657"/>
      <c r="E128" s="657"/>
      <c r="F128" s="657"/>
      <c r="G128" s="657"/>
      <c r="H128" s="657"/>
      <c r="I128" s="535"/>
      <c r="J128" s="535"/>
      <c r="K128" s="1702">
        <f>SUM(C128:J128)</f>
        <v>0</v>
      </c>
      <c r="L128" s="657">
        <v>0</v>
      </c>
    </row>
    <row r="129" spans="1:14" ht="12.75" customHeight="1" thickBot="1" x14ac:dyDescent="0.25">
      <c r="A129" s="1703" t="s">
        <v>865</v>
      </c>
      <c r="B129" s="1704" t="s">
        <v>590</v>
      </c>
      <c r="C129" s="1694">
        <f>SUM(C120,C127,C128)</f>
        <v>3112142</v>
      </c>
      <c r="D129" s="1694">
        <f t="shared" ref="D129:L129" si="15">SUM(D120,D127,D128)</f>
        <v>604361</v>
      </c>
      <c r="E129" s="1694">
        <f t="shared" si="15"/>
        <v>879937</v>
      </c>
      <c r="F129" s="1694">
        <f t="shared" si="15"/>
        <v>1430972</v>
      </c>
      <c r="G129" s="1694">
        <f t="shared" si="15"/>
        <v>4407610</v>
      </c>
      <c r="H129" s="1694">
        <f t="shared" si="15"/>
        <v>0</v>
      </c>
      <c r="I129" s="1694">
        <f t="shared" si="15"/>
        <v>0</v>
      </c>
      <c r="J129" s="1694">
        <f t="shared" si="15"/>
        <v>0</v>
      </c>
      <c r="K129" s="1694">
        <f t="shared" si="15"/>
        <v>10435022</v>
      </c>
      <c r="L129" s="1694">
        <f t="shared" si="15"/>
        <v>11810694</v>
      </c>
    </row>
    <row r="130" spans="1:14" ht="15.75" customHeight="1" thickTop="1" thickBot="1" x14ac:dyDescent="0.25">
      <c r="A130" s="1629" t="s">
        <v>1096</v>
      </c>
      <c r="B130" s="1630" t="s">
        <v>596</v>
      </c>
      <c r="C130" s="576"/>
      <c r="D130" s="576"/>
      <c r="E130" s="576"/>
      <c r="F130" s="576"/>
      <c r="G130" s="576"/>
      <c r="H130" s="576"/>
      <c r="I130" s="531"/>
      <c r="J130" s="531"/>
      <c r="K130" s="1687">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8" t="s">
        <v>1954</v>
      </c>
      <c r="C133" s="468"/>
      <c r="D133" s="468"/>
      <c r="E133" s="642"/>
      <c r="F133" s="468"/>
      <c r="G133" s="468"/>
      <c r="H133" s="642"/>
      <c r="I133" s="468"/>
      <c r="J133" s="468"/>
      <c r="K133" s="1839">
        <f>SUM(E133,H133)</f>
        <v>0</v>
      </c>
      <c r="L133" s="642">
        <v>0</v>
      </c>
      <c r="M133" s="206"/>
      <c r="N133" s="206"/>
    </row>
    <row r="134" spans="1:14" x14ac:dyDescent="0.2">
      <c r="A134" s="1523" t="s">
        <v>322</v>
      </c>
      <c r="B134" s="615">
        <v>4120</v>
      </c>
      <c r="C134" s="617"/>
      <c r="D134" s="617"/>
      <c r="E134" s="478"/>
      <c r="F134" s="617"/>
      <c r="G134" s="617"/>
      <c r="H134" s="481"/>
      <c r="I134" s="477"/>
      <c r="J134" s="617"/>
      <c r="K134" s="1689">
        <f>SUM(E134,H134)</f>
        <v>0</v>
      </c>
      <c r="L134" s="481">
        <v>0</v>
      </c>
    </row>
    <row r="135" spans="1:14" x14ac:dyDescent="0.2">
      <c r="A135" s="1523" t="s">
        <v>721</v>
      </c>
      <c r="B135" s="615">
        <v>4140</v>
      </c>
      <c r="C135" s="617"/>
      <c r="D135" s="617"/>
      <c r="E135" s="467"/>
      <c r="F135" s="617"/>
      <c r="G135" s="617"/>
      <c r="H135" s="466"/>
      <c r="I135" s="477"/>
      <c r="J135" s="617"/>
      <c r="K135" s="1689">
        <f>SUM(E135,H135)</f>
        <v>0</v>
      </c>
      <c r="L135" s="466">
        <v>0</v>
      </c>
    </row>
    <row r="136" spans="1:14" x14ac:dyDescent="0.2">
      <c r="A136" s="1527" t="s">
        <v>722</v>
      </c>
      <c r="B136" s="629">
        <v>4190</v>
      </c>
      <c r="C136" s="617"/>
      <c r="D136" s="617"/>
      <c r="E136" s="467"/>
      <c r="F136" s="617"/>
      <c r="G136" s="617"/>
      <c r="H136" s="466"/>
      <c r="I136" s="477"/>
      <c r="J136" s="617"/>
      <c r="K136" s="1689">
        <f>SUM(E136,H136)</f>
        <v>0</v>
      </c>
      <c r="L136" s="466">
        <v>0</v>
      </c>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9" t="s">
        <v>98</v>
      </c>
      <c r="B138" s="644" t="s">
        <v>988</v>
      </c>
      <c r="C138" s="617"/>
      <c r="D138" s="617"/>
      <c r="E138" s="479"/>
      <c r="F138" s="617"/>
      <c r="G138" s="617"/>
      <c r="H138" s="576"/>
      <c r="I138" s="477"/>
      <c r="J138" s="617"/>
      <c r="K138" s="1689">
        <f>SUM(E138,H138)</f>
        <v>0</v>
      </c>
      <c r="L138" s="576">
        <v>0</v>
      </c>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9">
        <f>SUM(H142)</f>
        <v>0</v>
      </c>
      <c r="L142" s="481">
        <v>0</v>
      </c>
    </row>
    <row r="143" spans="1:14" x14ac:dyDescent="0.2">
      <c r="A143" s="1523" t="s">
        <v>90</v>
      </c>
      <c r="B143" s="615">
        <v>5120</v>
      </c>
      <c r="C143" s="617"/>
      <c r="D143" s="617"/>
      <c r="E143" s="617"/>
      <c r="F143" s="617"/>
      <c r="G143" s="617"/>
      <c r="H143" s="466"/>
      <c r="I143" s="468"/>
      <c r="J143" s="617"/>
      <c r="K143" s="1689">
        <f>SUM(H143)</f>
        <v>0</v>
      </c>
      <c r="L143" s="466">
        <v>0</v>
      </c>
    </row>
    <row r="144" spans="1:14" ht="12.75" customHeight="1" x14ac:dyDescent="0.2">
      <c r="A144" s="1523" t="s">
        <v>1232</v>
      </c>
      <c r="B144" s="629" t="s">
        <v>638</v>
      </c>
      <c r="C144" s="617"/>
      <c r="D144" s="617"/>
      <c r="E144" s="617"/>
      <c r="F144" s="617"/>
      <c r="G144" s="617"/>
      <c r="H144" s="466"/>
      <c r="I144" s="468"/>
      <c r="J144" s="617"/>
      <c r="K144" s="1689">
        <f>SUM(H144)</f>
        <v>0</v>
      </c>
      <c r="L144" s="466">
        <v>0</v>
      </c>
    </row>
    <row r="145" spans="1:14" x14ac:dyDescent="0.2">
      <c r="A145" s="1523" t="s">
        <v>91</v>
      </c>
      <c r="B145" s="615" t="s">
        <v>610</v>
      </c>
      <c r="C145" s="617"/>
      <c r="D145" s="617"/>
      <c r="E145" s="617"/>
      <c r="F145" s="617"/>
      <c r="G145" s="617"/>
      <c r="H145" s="466"/>
      <c r="I145" s="468"/>
      <c r="J145" s="617"/>
      <c r="K145" s="1689">
        <f>SUM(H145)</f>
        <v>0</v>
      </c>
      <c r="L145" s="466">
        <v>0</v>
      </c>
    </row>
    <row r="146" spans="1:14" ht="12.75" customHeight="1" x14ac:dyDescent="0.2">
      <c r="A146" s="1523" t="s">
        <v>640</v>
      </c>
      <c r="B146" s="615" t="s">
        <v>639</v>
      </c>
      <c r="C146" s="617"/>
      <c r="D146" s="617"/>
      <c r="E146" s="617"/>
      <c r="F146" s="617"/>
      <c r="G146" s="617"/>
      <c r="H146" s="466"/>
      <c r="I146" s="468"/>
      <c r="J146" s="617"/>
      <c r="K146" s="1689">
        <f>SUM(H146)</f>
        <v>0</v>
      </c>
      <c r="L146" s="466">
        <v>0</v>
      </c>
    </row>
    <row r="147" spans="1:14" ht="12.75" customHeight="1" thickBot="1" x14ac:dyDescent="0.25">
      <c r="A147" s="1534"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v>0</v>
      </c>
    </row>
    <row r="149" spans="1:14" ht="12.75" customHeight="1" thickBot="1" x14ac:dyDescent="0.25">
      <c r="A149" s="1526"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193" t="s">
        <v>641</v>
      </c>
      <c r="B151" s="2175"/>
      <c r="C151" s="1687">
        <f>SUM(C129,C130,C139,C149,C150)</f>
        <v>3112142</v>
      </c>
      <c r="D151" s="1687">
        <f t="shared" ref="D151:K151" si="16">SUM(D129,D130,D139,D149,D150)</f>
        <v>604361</v>
      </c>
      <c r="E151" s="1687">
        <f t="shared" si="16"/>
        <v>879937</v>
      </c>
      <c r="F151" s="1687">
        <f t="shared" si="16"/>
        <v>1430972</v>
      </c>
      <c r="G151" s="1687">
        <f t="shared" si="16"/>
        <v>4407610</v>
      </c>
      <c r="H151" s="1687">
        <f t="shared" si="16"/>
        <v>0</v>
      </c>
      <c r="I151" s="1687">
        <f t="shared" si="16"/>
        <v>0</v>
      </c>
      <c r="J151" s="1687">
        <f t="shared" si="16"/>
        <v>0</v>
      </c>
      <c r="K151" s="1687">
        <f t="shared" si="16"/>
        <v>10435022</v>
      </c>
      <c r="L151" s="1687">
        <f>SUM(L129,L130,L139,L149,L150)</f>
        <v>11810694</v>
      </c>
    </row>
    <row r="152" spans="1:14" ht="12.75" customHeight="1" thickTop="1" x14ac:dyDescent="0.2">
      <c r="A152" s="2196" t="s">
        <v>1240</v>
      </c>
      <c r="B152" s="2197"/>
      <c r="C152" s="619"/>
      <c r="D152" s="619"/>
      <c r="E152" s="619"/>
      <c r="F152" s="619"/>
      <c r="G152" s="619"/>
      <c r="H152" s="619"/>
      <c r="I152" s="619"/>
      <c r="J152" s="617"/>
      <c r="K152" s="1701">
        <f>'Revenues 9-14'!D275-'Expenditures 15-22'!K151</f>
        <v>391905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1955</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1954</v>
      </c>
      <c r="C157" s="617"/>
      <c r="D157" s="617"/>
      <c r="E157" s="617"/>
      <c r="F157" s="617"/>
      <c r="G157" s="617"/>
      <c r="H157" s="642"/>
      <c r="I157" s="617"/>
      <c r="J157" s="617"/>
      <c r="K157" s="1688">
        <f>H157</f>
        <v>0</v>
      </c>
      <c r="L157" s="467">
        <v>0</v>
      </c>
      <c r="M157" s="620"/>
      <c r="N157" s="620"/>
    </row>
    <row r="158" spans="1:14" s="621" customFormat="1" ht="12" x14ac:dyDescent="0.2">
      <c r="A158" s="1844" t="s">
        <v>322</v>
      </c>
      <c r="B158" s="1845" t="s">
        <v>1956</v>
      </c>
      <c r="C158" s="617"/>
      <c r="D158" s="617"/>
      <c r="E158" s="617"/>
      <c r="F158" s="617"/>
      <c r="G158" s="617"/>
      <c r="H158" s="467"/>
      <c r="I158" s="617"/>
      <c r="J158" s="617"/>
      <c r="K158" s="1688">
        <f>H158</f>
        <v>0</v>
      </c>
      <c r="L158" s="467">
        <v>0</v>
      </c>
      <c r="M158" s="620"/>
      <c r="N158" s="620"/>
    </row>
    <row r="159" spans="1:14" s="621" customFormat="1" ht="12" x14ac:dyDescent="0.2">
      <c r="A159" s="1844" t="s">
        <v>1957</v>
      </c>
      <c r="B159" s="1845" t="s">
        <v>579</v>
      </c>
      <c r="C159" s="617"/>
      <c r="D159" s="617"/>
      <c r="E159" s="617"/>
      <c r="F159" s="617"/>
      <c r="G159" s="617"/>
      <c r="H159" s="467"/>
      <c r="I159" s="617"/>
      <c r="J159" s="617"/>
      <c r="K159" s="1688">
        <f>H159</f>
        <v>0</v>
      </c>
      <c r="L159" s="467">
        <v>0</v>
      </c>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8">
        <f>SUM(C163:J163)</f>
        <v>0</v>
      </c>
      <c r="L163" s="466">
        <v>0</v>
      </c>
    </row>
    <row r="164" spans="1:14" x14ac:dyDescent="0.2">
      <c r="A164" s="1523" t="s">
        <v>90</v>
      </c>
      <c r="B164" s="615">
        <v>5120</v>
      </c>
      <c r="C164" s="617"/>
      <c r="D164" s="617"/>
      <c r="E164" s="617"/>
      <c r="F164" s="617"/>
      <c r="G164" s="617"/>
      <c r="H164" s="466"/>
      <c r="I164" s="617"/>
      <c r="J164" s="617"/>
      <c r="K164" s="1688">
        <f>SUM(C164:J164)</f>
        <v>0</v>
      </c>
      <c r="L164" s="466">
        <v>0</v>
      </c>
    </row>
    <row r="165" spans="1:14" ht="12.75" customHeight="1" x14ac:dyDescent="0.2">
      <c r="A165" s="1523" t="s">
        <v>1232</v>
      </c>
      <c r="B165" s="615" t="s">
        <v>638</v>
      </c>
      <c r="C165" s="617"/>
      <c r="D165" s="617"/>
      <c r="E165" s="617"/>
      <c r="F165" s="617"/>
      <c r="G165" s="617"/>
      <c r="H165" s="466"/>
      <c r="I165" s="617"/>
      <c r="J165" s="617"/>
      <c r="K165" s="1688">
        <f>SUM(C165:J165)</f>
        <v>0</v>
      </c>
      <c r="L165" s="466">
        <v>0</v>
      </c>
    </row>
    <row r="166" spans="1:14" x14ac:dyDescent="0.2">
      <c r="A166" s="1523" t="s">
        <v>91</v>
      </c>
      <c r="B166" s="629" t="s">
        <v>610</v>
      </c>
      <c r="C166" s="617"/>
      <c r="D166" s="617"/>
      <c r="E166" s="617"/>
      <c r="F166" s="617"/>
      <c r="G166" s="617"/>
      <c r="H166" s="466"/>
      <c r="I166" s="617"/>
      <c r="J166" s="617"/>
      <c r="K166" s="1688">
        <f>SUM(C166:J166)</f>
        <v>0</v>
      </c>
      <c r="L166" s="466">
        <v>0</v>
      </c>
    </row>
    <row r="167" spans="1:14" ht="12.75" customHeight="1" x14ac:dyDescent="0.2">
      <c r="A167" s="1523" t="s">
        <v>640</v>
      </c>
      <c r="B167" s="615" t="s">
        <v>639</v>
      </c>
      <c r="C167" s="617"/>
      <c r="D167" s="617"/>
      <c r="E167" s="617"/>
      <c r="F167" s="617"/>
      <c r="G167" s="617"/>
      <c r="H167" s="466"/>
      <c r="I167" s="617"/>
      <c r="J167" s="617"/>
      <c r="K167" s="1688">
        <f>SUM(C167:J167)</f>
        <v>0</v>
      </c>
      <c r="L167" s="466">
        <v>0</v>
      </c>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935651</v>
      </c>
      <c r="I169" s="617"/>
      <c r="J169" s="617"/>
      <c r="K169" s="1688">
        <f>SUM(C169:H169)</f>
        <v>935651</v>
      </c>
      <c r="L169" s="657">
        <v>734325</v>
      </c>
    </row>
    <row r="170" spans="1:14" ht="33.75" customHeight="1" x14ac:dyDescent="0.2">
      <c r="A170" s="670" t="s">
        <v>1769</v>
      </c>
      <c r="B170" s="672" t="s">
        <v>31</v>
      </c>
      <c r="C170" s="617"/>
      <c r="D170" s="617"/>
      <c r="E170" s="617"/>
      <c r="F170" s="617"/>
      <c r="G170" s="617"/>
      <c r="H170" s="569">
        <v>6064100</v>
      </c>
      <c r="I170" s="617"/>
      <c r="J170" s="617"/>
      <c r="K170" s="1688">
        <f>SUM(C170:J170)</f>
        <v>6064100</v>
      </c>
      <c r="L170" s="569">
        <v>3064100</v>
      </c>
    </row>
    <row r="171" spans="1:14" ht="15.75" customHeight="1" x14ac:dyDescent="0.2">
      <c r="A171" s="622" t="s">
        <v>790</v>
      </c>
      <c r="B171" s="673" t="s">
        <v>86</v>
      </c>
      <c r="C171" s="617"/>
      <c r="D171" s="617"/>
      <c r="E171" s="466"/>
      <c r="F171" s="617"/>
      <c r="G171" s="617"/>
      <c r="H171" s="569"/>
      <c r="I171" s="477"/>
      <c r="J171" s="617"/>
      <c r="K171" s="1688">
        <f>SUM(C171:J171)</f>
        <v>0</v>
      </c>
      <c r="L171" s="569">
        <v>0</v>
      </c>
    </row>
    <row r="172" spans="1:14" ht="12.75" customHeight="1" thickBot="1" x14ac:dyDescent="0.25">
      <c r="A172" s="1685" t="s">
        <v>659</v>
      </c>
      <c r="B172" s="1686" t="s">
        <v>513</v>
      </c>
      <c r="C172" s="617"/>
      <c r="D172" s="617"/>
      <c r="E172" s="1694">
        <f>SUM(E168,E169,E170,E171)</f>
        <v>0</v>
      </c>
      <c r="F172" s="617"/>
      <c r="G172" s="617"/>
      <c r="H172" s="1694">
        <f>SUM(H168,H169,H170,H171)</f>
        <v>6999751</v>
      </c>
      <c r="I172" s="639"/>
      <c r="J172" s="617"/>
      <c r="K172" s="1694">
        <f>SUM(K168,K169,K170,K171)</f>
        <v>6999751</v>
      </c>
      <c r="L172" s="1694">
        <f>SUM(L168,L169,L170,L171)</f>
        <v>3798425</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6999751</v>
      </c>
      <c r="I174" s="639"/>
      <c r="J174" s="617"/>
      <c r="K174" s="1694">
        <f>SUM(K160,K172,K173)</f>
        <v>6999751</v>
      </c>
      <c r="L174" s="1694">
        <f>SUM(L160,L172,L173)</f>
        <v>3798425</v>
      </c>
    </row>
    <row r="175" spans="1:14" ht="13.5" thickTop="1" x14ac:dyDescent="0.2">
      <c r="A175" s="2203" t="s">
        <v>1053</v>
      </c>
      <c r="B175" s="2204"/>
      <c r="C175" s="617"/>
      <c r="D175" s="617"/>
      <c r="E175" s="617"/>
      <c r="F175" s="617"/>
      <c r="G175" s="617"/>
      <c r="H175" s="619"/>
      <c r="I175" s="617"/>
      <c r="J175" s="617"/>
      <c r="K175" s="1701">
        <f>'Revenues 9-14'!E275-'Expenditures 15-22'!K174</f>
        <v>-2985448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2229</v>
      </c>
      <c r="D182" s="466">
        <v>422</v>
      </c>
      <c r="E182" s="466">
        <v>977018</v>
      </c>
      <c r="F182" s="466">
        <v>12369</v>
      </c>
      <c r="G182" s="466">
        <v>7539</v>
      </c>
      <c r="H182" s="466"/>
      <c r="I182" s="467"/>
      <c r="J182" s="467"/>
      <c r="K182" s="1688">
        <f>SUM(C182:J182)</f>
        <v>999577</v>
      </c>
      <c r="L182" s="466">
        <v>1562196</v>
      </c>
    </row>
    <row r="183" spans="1:14" ht="12.75" customHeight="1" thickBot="1" x14ac:dyDescent="0.25">
      <c r="A183" s="1528" t="s">
        <v>1037</v>
      </c>
      <c r="B183" s="678">
        <v>2900</v>
      </c>
      <c r="C183" s="573"/>
      <c r="D183" s="573"/>
      <c r="E183" s="573"/>
      <c r="F183" s="573"/>
      <c r="G183" s="573"/>
      <c r="H183" s="573"/>
      <c r="I183" s="532"/>
      <c r="J183" s="532"/>
      <c r="K183" s="1694">
        <f>SUM(C183:J183)</f>
        <v>0</v>
      </c>
      <c r="L183" s="573">
        <v>0</v>
      </c>
    </row>
    <row r="184" spans="1:14" ht="12.75" customHeight="1" thickTop="1" thickBot="1" x14ac:dyDescent="0.25">
      <c r="A184" s="1708" t="s">
        <v>865</v>
      </c>
      <c r="B184" s="1686" t="s">
        <v>590</v>
      </c>
      <c r="C184" s="1694">
        <f>SUM(C180,C182,C183)</f>
        <v>2229</v>
      </c>
      <c r="D184" s="1694">
        <f t="shared" ref="D184:J184" si="17">SUM(D180,D182,D183)</f>
        <v>422</v>
      </c>
      <c r="E184" s="1694">
        <f t="shared" si="17"/>
        <v>977018</v>
      </c>
      <c r="F184" s="1694">
        <f t="shared" si="17"/>
        <v>12369</v>
      </c>
      <c r="G184" s="1694">
        <f t="shared" si="17"/>
        <v>7539</v>
      </c>
      <c r="H184" s="1694">
        <f t="shared" si="17"/>
        <v>0</v>
      </c>
      <c r="I184" s="1694">
        <f t="shared" si="17"/>
        <v>0</v>
      </c>
      <c r="J184" s="1694">
        <f t="shared" si="17"/>
        <v>0</v>
      </c>
      <c r="K184" s="1694">
        <f>SUM(K180,K182,K183)</f>
        <v>999577</v>
      </c>
      <c r="L184" s="1694">
        <f>SUM(L180, L182:L183)</f>
        <v>1562196</v>
      </c>
    </row>
    <row r="185" spans="1:14" ht="15.75" customHeight="1" thickTop="1" thickBot="1" x14ac:dyDescent="0.25">
      <c r="A185" s="1641" t="s">
        <v>996</v>
      </c>
      <c r="B185" s="1630">
        <v>3000</v>
      </c>
      <c r="C185" s="576"/>
      <c r="D185" s="576"/>
      <c r="E185" s="576"/>
      <c r="F185" s="576"/>
      <c r="G185" s="576"/>
      <c r="H185" s="576"/>
      <c r="I185" s="531"/>
      <c r="J185" s="531"/>
      <c r="K185" s="1687">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8">
        <f t="shared" ref="K188:K193" si="18">SUM(E188,H188)</f>
        <v>0</v>
      </c>
      <c r="L188" s="466">
        <v>0</v>
      </c>
    </row>
    <row r="189" spans="1:14" x14ac:dyDescent="0.2">
      <c r="A189" s="1523" t="s">
        <v>322</v>
      </c>
      <c r="B189" s="615">
        <v>4120</v>
      </c>
      <c r="C189" s="617"/>
      <c r="D189" s="617"/>
      <c r="E189" s="466"/>
      <c r="F189" s="617"/>
      <c r="G189" s="617"/>
      <c r="H189" s="466"/>
      <c r="I189" s="477"/>
      <c r="J189" s="617"/>
      <c r="K189" s="1688">
        <f t="shared" si="18"/>
        <v>0</v>
      </c>
      <c r="L189" s="466">
        <v>0</v>
      </c>
    </row>
    <row r="190" spans="1:14" x14ac:dyDescent="0.2">
      <c r="A190" s="1523" t="s">
        <v>323</v>
      </c>
      <c r="B190" s="629">
        <v>4130</v>
      </c>
      <c r="C190" s="617"/>
      <c r="D190" s="617"/>
      <c r="E190" s="466"/>
      <c r="F190" s="617"/>
      <c r="G190" s="617"/>
      <c r="H190" s="466"/>
      <c r="I190" s="477"/>
      <c r="J190" s="617"/>
      <c r="K190" s="1688">
        <f t="shared" si="18"/>
        <v>0</v>
      </c>
      <c r="L190" s="466">
        <v>0</v>
      </c>
    </row>
    <row r="191" spans="1:14" x14ac:dyDescent="0.2">
      <c r="A191" s="1523" t="s">
        <v>721</v>
      </c>
      <c r="B191" s="615">
        <v>4140</v>
      </c>
      <c r="C191" s="617"/>
      <c r="D191" s="617"/>
      <c r="E191" s="466"/>
      <c r="F191" s="617"/>
      <c r="G191" s="617"/>
      <c r="H191" s="466"/>
      <c r="I191" s="477"/>
      <c r="J191" s="617"/>
      <c r="K191" s="1688">
        <f t="shared" si="18"/>
        <v>0</v>
      </c>
      <c r="L191" s="466">
        <v>0</v>
      </c>
    </row>
    <row r="192" spans="1:14" x14ac:dyDescent="0.2">
      <c r="A192" s="1523" t="s">
        <v>88</v>
      </c>
      <c r="B192" s="615">
        <v>4170</v>
      </c>
      <c r="C192" s="617"/>
      <c r="D192" s="617"/>
      <c r="E192" s="466"/>
      <c r="F192" s="617"/>
      <c r="G192" s="617"/>
      <c r="H192" s="466"/>
      <c r="I192" s="477"/>
      <c r="J192" s="617"/>
      <c r="K192" s="1688">
        <f t="shared" si="18"/>
        <v>0</v>
      </c>
      <c r="L192" s="466">
        <v>0</v>
      </c>
    </row>
    <row r="193" spans="1:14" x14ac:dyDescent="0.2">
      <c r="A193" s="1527" t="s">
        <v>722</v>
      </c>
      <c r="B193" s="629">
        <v>4190</v>
      </c>
      <c r="C193" s="617"/>
      <c r="D193" s="617"/>
      <c r="E193" s="466"/>
      <c r="F193" s="617"/>
      <c r="G193" s="617"/>
      <c r="H193" s="466"/>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8">
        <f>SUM(H199)</f>
        <v>0</v>
      </c>
      <c r="L199" s="466">
        <v>0</v>
      </c>
    </row>
    <row r="200" spans="1:14" x14ac:dyDescent="0.2">
      <c r="A200" s="1523" t="s">
        <v>90</v>
      </c>
      <c r="B200" s="615">
        <v>5120</v>
      </c>
      <c r="C200" s="617"/>
      <c r="D200" s="617"/>
      <c r="E200" s="617"/>
      <c r="F200" s="617"/>
      <c r="G200" s="617"/>
      <c r="H200" s="466"/>
      <c r="I200" s="617"/>
      <c r="J200" s="617"/>
      <c r="K200" s="1688">
        <f>SUM(H200)</f>
        <v>0</v>
      </c>
      <c r="L200" s="466">
        <v>0</v>
      </c>
    </row>
    <row r="201" spans="1:14" ht="12.75" customHeight="1" x14ac:dyDescent="0.2">
      <c r="A201" s="1523" t="s">
        <v>1232</v>
      </c>
      <c r="B201" s="629" t="s">
        <v>638</v>
      </c>
      <c r="C201" s="617"/>
      <c r="D201" s="617"/>
      <c r="E201" s="617"/>
      <c r="F201" s="617"/>
      <c r="G201" s="617"/>
      <c r="H201" s="466"/>
      <c r="I201" s="617"/>
      <c r="J201" s="617"/>
      <c r="K201" s="1688">
        <f>SUM(H201)</f>
        <v>0</v>
      </c>
      <c r="L201" s="466">
        <v>0</v>
      </c>
    </row>
    <row r="202" spans="1:14" x14ac:dyDescent="0.2">
      <c r="A202" s="1523" t="s">
        <v>91</v>
      </c>
      <c r="B202" s="615" t="s">
        <v>610</v>
      </c>
      <c r="C202" s="617"/>
      <c r="D202" s="617"/>
      <c r="E202" s="617"/>
      <c r="F202" s="617"/>
      <c r="G202" s="617"/>
      <c r="H202" s="466"/>
      <c r="I202" s="617"/>
      <c r="J202" s="617"/>
      <c r="K202" s="1688">
        <f>SUM(H202)</f>
        <v>0</v>
      </c>
      <c r="L202" s="466">
        <v>0</v>
      </c>
    </row>
    <row r="203" spans="1:14" x14ac:dyDescent="0.2">
      <c r="A203" s="1535" t="s">
        <v>640</v>
      </c>
      <c r="B203" s="615" t="s">
        <v>639</v>
      </c>
      <c r="C203" s="617"/>
      <c r="D203" s="617"/>
      <c r="E203" s="617"/>
      <c r="F203" s="617"/>
      <c r="G203" s="617"/>
      <c r="H203" s="471"/>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v>0</v>
      </c>
    </row>
    <row r="206" spans="1:14" ht="30" customHeight="1" x14ac:dyDescent="0.2">
      <c r="A206" s="682" t="s">
        <v>1770</v>
      </c>
      <c r="B206" s="673" t="s">
        <v>31</v>
      </c>
      <c r="C206" s="617"/>
      <c r="D206" s="617"/>
      <c r="E206" s="617"/>
      <c r="F206" s="617"/>
      <c r="G206" s="617"/>
      <c r="H206" s="466"/>
      <c r="I206" s="617"/>
      <c r="J206" s="617"/>
      <c r="K206" s="1688">
        <f>SUM(H206)</f>
        <v>0</v>
      </c>
      <c r="L206" s="466">
        <v>0</v>
      </c>
    </row>
    <row r="207" spans="1:14" ht="15.75" customHeight="1" x14ac:dyDescent="0.2">
      <c r="A207" s="622" t="s">
        <v>790</v>
      </c>
      <c r="B207" s="673" t="s">
        <v>86</v>
      </c>
      <c r="C207" s="617"/>
      <c r="D207" s="617"/>
      <c r="E207" s="617"/>
      <c r="F207" s="617"/>
      <c r="G207" s="617"/>
      <c r="H207" s="467"/>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2229</v>
      </c>
      <c r="D210" s="1687">
        <f>SUM(D184,D185)</f>
        <v>422</v>
      </c>
      <c r="E210" s="1687">
        <f>SUM(E184,E185,E196)</f>
        <v>977018</v>
      </c>
      <c r="F210" s="1687">
        <f>SUM(F184,F185)</f>
        <v>12369</v>
      </c>
      <c r="G210" s="1687">
        <f>SUM(G184,G185)</f>
        <v>7539</v>
      </c>
      <c r="H210" s="1687">
        <f>SUM(H184,H185,H196,H208,H209)</f>
        <v>0</v>
      </c>
      <c r="I210" s="1687">
        <f>SUM(I184,I185)</f>
        <v>0</v>
      </c>
      <c r="J210" s="1687">
        <f>SUM(J184,J185)</f>
        <v>0</v>
      </c>
      <c r="K210" s="1688">
        <f>SUM(K184,K185,K196,K208,K209)</f>
        <v>999577</v>
      </c>
      <c r="L210" s="1687">
        <f>SUM(L184,L185,L196,L208,L209)</f>
        <v>1562196</v>
      </c>
    </row>
    <row r="211" spans="1:14" ht="13.5" thickTop="1" x14ac:dyDescent="0.2">
      <c r="A211" s="2203" t="s">
        <v>1053</v>
      </c>
      <c r="B211" s="2204"/>
      <c r="C211" s="619"/>
      <c r="D211" s="619"/>
      <c r="E211" s="619"/>
      <c r="F211" s="619"/>
      <c r="G211" s="619"/>
      <c r="H211" s="619"/>
      <c r="I211" s="617"/>
      <c r="J211" s="617"/>
      <c r="K211" s="1701">
        <f>'Revenues 9-14'!F275-'Expenditures 15-22'!K210</f>
        <v>291994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447394</v>
      </c>
      <c r="E215" s="617"/>
      <c r="F215" s="617"/>
      <c r="G215" s="617"/>
      <c r="H215" s="617"/>
      <c r="I215" s="617"/>
      <c r="J215" s="617"/>
      <c r="K215" s="1688">
        <f>D215</f>
        <v>447394</v>
      </c>
      <c r="L215" s="466">
        <v>435769</v>
      </c>
    </row>
    <row r="216" spans="1:14" x14ac:dyDescent="0.2">
      <c r="A216" s="1523" t="s">
        <v>165</v>
      </c>
      <c r="B216" s="615" t="s">
        <v>1024</v>
      </c>
      <c r="C216" s="617"/>
      <c r="D216" s="467"/>
      <c r="E216" s="617"/>
      <c r="F216" s="617"/>
      <c r="G216" s="617"/>
      <c r="H216" s="617"/>
      <c r="I216" s="617"/>
      <c r="J216" s="617"/>
      <c r="K216" s="1688">
        <f t="shared" ref="K216:K228" si="19">D216</f>
        <v>0</v>
      </c>
      <c r="L216" s="466">
        <v>0</v>
      </c>
    </row>
    <row r="217" spans="1:14" x14ac:dyDescent="0.2">
      <c r="A217" s="1523" t="s">
        <v>166</v>
      </c>
      <c r="B217" s="615">
        <v>1200</v>
      </c>
      <c r="C217" s="617"/>
      <c r="D217" s="466">
        <v>264078</v>
      </c>
      <c r="E217" s="617"/>
      <c r="F217" s="617"/>
      <c r="G217" s="617"/>
      <c r="H217" s="617"/>
      <c r="I217" s="617"/>
      <c r="J217" s="617"/>
      <c r="K217" s="1688">
        <f t="shared" si="19"/>
        <v>264078</v>
      </c>
      <c r="L217" s="466">
        <v>307445</v>
      </c>
    </row>
    <row r="218" spans="1:14" x14ac:dyDescent="0.2">
      <c r="A218" s="1523" t="s">
        <v>296</v>
      </c>
      <c r="B218" s="615" t="s">
        <v>1025</v>
      </c>
      <c r="C218" s="617"/>
      <c r="D218" s="467">
        <v>1498</v>
      </c>
      <c r="E218" s="617"/>
      <c r="F218" s="617"/>
      <c r="G218" s="617"/>
      <c r="H218" s="617"/>
      <c r="I218" s="617"/>
      <c r="J218" s="617"/>
      <c r="K218" s="1688">
        <f t="shared" si="19"/>
        <v>1498</v>
      </c>
      <c r="L218" s="466">
        <v>1597</v>
      </c>
    </row>
    <row r="219" spans="1:14" x14ac:dyDescent="0.2">
      <c r="A219" s="1523" t="s">
        <v>297</v>
      </c>
      <c r="B219" s="615">
        <v>1250</v>
      </c>
      <c r="C219" s="617"/>
      <c r="D219" s="466">
        <v>95</v>
      </c>
      <c r="E219" s="617"/>
      <c r="F219" s="617"/>
      <c r="G219" s="617"/>
      <c r="H219" s="617"/>
      <c r="I219" s="617"/>
      <c r="J219" s="617"/>
      <c r="K219" s="1688">
        <f t="shared" si="19"/>
        <v>95</v>
      </c>
      <c r="L219" s="466">
        <v>102</v>
      </c>
    </row>
    <row r="220" spans="1:14" x14ac:dyDescent="0.2">
      <c r="A220" s="1523" t="s">
        <v>298</v>
      </c>
      <c r="B220" s="615" t="s">
        <v>163</v>
      </c>
      <c r="C220" s="617"/>
      <c r="D220" s="467"/>
      <c r="E220" s="617"/>
      <c r="F220" s="617"/>
      <c r="G220" s="617"/>
      <c r="H220" s="617"/>
      <c r="I220" s="617"/>
      <c r="J220" s="617"/>
      <c r="K220" s="1688">
        <f t="shared" si="19"/>
        <v>0</v>
      </c>
      <c r="L220" s="466">
        <v>11</v>
      </c>
    </row>
    <row r="221" spans="1:14" x14ac:dyDescent="0.2">
      <c r="A221" s="1523" t="s">
        <v>1019</v>
      </c>
      <c r="B221" s="615">
        <v>1300</v>
      </c>
      <c r="C221" s="617"/>
      <c r="D221" s="466"/>
      <c r="E221" s="617"/>
      <c r="F221" s="617"/>
      <c r="G221" s="617"/>
      <c r="H221" s="617"/>
      <c r="I221" s="617"/>
      <c r="J221" s="617"/>
      <c r="K221" s="1688">
        <f t="shared" si="19"/>
        <v>0</v>
      </c>
      <c r="L221" s="466">
        <v>0</v>
      </c>
    </row>
    <row r="222" spans="1:14" x14ac:dyDescent="0.2">
      <c r="A222" s="1523" t="s">
        <v>747</v>
      </c>
      <c r="B222" s="615">
        <v>1400</v>
      </c>
      <c r="C222" s="617"/>
      <c r="D222" s="466"/>
      <c r="E222" s="617"/>
      <c r="F222" s="617"/>
      <c r="G222" s="617"/>
      <c r="H222" s="617"/>
      <c r="I222" s="617"/>
      <c r="J222" s="617"/>
      <c r="K222" s="1688">
        <f t="shared" si="19"/>
        <v>0</v>
      </c>
      <c r="L222" s="466">
        <v>0</v>
      </c>
    </row>
    <row r="223" spans="1:14" x14ac:dyDescent="0.2">
      <c r="A223" s="1523" t="s">
        <v>1020</v>
      </c>
      <c r="B223" s="615">
        <v>1500</v>
      </c>
      <c r="C223" s="617"/>
      <c r="D223" s="466">
        <v>37893</v>
      </c>
      <c r="E223" s="617"/>
      <c r="F223" s="617"/>
      <c r="G223" s="617"/>
      <c r="H223" s="617"/>
      <c r="I223" s="617"/>
      <c r="J223" s="617"/>
      <c r="K223" s="1688">
        <f t="shared" si="19"/>
        <v>37893</v>
      </c>
      <c r="L223" s="466">
        <v>39084</v>
      </c>
    </row>
    <row r="224" spans="1:14" x14ac:dyDescent="0.2">
      <c r="A224" s="1523" t="s">
        <v>1021</v>
      </c>
      <c r="B224" s="615">
        <v>1600</v>
      </c>
      <c r="C224" s="617"/>
      <c r="D224" s="466">
        <v>3594</v>
      </c>
      <c r="E224" s="617"/>
      <c r="F224" s="617"/>
      <c r="G224" s="617"/>
      <c r="H224" s="617"/>
      <c r="I224" s="617"/>
      <c r="J224" s="617"/>
      <c r="K224" s="1688">
        <f t="shared" si="19"/>
        <v>3594</v>
      </c>
      <c r="L224" s="466">
        <v>6199</v>
      </c>
    </row>
    <row r="225" spans="1:12" x14ac:dyDescent="0.2">
      <c r="A225" s="1523" t="s">
        <v>1044</v>
      </c>
      <c r="B225" s="615">
        <v>1650</v>
      </c>
      <c r="C225" s="617"/>
      <c r="D225" s="466">
        <v>6867</v>
      </c>
      <c r="E225" s="617"/>
      <c r="F225" s="617"/>
      <c r="G225" s="617"/>
      <c r="H225" s="617"/>
      <c r="I225" s="617"/>
      <c r="J225" s="617"/>
      <c r="K225" s="1688">
        <f t="shared" si="19"/>
        <v>6867</v>
      </c>
      <c r="L225" s="466">
        <v>7557</v>
      </c>
    </row>
    <row r="226" spans="1:12" x14ac:dyDescent="0.2">
      <c r="A226" s="1523" t="s">
        <v>748</v>
      </c>
      <c r="B226" s="615" t="s">
        <v>164</v>
      </c>
      <c r="C226" s="617"/>
      <c r="D226" s="467">
        <v>2348</v>
      </c>
      <c r="E226" s="617"/>
      <c r="F226" s="617"/>
      <c r="G226" s="617"/>
      <c r="H226" s="617"/>
      <c r="I226" s="617"/>
      <c r="J226" s="617"/>
      <c r="K226" s="1688">
        <f t="shared" si="19"/>
        <v>2348</v>
      </c>
      <c r="L226" s="466">
        <v>2462</v>
      </c>
    </row>
    <row r="227" spans="1:12" x14ac:dyDescent="0.2">
      <c r="A227" s="1523" t="s">
        <v>1148</v>
      </c>
      <c r="B227" s="615">
        <v>1800</v>
      </c>
      <c r="C227" s="617"/>
      <c r="D227" s="466">
        <v>12678</v>
      </c>
      <c r="E227" s="617"/>
      <c r="F227" s="617"/>
      <c r="G227" s="617"/>
      <c r="H227" s="617"/>
      <c r="I227" s="617"/>
      <c r="J227" s="617"/>
      <c r="K227" s="1688">
        <f t="shared" si="19"/>
        <v>12678</v>
      </c>
      <c r="L227" s="466">
        <v>13934</v>
      </c>
    </row>
    <row r="228" spans="1:12" x14ac:dyDescent="0.2">
      <c r="A228" s="1523" t="s">
        <v>1149</v>
      </c>
      <c r="B228" s="615">
        <v>1900</v>
      </c>
      <c r="C228" s="617"/>
      <c r="D228" s="466">
        <v>19746</v>
      </c>
      <c r="E228" s="617"/>
      <c r="F228" s="617"/>
      <c r="G228" s="617"/>
      <c r="H228" s="617"/>
      <c r="I228" s="617"/>
      <c r="J228" s="617"/>
      <c r="K228" s="1688">
        <f t="shared" si="19"/>
        <v>19746</v>
      </c>
      <c r="L228" s="466">
        <v>21125</v>
      </c>
    </row>
    <row r="229" spans="1:12" ht="12.75" customHeight="1" thickBot="1" x14ac:dyDescent="0.25">
      <c r="A229" s="1685" t="s">
        <v>739</v>
      </c>
      <c r="B229" s="1692" t="s">
        <v>591</v>
      </c>
      <c r="C229" s="617"/>
      <c r="D229" s="1687">
        <f>SUM(D215:D228)</f>
        <v>796191</v>
      </c>
      <c r="E229" s="617"/>
      <c r="F229" s="617"/>
      <c r="G229" s="617"/>
      <c r="H229" s="617"/>
      <c r="I229" s="617"/>
      <c r="J229" s="617"/>
      <c r="K229" s="1687">
        <f>SUM(K215:K228)</f>
        <v>796191</v>
      </c>
      <c r="L229" s="1687">
        <f>SUM(L215:L228)</f>
        <v>835285</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14258</v>
      </c>
      <c r="E232" s="617"/>
      <c r="F232" s="617"/>
      <c r="G232" s="617"/>
      <c r="H232" s="617"/>
      <c r="I232" s="617"/>
      <c r="J232" s="617"/>
      <c r="K232" s="1688">
        <f t="shared" ref="K232:K237" si="20">D232</f>
        <v>14258</v>
      </c>
      <c r="L232" s="466">
        <v>14266</v>
      </c>
    </row>
    <row r="233" spans="1:12" x14ac:dyDescent="0.2">
      <c r="A233" s="1523" t="s">
        <v>1151</v>
      </c>
      <c r="B233" s="615">
        <v>2120</v>
      </c>
      <c r="C233" s="617"/>
      <c r="D233" s="466"/>
      <c r="E233" s="617"/>
      <c r="F233" s="617"/>
      <c r="G233" s="617"/>
      <c r="H233" s="617"/>
      <c r="I233" s="617"/>
      <c r="J233" s="617"/>
      <c r="K233" s="1688">
        <f t="shared" si="20"/>
        <v>0</v>
      </c>
      <c r="L233" s="466">
        <v>0</v>
      </c>
    </row>
    <row r="234" spans="1:12" x14ac:dyDescent="0.2">
      <c r="A234" s="1523" t="s">
        <v>207</v>
      </c>
      <c r="B234" s="615">
        <v>2130</v>
      </c>
      <c r="C234" s="617"/>
      <c r="D234" s="466">
        <v>124201</v>
      </c>
      <c r="E234" s="617"/>
      <c r="F234" s="617"/>
      <c r="G234" s="617"/>
      <c r="H234" s="617"/>
      <c r="I234" s="617"/>
      <c r="J234" s="617"/>
      <c r="K234" s="1688">
        <f t="shared" si="20"/>
        <v>124201</v>
      </c>
      <c r="L234" s="466">
        <v>127790</v>
      </c>
    </row>
    <row r="235" spans="1:12" x14ac:dyDescent="0.2">
      <c r="A235" s="1523" t="s">
        <v>208</v>
      </c>
      <c r="B235" s="615">
        <v>2140</v>
      </c>
      <c r="C235" s="617"/>
      <c r="D235" s="466">
        <v>3560</v>
      </c>
      <c r="E235" s="617"/>
      <c r="F235" s="617"/>
      <c r="G235" s="617"/>
      <c r="H235" s="617"/>
      <c r="I235" s="617"/>
      <c r="J235" s="617"/>
      <c r="K235" s="1688">
        <f t="shared" si="20"/>
        <v>3560</v>
      </c>
      <c r="L235" s="466">
        <v>4401</v>
      </c>
    </row>
    <row r="236" spans="1:12" x14ac:dyDescent="0.2">
      <c r="A236" s="1523" t="s">
        <v>209</v>
      </c>
      <c r="B236" s="615">
        <v>2150</v>
      </c>
      <c r="C236" s="617"/>
      <c r="D236" s="466">
        <v>11818</v>
      </c>
      <c r="E236" s="617"/>
      <c r="F236" s="617"/>
      <c r="G236" s="617"/>
      <c r="H236" s="617"/>
      <c r="I236" s="617"/>
      <c r="J236" s="617"/>
      <c r="K236" s="1688">
        <f t="shared" si="20"/>
        <v>11818</v>
      </c>
      <c r="L236" s="466">
        <v>12079</v>
      </c>
    </row>
    <row r="237" spans="1:12" x14ac:dyDescent="0.2">
      <c r="A237" s="1523" t="s">
        <v>167</v>
      </c>
      <c r="B237" s="615">
        <v>2190</v>
      </c>
      <c r="C237" s="617"/>
      <c r="D237" s="466">
        <v>2267</v>
      </c>
      <c r="E237" s="617"/>
      <c r="F237" s="617"/>
      <c r="G237" s="617"/>
      <c r="H237" s="617"/>
      <c r="I237" s="617"/>
      <c r="J237" s="617"/>
      <c r="K237" s="1688">
        <f t="shared" si="20"/>
        <v>2267</v>
      </c>
      <c r="L237" s="466">
        <v>3806</v>
      </c>
    </row>
    <row r="238" spans="1:12" ht="12.75" customHeight="1" thickBot="1" x14ac:dyDescent="0.25">
      <c r="A238" s="1685" t="s">
        <v>581</v>
      </c>
      <c r="B238" s="1692" t="s">
        <v>740</v>
      </c>
      <c r="C238" s="617"/>
      <c r="D238" s="1687">
        <f>SUM(D232:D237)</f>
        <v>156104</v>
      </c>
      <c r="E238" s="617"/>
      <c r="F238" s="617"/>
      <c r="G238" s="617"/>
      <c r="H238" s="617"/>
      <c r="I238" s="617"/>
      <c r="J238" s="617"/>
      <c r="K238" s="1687">
        <f>SUM(K232:K237)</f>
        <v>156104</v>
      </c>
      <c r="L238" s="1687">
        <f>SUM(L232:L237)</f>
        <v>162342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17163</v>
      </c>
      <c r="E240" s="617"/>
      <c r="F240" s="617"/>
      <c r="G240" s="617"/>
      <c r="H240" s="617"/>
      <c r="I240" s="617"/>
      <c r="J240" s="617"/>
      <c r="K240" s="1689">
        <f>D240</f>
        <v>17163</v>
      </c>
      <c r="L240" s="481">
        <v>14718</v>
      </c>
    </row>
    <row r="241" spans="1:12" x14ac:dyDescent="0.2">
      <c r="A241" s="1523" t="s">
        <v>869</v>
      </c>
      <c r="B241" s="615">
        <v>2220</v>
      </c>
      <c r="C241" s="617"/>
      <c r="D241" s="466">
        <v>29550</v>
      </c>
      <c r="E241" s="617"/>
      <c r="F241" s="617"/>
      <c r="G241" s="617"/>
      <c r="H241" s="617"/>
      <c r="I241" s="617"/>
      <c r="J241" s="617"/>
      <c r="K241" s="1689">
        <f>D241</f>
        <v>29550</v>
      </c>
      <c r="L241" s="466">
        <v>11337</v>
      </c>
    </row>
    <row r="242" spans="1:12" x14ac:dyDescent="0.2">
      <c r="A242" s="1523" t="s">
        <v>870</v>
      </c>
      <c r="B242" s="615">
        <v>2230</v>
      </c>
      <c r="C242" s="617"/>
      <c r="D242" s="466"/>
      <c r="E242" s="617"/>
      <c r="F242" s="617"/>
      <c r="G242" s="617"/>
      <c r="H242" s="617"/>
      <c r="I242" s="617"/>
      <c r="J242" s="617"/>
      <c r="K242" s="1689">
        <f>D242</f>
        <v>0</v>
      </c>
      <c r="L242" s="466">
        <v>0</v>
      </c>
    </row>
    <row r="243" spans="1:12" ht="12.75" customHeight="1" thickBot="1" x14ac:dyDescent="0.25">
      <c r="A243" s="1711" t="s">
        <v>582</v>
      </c>
      <c r="B243" s="1712">
        <v>2200</v>
      </c>
      <c r="C243" s="617"/>
      <c r="D243" s="1687">
        <f>SUM(D240:D242)</f>
        <v>46713</v>
      </c>
      <c r="E243" s="617"/>
      <c r="F243" s="617"/>
      <c r="G243" s="617"/>
      <c r="H243" s="617"/>
      <c r="I243" s="617"/>
      <c r="J243" s="617"/>
      <c r="K243" s="1687">
        <f>SUM(K240:K242)</f>
        <v>46713</v>
      </c>
      <c r="L243" s="1687">
        <f>SUM(L240:L242)</f>
        <v>26055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4613</v>
      </c>
      <c r="E245" s="617"/>
      <c r="F245" s="617"/>
      <c r="G245" s="617"/>
      <c r="H245" s="617"/>
      <c r="I245" s="617"/>
      <c r="J245" s="617"/>
      <c r="K245" s="1689">
        <f>D245</f>
        <v>4613</v>
      </c>
      <c r="L245" s="481">
        <v>2355</v>
      </c>
    </row>
    <row r="246" spans="1:12" x14ac:dyDescent="0.2">
      <c r="A246" s="1523" t="s">
        <v>872</v>
      </c>
      <c r="B246" s="615">
        <v>2320</v>
      </c>
      <c r="C246" s="617"/>
      <c r="D246" s="466">
        <v>17431</v>
      </c>
      <c r="E246" s="617"/>
      <c r="F246" s="617"/>
      <c r="G246" s="617"/>
      <c r="H246" s="617"/>
      <c r="I246" s="617"/>
      <c r="J246" s="617"/>
      <c r="K246" s="1689">
        <f t="shared" ref="K246:K256" si="21">D246</f>
        <v>17431</v>
      </c>
      <c r="L246" s="466">
        <v>17636</v>
      </c>
    </row>
    <row r="247" spans="1:12" x14ac:dyDescent="0.2">
      <c r="A247" s="1523" t="s">
        <v>873</v>
      </c>
      <c r="B247" s="615">
        <v>2330</v>
      </c>
      <c r="C247" s="617"/>
      <c r="D247" s="466">
        <v>25842</v>
      </c>
      <c r="E247" s="617"/>
      <c r="F247" s="617"/>
      <c r="G247" s="617"/>
      <c r="H247" s="617"/>
      <c r="I247" s="617"/>
      <c r="J247" s="617"/>
      <c r="K247" s="1689">
        <f t="shared" si="21"/>
        <v>25842</v>
      </c>
      <c r="L247" s="466">
        <v>25215</v>
      </c>
    </row>
    <row r="248" spans="1:12" x14ac:dyDescent="0.2">
      <c r="A248" s="1524" t="s">
        <v>317</v>
      </c>
      <c r="B248" s="603" t="s">
        <v>299</v>
      </c>
      <c r="C248" s="617"/>
      <c r="D248" s="474"/>
      <c r="E248" s="617"/>
      <c r="F248" s="617"/>
      <c r="G248" s="617"/>
      <c r="H248" s="617"/>
      <c r="I248" s="617"/>
      <c r="J248" s="617"/>
      <c r="K248" s="1689">
        <f t="shared" si="21"/>
        <v>0</v>
      </c>
      <c r="L248" s="466">
        <v>0</v>
      </c>
    </row>
    <row r="249" spans="1:12" x14ac:dyDescent="0.2">
      <c r="A249" s="1525" t="s">
        <v>1906</v>
      </c>
      <c r="B249" s="684" t="s">
        <v>300</v>
      </c>
      <c r="C249" s="617"/>
      <c r="D249" s="474"/>
      <c r="E249" s="617"/>
      <c r="F249" s="617"/>
      <c r="G249" s="617"/>
      <c r="H249" s="617"/>
      <c r="I249" s="617"/>
      <c r="J249" s="617"/>
      <c r="K249" s="1689">
        <f t="shared" si="21"/>
        <v>0</v>
      </c>
      <c r="L249" s="466">
        <v>0</v>
      </c>
    </row>
    <row r="250" spans="1:12" x14ac:dyDescent="0.2">
      <c r="A250" s="1524" t="s">
        <v>1907</v>
      </c>
      <c r="B250" s="603" t="s">
        <v>301</v>
      </c>
      <c r="C250" s="617"/>
      <c r="D250" s="474"/>
      <c r="E250" s="617"/>
      <c r="F250" s="617"/>
      <c r="G250" s="617"/>
      <c r="H250" s="617"/>
      <c r="I250" s="617"/>
      <c r="J250" s="617"/>
      <c r="K250" s="1689">
        <f t="shared" si="21"/>
        <v>0</v>
      </c>
      <c r="L250" s="466">
        <v>0</v>
      </c>
    </row>
    <row r="251" spans="1:12" x14ac:dyDescent="0.2">
      <c r="A251" s="1524" t="s">
        <v>256</v>
      </c>
      <c r="B251" s="603" t="s">
        <v>302</v>
      </c>
      <c r="C251" s="617"/>
      <c r="D251" s="474"/>
      <c r="E251" s="617"/>
      <c r="F251" s="617"/>
      <c r="G251" s="617"/>
      <c r="H251" s="617"/>
      <c r="I251" s="617"/>
      <c r="J251" s="617"/>
      <c r="K251" s="1689">
        <f t="shared" si="21"/>
        <v>0</v>
      </c>
      <c r="L251" s="466">
        <v>0</v>
      </c>
    </row>
    <row r="252" spans="1:12" x14ac:dyDescent="0.2">
      <c r="A252" s="1524" t="s">
        <v>726</v>
      </c>
      <c r="B252" s="603" t="s">
        <v>303</v>
      </c>
      <c r="C252" s="617"/>
      <c r="D252" s="474"/>
      <c r="E252" s="617"/>
      <c r="F252" s="617"/>
      <c r="G252" s="617"/>
      <c r="H252" s="617"/>
      <c r="I252" s="617"/>
      <c r="J252" s="617"/>
      <c r="K252" s="1689">
        <f t="shared" si="21"/>
        <v>0</v>
      </c>
      <c r="L252" s="466">
        <v>0</v>
      </c>
    </row>
    <row r="253" spans="1:12" x14ac:dyDescent="0.2">
      <c r="A253" s="1524" t="s">
        <v>257</v>
      </c>
      <c r="B253" s="603" t="s">
        <v>304</v>
      </c>
      <c r="C253" s="617"/>
      <c r="D253" s="474"/>
      <c r="E253" s="617"/>
      <c r="F253" s="617"/>
      <c r="G253" s="617"/>
      <c r="H253" s="617"/>
      <c r="I253" s="617"/>
      <c r="J253" s="617"/>
      <c r="K253" s="1689">
        <f t="shared" si="21"/>
        <v>0</v>
      </c>
      <c r="L253" s="466">
        <v>0</v>
      </c>
    </row>
    <row r="254" spans="1:12" ht="22.5" x14ac:dyDescent="0.2">
      <c r="A254" s="1524" t="s">
        <v>1087</v>
      </c>
      <c r="B254" s="684" t="s">
        <v>305</v>
      </c>
      <c r="C254" s="617"/>
      <c r="D254" s="474"/>
      <c r="E254" s="617"/>
      <c r="F254" s="617"/>
      <c r="G254" s="617"/>
      <c r="H254" s="617"/>
      <c r="I254" s="617"/>
      <c r="J254" s="617"/>
      <c r="K254" s="1689">
        <f t="shared" si="21"/>
        <v>0</v>
      </c>
      <c r="L254" s="466">
        <v>0</v>
      </c>
    </row>
    <row r="255" spans="1:12" x14ac:dyDescent="0.2">
      <c r="A255" s="1524" t="s">
        <v>1088</v>
      </c>
      <c r="B255" s="603" t="s">
        <v>306</v>
      </c>
      <c r="C255" s="617"/>
      <c r="D255" s="474"/>
      <c r="E255" s="617"/>
      <c r="F255" s="617"/>
      <c r="G255" s="617"/>
      <c r="H255" s="617"/>
      <c r="I255" s="617"/>
      <c r="J255" s="617"/>
      <c r="K255" s="1689">
        <f t="shared" si="21"/>
        <v>0</v>
      </c>
      <c r="L255" s="466">
        <v>0</v>
      </c>
    </row>
    <row r="256" spans="1:12" x14ac:dyDescent="0.2">
      <c r="A256" s="1524" t="s">
        <v>1028</v>
      </c>
      <c r="B256" s="615" t="s">
        <v>307</v>
      </c>
      <c r="C256" s="617"/>
      <c r="D256" s="474"/>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47886</v>
      </c>
      <c r="E257" s="617"/>
      <c r="F257" s="617"/>
      <c r="G257" s="617"/>
      <c r="H257" s="617"/>
      <c r="I257" s="617"/>
      <c r="J257" s="617"/>
      <c r="K257" s="1687">
        <f>SUM(K245:K256)</f>
        <v>47886</v>
      </c>
      <c r="L257" s="1687">
        <f>SUM(L245:L256)</f>
        <v>45206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229438</v>
      </c>
      <c r="E259" s="617"/>
      <c r="F259" s="617"/>
      <c r="G259" s="617"/>
      <c r="H259" s="617"/>
      <c r="I259" s="617"/>
      <c r="J259" s="617"/>
      <c r="K259" s="1689">
        <f>D259</f>
        <v>229438</v>
      </c>
      <c r="L259" s="481">
        <v>214575</v>
      </c>
    </row>
    <row r="260" spans="1:14" s="598" customFormat="1" x14ac:dyDescent="0.2">
      <c r="A260" s="1541" t="s">
        <v>1905</v>
      </c>
      <c r="B260" s="629">
        <v>2490</v>
      </c>
      <c r="C260" s="617"/>
      <c r="D260" s="466">
        <v>15140</v>
      </c>
      <c r="E260" s="617"/>
      <c r="F260" s="617"/>
      <c r="G260" s="617"/>
      <c r="H260" s="617"/>
      <c r="I260" s="617"/>
      <c r="J260" s="617"/>
      <c r="K260" s="1689">
        <f>D260</f>
        <v>15140</v>
      </c>
      <c r="L260" s="466">
        <v>14963</v>
      </c>
      <c r="M260" s="210"/>
      <c r="N260" s="210"/>
    </row>
    <row r="261" spans="1:14" ht="12.75" customHeight="1" thickBot="1" x14ac:dyDescent="0.25">
      <c r="A261" s="1709" t="s">
        <v>281</v>
      </c>
      <c r="B261" s="1714" t="s">
        <v>34</v>
      </c>
      <c r="C261" s="617"/>
      <c r="D261" s="1687">
        <f>SUM(D259:D260)</f>
        <v>244578</v>
      </c>
      <c r="E261" s="617"/>
      <c r="F261" s="617"/>
      <c r="G261" s="617"/>
      <c r="H261" s="617"/>
      <c r="I261" s="617"/>
      <c r="J261" s="617"/>
      <c r="K261" s="1687">
        <f>SUM(K259:K260)</f>
        <v>244578</v>
      </c>
      <c r="L261" s="1687">
        <f>SUM(L259:L260)</f>
        <v>229538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v>39346</v>
      </c>
      <c r="E263" s="617"/>
      <c r="F263" s="617"/>
      <c r="G263" s="617"/>
      <c r="H263" s="617"/>
      <c r="I263" s="617"/>
      <c r="J263" s="617"/>
      <c r="K263" s="1689">
        <f>D263</f>
        <v>39346</v>
      </c>
      <c r="L263" s="481">
        <v>31047</v>
      </c>
    </row>
    <row r="264" spans="1:14" x14ac:dyDescent="0.2">
      <c r="A264" s="1523" t="s">
        <v>483</v>
      </c>
      <c r="B264" s="686">
        <v>2520</v>
      </c>
      <c r="C264" s="617"/>
      <c r="D264" s="466">
        <v>72597</v>
      </c>
      <c r="E264" s="617"/>
      <c r="F264" s="617"/>
      <c r="G264" s="617"/>
      <c r="H264" s="617"/>
      <c r="I264" s="617"/>
      <c r="J264" s="617"/>
      <c r="K264" s="1689">
        <f t="shared" ref="K264:K269" si="22">D264</f>
        <v>72597</v>
      </c>
      <c r="L264" s="466">
        <v>74678</v>
      </c>
    </row>
    <row r="265" spans="1:14" x14ac:dyDescent="0.2">
      <c r="A265" s="1523" t="s">
        <v>4</v>
      </c>
      <c r="B265" s="615">
        <v>2530</v>
      </c>
      <c r="C265" s="617"/>
      <c r="D265" s="466"/>
      <c r="E265" s="617"/>
      <c r="F265" s="617"/>
      <c r="G265" s="617"/>
      <c r="H265" s="617"/>
      <c r="I265" s="617"/>
      <c r="J265" s="617"/>
      <c r="K265" s="1689">
        <f t="shared" si="22"/>
        <v>0</v>
      </c>
      <c r="L265" s="466">
        <v>0</v>
      </c>
    </row>
    <row r="266" spans="1:14" x14ac:dyDescent="0.2">
      <c r="A266" s="1523" t="s">
        <v>206</v>
      </c>
      <c r="B266" s="615">
        <v>2540</v>
      </c>
      <c r="C266" s="617"/>
      <c r="D266" s="466">
        <v>725801</v>
      </c>
      <c r="E266" s="617"/>
      <c r="F266" s="617"/>
      <c r="G266" s="617"/>
      <c r="H266" s="617"/>
      <c r="I266" s="617"/>
      <c r="J266" s="617"/>
      <c r="K266" s="1689">
        <f t="shared" si="22"/>
        <v>725801</v>
      </c>
      <c r="L266" s="466">
        <v>755006</v>
      </c>
    </row>
    <row r="267" spans="1:14" x14ac:dyDescent="0.2">
      <c r="A267" s="1523" t="s">
        <v>1010</v>
      </c>
      <c r="B267" s="615">
        <v>2550</v>
      </c>
      <c r="C267" s="617"/>
      <c r="D267" s="466"/>
      <c r="E267" s="617"/>
      <c r="F267" s="617"/>
      <c r="G267" s="617"/>
      <c r="H267" s="617"/>
      <c r="I267" s="617"/>
      <c r="J267" s="617"/>
      <c r="K267" s="1689">
        <f t="shared" si="22"/>
        <v>0</v>
      </c>
      <c r="L267" s="466">
        <v>0</v>
      </c>
    </row>
    <row r="268" spans="1:14" x14ac:dyDescent="0.2">
      <c r="A268" s="1523" t="s">
        <v>102</v>
      </c>
      <c r="B268" s="615">
        <v>2560</v>
      </c>
      <c r="C268" s="617"/>
      <c r="D268" s="466">
        <v>23104</v>
      </c>
      <c r="E268" s="617"/>
      <c r="F268" s="617"/>
      <c r="G268" s="617"/>
      <c r="H268" s="617"/>
      <c r="I268" s="617"/>
      <c r="J268" s="617"/>
      <c r="K268" s="1689">
        <f t="shared" si="22"/>
        <v>23104</v>
      </c>
      <c r="L268" s="466">
        <v>22191</v>
      </c>
    </row>
    <row r="269" spans="1:14" x14ac:dyDescent="0.2">
      <c r="A269" s="1523" t="s">
        <v>103</v>
      </c>
      <c r="B269" s="615">
        <v>2570</v>
      </c>
      <c r="C269" s="617"/>
      <c r="D269" s="466"/>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860848</v>
      </c>
      <c r="E270" s="617"/>
      <c r="F270" s="617"/>
      <c r="G270" s="617"/>
      <c r="H270" s="617"/>
      <c r="I270" s="617"/>
      <c r="J270" s="617"/>
      <c r="K270" s="1687">
        <f>SUM(K263:K269)</f>
        <v>860848</v>
      </c>
      <c r="L270" s="1687">
        <f>SUM(L263:L269)</f>
        <v>882922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9">
        <f>D272</f>
        <v>0</v>
      </c>
      <c r="L272" s="481">
        <v>0</v>
      </c>
    </row>
    <row r="273" spans="1:12" x14ac:dyDescent="0.2">
      <c r="A273" s="1523" t="s">
        <v>628</v>
      </c>
      <c r="B273" s="629">
        <v>2620</v>
      </c>
      <c r="C273" s="617"/>
      <c r="D273" s="466"/>
      <c r="E273" s="617"/>
      <c r="F273" s="617"/>
      <c r="G273" s="617"/>
      <c r="H273" s="617"/>
      <c r="I273" s="617"/>
      <c r="J273" s="617"/>
      <c r="K273" s="1689">
        <f>D273</f>
        <v>0</v>
      </c>
      <c r="L273" s="466">
        <v>0</v>
      </c>
    </row>
    <row r="274" spans="1:12" ht="12" customHeight="1" x14ac:dyDescent="0.2">
      <c r="A274" s="1523" t="s">
        <v>1121</v>
      </c>
      <c r="B274" s="615">
        <v>2630</v>
      </c>
      <c r="C274" s="617"/>
      <c r="D274" s="466"/>
      <c r="E274" s="617"/>
      <c r="F274" s="617"/>
      <c r="G274" s="617"/>
      <c r="H274" s="617"/>
      <c r="I274" s="617"/>
      <c r="J274" s="617"/>
      <c r="K274" s="1689">
        <f>D274</f>
        <v>0</v>
      </c>
      <c r="L274" s="466">
        <v>0</v>
      </c>
    </row>
    <row r="275" spans="1:12" x14ac:dyDescent="0.2">
      <c r="A275" s="1523" t="s">
        <v>423</v>
      </c>
      <c r="B275" s="615">
        <v>2640</v>
      </c>
      <c r="C275" s="617"/>
      <c r="D275" s="466">
        <v>66103</v>
      </c>
      <c r="E275" s="617"/>
      <c r="F275" s="617"/>
      <c r="G275" s="617"/>
      <c r="H275" s="617"/>
      <c r="I275" s="617"/>
      <c r="J275" s="617"/>
      <c r="K275" s="1689">
        <f>D275</f>
        <v>66103</v>
      </c>
      <c r="L275" s="466">
        <v>55481</v>
      </c>
    </row>
    <row r="276" spans="1:12" x14ac:dyDescent="0.2">
      <c r="A276" s="1523" t="s">
        <v>424</v>
      </c>
      <c r="B276" s="615">
        <v>2660</v>
      </c>
      <c r="C276" s="617"/>
      <c r="D276" s="466">
        <v>164286</v>
      </c>
      <c r="E276" s="617"/>
      <c r="F276" s="617"/>
      <c r="G276" s="617"/>
      <c r="H276" s="617"/>
      <c r="I276" s="617"/>
      <c r="J276" s="617"/>
      <c r="K276" s="1689">
        <f>D276</f>
        <v>164286</v>
      </c>
      <c r="L276" s="466">
        <v>149466</v>
      </c>
    </row>
    <row r="277" spans="1:12" ht="12.75" customHeight="1" thickBot="1" x14ac:dyDescent="0.25">
      <c r="A277" s="1708" t="s">
        <v>37</v>
      </c>
      <c r="B277" s="1686" t="s">
        <v>36</v>
      </c>
      <c r="C277" s="617"/>
      <c r="D277" s="1687">
        <f>SUM(D272:D276)</f>
        <v>230389</v>
      </c>
      <c r="E277" s="617"/>
      <c r="F277" s="617"/>
      <c r="G277" s="617"/>
      <c r="H277" s="617"/>
      <c r="I277" s="617"/>
      <c r="J277" s="617"/>
      <c r="K277" s="1687">
        <f>SUM(K272:K276)</f>
        <v>230389</v>
      </c>
      <c r="L277" s="1687">
        <f>SUM(L272:L276)</f>
        <v>204947</v>
      </c>
    </row>
    <row r="278" spans="1:12" ht="13.5" customHeight="1" thickTop="1" x14ac:dyDescent="0.2">
      <c r="A278" s="1529" t="s">
        <v>1037</v>
      </c>
      <c r="B278" s="656" t="s">
        <v>595</v>
      </c>
      <c r="C278" s="617"/>
      <c r="D278" s="657"/>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1586518</v>
      </c>
      <c r="E279" s="617"/>
      <c r="F279" s="617"/>
      <c r="G279" s="617"/>
      <c r="H279" s="617"/>
      <c r="I279" s="617"/>
      <c r="J279" s="617"/>
      <c r="K279" s="1694">
        <f>SUM(K238,K243,K257,K261,K270,K277,K278)</f>
        <v>1586518</v>
      </c>
      <c r="L279" s="1694">
        <f>SUM(L238,L243,L257,L261,L270,L277,L278)</f>
        <v>1551010</v>
      </c>
    </row>
    <row r="280" spans="1:12" ht="15.75" customHeight="1" thickTop="1" thickBot="1" x14ac:dyDescent="0.25">
      <c r="A280" s="1643" t="s">
        <v>930</v>
      </c>
      <c r="B280" s="1632">
        <v>3000</v>
      </c>
      <c r="C280" s="617"/>
      <c r="D280" s="576">
        <v>752</v>
      </c>
      <c r="E280" s="617"/>
      <c r="F280" s="617"/>
      <c r="G280" s="617"/>
      <c r="H280" s="617"/>
      <c r="I280" s="617"/>
      <c r="J280" s="617"/>
      <c r="K280" s="1696">
        <f>D280</f>
        <v>752</v>
      </c>
      <c r="L280" s="576">
        <v>2024</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8" t="s">
        <v>517</v>
      </c>
      <c r="B282" s="691" t="s">
        <v>1954</v>
      </c>
      <c r="C282" s="617"/>
      <c r="D282" s="467"/>
      <c r="E282" s="617"/>
      <c r="F282" s="617"/>
      <c r="G282" s="617"/>
      <c r="H282" s="617"/>
      <c r="I282" s="617"/>
      <c r="J282" s="617"/>
      <c r="K282" s="1688">
        <f>D282</f>
        <v>0</v>
      </c>
      <c r="L282" s="467">
        <v>0</v>
      </c>
    </row>
    <row r="283" spans="1:12" x14ac:dyDescent="0.2">
      <c r="A283" s="1523" t="s">
        <v>322</v>
      </c>
      <c r="B283" s="615">
        <v>4120</v>
      </c>
      <c r="C283" s="617"/>
      <c r="D283" s="466"/>
      <c r="E283" s="617"/>
      <c r="F283" s="617"/>
      <c r="G283" s="617"/>
      <c r="H283" s="617"/>
      <c r="I283" s="617"/>
      <c r="J283" s="617"/>
      <c r="K283" s="1688">
        <f>D283</f>
        <v>0</v>
      </c>
      <c r="L283" s="466">
        <v>0</v>
      </c>
    </row>
    <row r="284" spans="1:12" x14ac:dyDescent="0.2">
      <c r="A284" s="1523" t="s">
        <v>721</v>
      </c>
      <c r="B284" s="615">
        <v>4140</v>
      </c>
      <c r="C284" s="617"/>
      <c r="D284" s="467"/>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8">
        <f>H288</f>
        <v>0</v>
      </c>
      <c r="L288" s="466">
        <v>0</v>
      </c>
    </row>
    <row r="289" spans="1:14" x14ac:dyDescent="0.2">
      <c r="A289" s="1523" t="s">
        <v>90</v>
      </c>
      <c r="B289" s="615">
        <v>5120</v>
      </c>
      <c r="C289" s="617"/>
      <c r="D289" s="617"/>
      <c r="E289" s="617"/>
      <c r="F289" s="617"/>
      <c r="G289" s="617"/>
      <c r="H289" s="466"/>
      <c r="I289" s="617"/>
      <c r="J289" s="617"/>
      <c r="K289" s="1688">
        <f>H289</f>
        <v>0</v>
      </c>
      <c r="L289" s="466">
        <v>0</v>
      </c>
    </row>
    <row r="290" spans="1:14" ht="12.75" customHeight="1" x14ac:dyDescent="0.2">
      <c r="A290" s="1523" t="s">
        <v>1232</v>
      </c>
      <c r="B290" s="629" t="s">
        <v>638</v>
      </c>
      <c r="C290" s="617"/>
      <c r="D290" s="617"/>
      <c r="E290" s="617"/>
      <c r="F290" s="617"/>
      <c r="G290" s="617"/>
      <c r="H290" s="466"/>
      <c r="I290" s="617"/>
      <c r="J290" s="617"/>
      <c r="K290" s="1688">
        <f>H290</f>
        <v>0</v>
      </c>
      <c r="L290" s="466">
        <v>0</v>
      </c>
    </row>
    <row r="291" spans="1:14" x14ac:dyDescent="0.2">
      <c r="A291" s="1523" t="s">
        <v>91</v>
      </c>
      <c r="B291" s="615" t="s">
        <v>610</v>
      </c>
      <c r="C291" s="617"/>
      <c r="D291" s="617"/>
      <c r="E291" s="617"/>
      <c r="F291" s="617"/>
      <c r="G291" s="617"/>
      <c r="H291" s="466"/>
      <c r="I291" s="617"/>
      <c r="J291" s="617"/>
      <c r="K291" s="1688">
        <f>H291</f>
        <v>0</v>
      </c>
      <c r="L291" s="466">
        <v>0</v>
      </c>
    </row>
    <row r="292" spans="1:14" x14ac:dyDescent="0.2">
      <c r="A292" s="1523" t="s">
        <v>786</v>
      </c>
      <c r="B292" s="615" t="s">
        <v>639</v>
      </c>
      <c r="C292" s="617"/>
      <c r="D292" s="617"/>
      <c r="E292" s="617"/>
      <c r="F292" s="617"/>
      <c r="G292" s="617"/>
      <c r="H292" s="466"/>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87">
        <f>SUM(D229,D279,D280,D285)</f>
        <v>2383461</v>
      </c>
      <c r="E295" s="617"/>
      <c r="F295" s="617"/>
      <c r="G295" s="617"/>
      <c r="H295" s="1687">
        <f>H293</f>
        <v>0</v>
      </c>
      <c r="I295" s="617"/>
      <c r="J295" s="617"/>
      <c r="K295" s="1687">
        <f>SUM(K229,K279,K280,K285,K293,K294)</f>
        <v>2383461</v>
      </c>
      <c r="L295" s="1687">
        <f>SUM(L229,L279,L280,L285,L293,L294)</f>
        <v>2388319</v>
      </c>
    </row>
    <row r="296" spans="1:14" ht="13.5" thickTop="1" x14ac:dyDescent="0.2">
      <c r="A296" s="2203" t="s">
        <v>1053</v>
      </c>
      <c r="B296" s="2204"/>
      <c r="C296" s="617"/>
      <c r="D296" s="619"/>
      <c r="E296" s="617"/>
      <c r="F296" s="617"/>
      <c r="G296" s="617"/>
      <c r="H296" s="688"/>
      <c r="I296" s="617"/>
      <c r="J296" s="617"/>
      <c r="K296" s="1701">
        <f>'Revenues 9-14'!G275-'Expenditures 15-22'!K295</f>
        <v>72395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v>6165393</v>
      </c>
      <c r="H301" s="466"/>
      <c r="I301" s="467"/>
      <c r="J301" s="467"/>
      <c r="K301" s="1688">
        <f>SUM(C301:J301)</f>
        <v>6165393</v>
      </c>
      <c r="L301" s="467">
        <v>31450000</v>
      </c>
    </row>
    <row r="302" spans="1:14" ht="13.5" customHeight="1" x14ac:dyDescent="0.2">
      <c r="A302" s="1536" t="s">
        <v>1037</v>
      </c>
      <c r="B302" s="615" t="s">
        <v>595</v>
      </c>
      <c r="C302" s="466"/>
      <c r="D302" s="466"/>
      <c r="E302" s="466"/>
      <c r="F302" s="466"/>
      <c r="G302" s="466"/>
      <c r="H302" s="466"/>
      <c r="I302" s="467"/>
      <c r="J302" s="467"/>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6165393</v>
      </c>
      <c r="H303" s="1694">
        <f t="shared" si="23"/>
        <v>0</v>
      </c>
      <c r="I303" s="1694">
        <f t="shared" si="23"/>
        <v>0</v>
      </c>
      <c r="J303" s="1694">
        <f t="shared" si="23"/>
        <v>0</v>
      </c>
      <c r="K303" s="1694">
        <f t="shared" si="23"/>
        <v>6165393</v>
      </c>
      <c r="L303" s="1694">
        <f t="shared" si="23"/>
        <v>31450000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1959</v>
      </c>
      <c r="B306" s="691" t="s">
        <v>1954</v>
      </c>
      <c r="C306" s="617"/>
      <c r="D306" s="617"/>
      <c r="E306" s="467"/>
      <c r="F306" s="617"/>
      <c r="G306" s="617"/>
      <c r="H306" s="467"/>
      <c r="I306" s="617"/>
      <c r="J306" s="617"/>
      <c r="K306" s="1688">
        <f>SUM(E306,H306)</f>
        <v>0</v>
      </c>
      <c r="L306" s="467">
        <v>0</v>
      </c>
    </row>
    <row r="307" spans="1:14" x14ac:dyDescent="0.2">
      <c r="A307" s="1523" t="s">
        <v>322</v>
      </c>
      <c r="B307" s="615">
        <v>4120</v>
      </c>
      <c r="C307" s="617"/>
      <c r="D307" s="617"/>
      <c r="E307" s="467"/>
      <c r="F307" s="617"/>
      <c r="G307" s="617"/>
      <c r="H307" s="467"/>
      <c r="I307" s="477"/>
      <c r="J307" s="617"/>
      <c r="K307" s="1688">
        <f>SUM(E307,H307)</f>
        <v>0</v>
      </c>
      <c r="L307" s="466">
        <v>0</v>
      </c>
    </row>
    <row r="308" spans="1:14" x14ac:dyDescent="0.2">
      <c r="A308" s="1523" t="s">
        <v>721</v>
      </c>
      <c r="B308" s="615">
        <v>4140</v>
      </c>
      <c r="C308" s="617"/>
      <c r="D308" s="617"/>
      <c r="E308" s="467"/>
      <c r="F308" s="617"/>
      <c r="G308" s="617"/>
      <c r="H308" s="467"/>
      <c r="I308" s="477"/>
      <c r="J308" s="617"/>
      <c r="K308" s="1688">
        <f>SUM(E308,H308)</f>
        <v>0</v>
      </c>
      <c r="L308" s="466">
        <v>0</v>
      </c>
    </row>
    <row r="309" spans="1:14" ht="12.75" customHeight="1" x14ac:dyDescent="0.2">
      <c r="A309" s="1527" t="s">
        <v>722</v>
      </c>
      <c r="B309" s="629">
        <v>4190</v>
      </c>
      <c r="C309" s="617"/>
      <c r="D309" s="617"/>
      <c r="E309" s="467"/>
      <c r="F309" s="617"/>
      <c r="G309" s="617"/>
      <c r="H309" s="467"/>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87">
        <f>SUM(C303)</f>
        <v>0</v>
      </c>
      <c r="D312" s="1687">
        <f>SUM(D303)</f>
        <v>0</v>
      </c>
      <c r="E312" s="1687">
        <f>SUM(E303,E310)</f>
        <v>0</v>
      </c>
      <c r="F312" s="1687">
        <f>SUM(F303)</f>
        <v>0</v>
      </c>
      <c r="G312" s="1687">
        <f>SUM(G303)</f>
        <v>6165393</v>
      </c>
      <c r="H312" s="1687">
        <f>SUM(H303,H310)</f>
        <v>0</v>
      </c>
      <c r="I312" s="1687">
        <f>SUM(I303)</f>
        <v>0</v>
      </c>
      <c r="J312" s="1687">
        <f>SUM(J303)</f>
        <v>0</v>
      </c>
      <c r="K312" s="1687">
        <f>SUM(K303,K310,K311)</f>
        <v>6165393</v>
      </c>
      <c r="L312" s="1687">
        <f>SUM(L303,L310,L311)</f>
        <v>31450000</v>
      </c>
      <c r="M312" s="666"/>
      <c r="N312" s="666"/>
    </row>
    <row r="313" spans="1:14" ht="13.5" thickTop="1" x14ac:dyDescent="0.2">
      <c r="A313" s="2187" t="s">
        <v>1053</v>
      </c>
      <c r="B313" s="2188"/>
      <c r="C313" s="627"/>
      <c r="D313" s="627"/>
      <c r="E313" s="627"/>
      <c r="F313" s="627"/>
      <c r="G313" s="627"/>
      <c r="H313" s="627"/>
      <c r="I313" s="627"/>
      <c r="J313" s="627"/>
      <c r="K313" s="1702">
        <f>'Revenues 9-14'!H275-'Expenditures 15-22'!K312</f>
        <v>2131001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8">
        <f>SUM(C319:J319)</f>
        <v>0</v>
      </c>
      <c r="L319" s="467">
        <v>0</v>
      </c>
      <c r="M319" s="666"/>
      <c r="N319" s="666"/>
    </row>
    <row r="320" spans="1:14" s="675" customFormat="1" x14ac:dyDescent="0.2">
      <c r="A320" s="1542" t="s">
        <v>1906</v>
      </c>
      <c r="B320" s="699" t="s">
        <v>300</v>
      </c>
      <c r="C320" s="467"/>
      <c r="D320" s="467"/>
      <c r="E320" s="467">
        <v>262019</v>
      </c>
      <c r="F320" s="467"/>
      <c r="G320" s="467"/>
      <c r="H320" s="467"/>
      <c r="I320" s="467"/>
      <c r="J320" s="467"/>
      <c r="K320" s="1688">
        <f t="shared" ref="K320:K327" si="24">SUM(C320:J320)</f>
        <v>262019</v>
      </c>
      <c r="L320" s="467">
        <v>274244</v>
      </c>
      <c r="M320" s="666"/>
      <c r="N320" s="666"/>
    </row>
    <row r="321" spans="1:14" s="675" customFormat="1" x14ac:dyDescent="0.2">
      <c r="A321" s="1538" t="s">
        <v>318</v>
      </c>
      <c r="B321" s="698" t="s">
        <v>301</v>
      </c>
      <c r="C321" s="467"/>
      <c r="D321" s="467"/>
      <c r="E321" s="467">
        <v>2396</v>
      </c>
      <c r="F321" s="467"/>
      <c r="G321" s="467"/>
      <c r="H321" s="467"/>
      <c r="I321" s="467"/>
      <c r="J321" s="467"/>
      <c r="K321" s="1688">
        <f t="shared" si="24"/>
        <v>2396</v>
      </c>
      <c r="L321" s="467">
        <v>17000</v>
      </c>
      <c r="M321" s="666"/>
      <c r="N321" s="666"/>
    </row>
    <row r="322" spans="1:14" s="675" customFormat="1" x14ac:dyDescent="0.2">
      <c r="A322" s="1538" t="s">
        <v>256</v>
      </c>
      <c r="B322" s="698" t="s">
        <v>302</v>
      </c>
      <c r="C322" s="467"/>
      <c r="D322" s="467"/>
      <c r="E322" s="467">
        <v>415185</v>
      </c>
      <c r="F322" s="467"/>
      <c r="G322" s="467"/>
      <c r="H322" s="467"/>
      <c r="I322" s="467"/>
      <c r="J322" s="467"/>
      <c r="K322" s="1688">
        <f t="shared" si="24"/>
        <v>415185</v>
      </c>
      <c r="L322" s="467">
        <v>328187</v>
      </c>
      <c r="M322" s="666"/>
      <c r="N322" s="666"/>
    </row>
    <row r="323" spans="1:14" s="675" customFormat="1" x14ac:dyDescent="0.2">
      <c r="A323" s="1538" t="s">
        <v>726</v>
      </c>
      <c r="B323" s="698" t="s">
        <v>303</v>
      </c>
      <c r="C323" s="467"/>
      <c r="D323" s="467"/>
      <c r="E323" s="467"/>
      <c r="F323" s="467"/>
      <c r="G323" s="467"/>
      <c r="H323" s="467"/>
      <c r="I323" s="467"/>
      <c r="J323" s="467"/>
      <c r="K323" s="1688">
        <f t="shared" si="24"/>
        <v>0</v>
      </c>
      <c r="L323" s="467">
        <v>0</v>
      </c>
      <c r="M323" s="666"/>
      <c r="N323" s="666"/>
    </row>
    <row r="324" spans="1:14" s="675" customFormat="1" x14ac:dyDescent="0.2">
      <c r="A324" s="1538" t="s">
        <v>257</v>
      </c>
      <c r="B324" s="698" t="s">
        <v>304</v>
      </c>
      <c r="C324" s="467"/>
      <c r="D324" s="467"/>
      <c r="E324" s="467"/>
      <c r="F324" s="467"/>
      <c r="G324" s="467"/>
      <c r="H324" s="467"/>
      <c r="I324" s="467"/>
      <c r="J324" s="467"/>
      <c r="K324" s="1688">
        <f t="shared" si="24"/>
        <v>0</v>
      </c>
      <c r="L324" s="467">
        <v>0</v>
      </c>
      <c r="M324" s="666"/>
      <c r="N324" s="666"/>
    </row>
    <row r="325" spans="1:14" s="675" customFormat="1" ht="22.5" x14ac:dyDescent="0.2">
      <c r="A325" s="1538" t="s">
        <v>1087</v>
      </c>
      <c r="B325" s="699" t="s">
        <v>305</v>
      </c>
      <c r="C325" s="467">
        <v>180450</v>
      </c>
      <c r="D325" s="467">
        <v>24957</v>
      </c>
      <c r="E325" s="467">
        <v>27613</v>
      </c>
      <c r="F325" s="467"/>
      <c r="G325" s="467"/>
      <c r="H325" s="467"/>
      <c r="I325" s="467"/>
      <c r="J325" s="467"/>
      <c r="K325" s="1688">
        <f t="shared" si="24"/>
        <v>233020</v>
      </c>
      <c r="L325" s="467">
        <v>237510</v>
      </c>
      <c r="M325" s="666"/>
      <c r="N325" s="666"/>
    </row>
    <row r="326" spans="1:14" s="675" customFormat="1" x14ac:dyDescent="0.2">
      <c r="A326" s="1538" t="s">
        <v>1088</v>
      </c>
      <c r="B326" s="698" t="s">
        <v>306</v>
      </c>
      <c r="C326" s="467"/>
      <c r="D326" s="467"/>
      <c r="E326" s="467"/>
      <c r="F326" s="467"/>
      <c r="G326" s="467"/>
      <c r="H326" s="467"/>
      <c r="I326" s="467"/>
      <c r="J326" s="467"/>
      <c r="K326" s="1688">
        <f t="shared" si="24"/>
        <v>0</v>
      </c>
      <c r="L326" s="467">
        <v>0</v>
      </c>
      <c r="M326" s="666"/>
      <c r="N326" s="666"/>
    </row>
    <row r="327" spans="1:14" s="675" customFormat="1" x14ac:dyDescent="0.2">
      <c r="A327" s="1538" t="s">
        <v>1028</v>
      </c>
      <c r="B327" s="698" t="s">
        <v>307</v>
      </c>
      <c r="C327" s="467"/>
      <c r="D327" s="467"/>
      <c r="E327" s="467">
        <v>53730</v>
      </c>
      <c r="F327" s="467"/>
      <c r="G327" s="467"/>
      <c r="H327" s="467"/>
      <c r="I327" s="467"/>
      <c r="J327" s="467"/>
      <c r="K327" s="1688">
        <f t="shared" si="24"/>
        <v>53730</v>
      </c>
      <c r="L327" s="467">
        <v>130000</v>
      </c>
      <c r="M327" s="666"/>
      <c r="N327" s="666"/>
    </row>
    <row r="328" spans="1:14" s="675" customFormat="1" x14ac:dyDescent="0.2">
      <c r="A328" s="1539" t="s">
        <v>492</v>
      </c>
      <c r="B328" s="691" t="s">
        <v>1194</v>
      </c>
      <c r="C328" s="474"/>
      <c r="D328" s="474"/>
      <c r="E328" s="474"/>
      <c r="F328" s="474"/>
      <c r="G328" s="474"/>
      <c r="H328" s="474"/>
      <c r="I328" s="474"/>
      <c r="J328" s="474"/>
      <c r="K328" s="1716">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6">
        <f>SUM(C329:J329)</f>
        <v>0</v>
      </c>
      <c r="L329" s="474">
        <v>0</v>
      </c>
      <c r="M329" s="666"/>
      <c r="N329" s="666"/>
    </row>
    <row r="330" spans="1:14" s="675" customFormat="1" ht="12.75" customHeight="1" thickBot="1" x14ac:dyDescent="0.25">
      <c r="A330" s="1717" t="s">
        <v>741</v>
      </c>
      <c r="B330" s="1686" t="s">
        <v>590</v>
      </c>
      <c r="C330" s="1687">
        <f>SUM(C319:C329)</f>
        <v>180450</v>
      </c>
      <c r="D330" s="1687">
        <f t="shared" ref="D330:J330" si="25">SUM(D319:D329)</f>
        <v>24957</v>
      </c>
      <c r="E330" s="1687">
        <f t="shared" si="25"/>
        <v>760943</v>
      </c>
      <c r="F330" s="1687">
        <f t="shared" si="25"/>
        <v>0</v>
      </c>
      <c r="G330" s="1687">
        <f t="shared" si="25"/>
        <v>0</v>
      </c>
      <c r="H330" s="1687">
        <f t="shared" si="25"/>
        <v>0</v>
      </c>
      <c r="I330" s="1687">
        <f t="shared" si="25"/>
        <v>0</v>
      </c>
      <c r="J330" s="1687">
        <f t="shared" si="25"/>
        <v>0</v>
      </c>
      <c r="K330" s="1687">
        <f>SUM(K319:K329)</f>
        <v>966350</v>
      </c>
      <c r="L330" s="1687">
        <f>SUM(L319:L329)</f>
        <v>986941</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c r="I332" s="1851"/>
      <c r="J332" s="1851"/>
      <c r="K332" s="1688">
        <f>H332</f>
        <v>0</v>
      </c>
      <c r="L332" s="467">
        <v>0</v>
      </c>
      <c r="M332" s="666"/>
      <c r="N332" s="666"/>
    </row>
    <row r="333" spans="1:14" s="675" customFormat="1" ht="12.75" customHeight="1" x14ac:dyDescent="0.2">
      <c r="A333" s="1850" t="s">
        <v>322</v>
      </c>
      <c r="B333" s="1845" t="s">
        <v>1956</v>
      </c>
      <c r="C333" s="1851"/>
      <c r="D333" s="1851"/>
      <c r="E333" s="1851"/>
      <c r="F333" s="1851"/>
      <c r="G333" s="1851"/>
      <c r="H333" s="467"/>
      <c r="I333" s="1851"/>
      <c r="J333" s="1851"/>
      <c r="K333" s="1688">
        <f>H333</f>
        <v>0</v>
      </c>
      <c r="L333" s="467">
        <v>0</v>
      </c>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8">
        <f>H337</f>
        <v>0</v>
      </c>
      <c r="L337" s="478">
        <v>0</v>
      </c>
    </row>
    <row r="338" spans="1:14" ht="12.75" customHeight="1" x14ac:dyDescent="0.2">
      <c r="A338" s="1537" t="s">
        <v>1232</v>
      </c>
      <c r="B338" s="691" t="s">
        <v>638</v>
      </c>
      <c r="C338" s="639"/>
      <c r="D338" s="639"/>
      <c r="E338" s="639"/>
      <c r="F338" s="639"/>
      <c r="G338" s="639"/>
      <c r="H338" s="478"/>
      <c r="I338" s="639"/>
      <c r="J338" s="639"/>
      <c r="K338" s="1688">
        <f>H338</f>
        <v>0</v>
      </c>
      <c r="L338" s="478">
        <v>0</v>
      </c>
    </row>
    <row r="339" spans="1:14" x14ac:dyDescent="0.2">
      <c r="A339" s="1523" t="s">
        <v>957</v>
      </c>
      <c r="B339" s="629">
        <v>5150</v>
      </c>
      <c r="C339" s="639"/>
      <c r="D339" s="639"/>
      <c r="E339" s="639"/>
      <c r="F339" s="639"/>
      <c r="G339" s="639"/>
      <c r="H339" s="467"/>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180450</v>
      </c>
      <c r="D342" s="1687">
        <f>SUM(D330)</f>
        <v>24957</v>
      </c>
      <c r="E342" s="1687">
        <f>SUM(E330)</f>
        <v>760943</v>
      </c>
      <c r="F342" s="1687">
        <f>SUM(F330)</f>
        <v>0</v>
      </c>
      <c r="G342" s="1687">
        <f>SUM(G330)</f>
        <v>0</v>
      </c>
      <c r="H342" s="1687">
        <f>SUM(H330,H334,H340)</f>
        <v>0</v>
      </c>
      <c r="I342" s="1687">
        <f>SUM(I330)</f>
        <v>0</v>
      </c>
      <c r="J342" s="1687">
        <f>SUM(J330)</f>
        <v>0</v>
      </c>
      <c r="K342" s="1687">
        <f>SUM(K330,K334,K340)</f>
        <v>966350</v>
      </c>
      <c r="L342" s="1694">
        <f>SUM(L330,L340,L341)</f>
        <v>986941</v>
      </c>
    </row>
    <row r="343" spans="1:14" ht="12.75" customHeight="1" thickTop="1" x14ac:dyDescent="0.2">
      <c r="A343" s="2189" t="s">
        <v>1053</v>
      </c>
      <c r="B343" s="2190"/>
      <c r="C343" s="617"/>
      <c r="D343" s="617"/>
      <c r="E343" s="617"/>
      <c r="F343" s="617"/>
      <c r="G343" s="617"/>
      <c r="H343" s="617"/>
      <c r="I343" s="617"/>
      <c r="J343" s="617"/>
      <c r="K343" s="1701">
        <f>'Revenues 9-14'!J275-'Expenditures 15-22'!K342</f>
        <v>185312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88">
        <f>SUM(C348:J348)</f>
        <v>0</v>
      </c>
      <c r="L348" s="466">
        <v>0</v>
      </c>
    </row>
    <row r="349" spans="1:14" x14ac:dyDescent="0.2">
      <c r="A349" s="1523" t="s">
        <v>206</v>
      </c>
      <c r="B349" s="615">
        <v>2540</v>
      </c>
      <c r="C349" s="466"/>
      <c r="D349" s="466"/>
      <c r="E349" s="466"/>
      <c r="F349" s="466"/>
      <c r="G349" s="466">
        <v>877357</v>
      </c>
      <c r="H349" s="466"/>
      <c r="I349" s="467"/>
      <c r="J349" s="467"/>
      <c r="K349" s="1688">
        <f>SUM(C349:J349)</f>
        <v>877357</v>
      </c>
      <c r="L349" s="466">
        <v>1862186</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877357</v>
      </c>
      <c r="H350" s="1687">
        <f t="shared" si="26"/>
        <v>0</v>
      </c>
      <c r="I350" s="1687">
        <f t="shared" si="26"/>
        <v>0</v>
      </c>
      <c r="J350" s="1687">
        <f t="shared" si="26"/>
        <v>0</v>
      </c>
      <c r="K350" s="1687">
        <f t="shared" si="26"/>
        <v>877357</v>
      </c>
      <c r="L350" s="1687">
        <f t="shared" si="26"/>
        <v>1862186</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877357</v>
      </c>
      <c r="H352" s="1687">
        <f t="shared" si="27"/>
        <v>0</v>
      </c>
      <c r="I352" s="1687">
        <f t="shared" si="27"/>
        <v>0</v>
      </c>
      <c r="J352" s="1687">
        <f t="shared" si="27"/>
        <v>0</v>
      </c>
      <c r="K352" s="1687">
        <f t="shared" si="27"/>
        <v>877357</v>
      </c>
      <c r="L352" s="1687">
        <f t="shared" si="27"/>
        <v>1862186</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c r="I354" s="702"/>
      <c r="J354" s="617"/>
      <c r="K354" s="1716">
        <f>H354</f>
        <v>0</v>
      </c>
      <c r="L354" s="471">
        <v>0</v>
      </c>
    </row>
    <row r="355" spans="1:14" ht="12.75" customHeight="1" x14ac:dyDescent="0.2">
      <c r="A355" s="1532" t="s">
        <v>1963</v>
      </c>
      <c r="B355" s="691" t="s">
        <v>1956</v>
      </c>
      <c r="C355" s="617"/>
      <c r="D355" s="617"/>
      <c r="E355" s="617"/>
      <c r="F355" s="617"/>
      <c r="G355" s="617"/>
      <c r="H355" s="467"/>
      <c r="I355" s="702"/>
      <c r="J355" s="617"/>
      <c r="K355" s="1760">
        <f>H355</f>
        <v>0</v>
      </c>
      <c r="L355" s="467">
        <v>0</v>
      </c>
    </row>
    <row r="356" spans="1:14" ht="12.75" customHeight="1" x14ac:dyDescent="0.2">
      <c r="A356" s="1852" t="s">
        <v>722</v>
      </c>
      <c r="B356" s="684" t="s">
        <v>579</v>
      </c>
      <c r="C356" s="617"/>
      <c r="D356" s="617"/>
      <c r="E356" s="617"/>
      <c r="F356" s="617"/>
      <c r="G356" s="617"/>
      <c r="H356" s="479"/>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8">
        <f>SUM(C360:J360)</f>
        <v>0</v>
      </c>
      <c r="L360" s="466">
        <v>0</v>
      </c>
    </row>
    <row r="361" spans="1:14" ht="12.75" customHeight="1" x14ac:dyDescent="0.2">
      <c r="A361" s="1524" t="s">
        <v>640</v>
      </c>
      <c r="B361" s="603" t="s">
        <v>639</v>
      </c>
      <c r="C361" s="617"/>
      <c r="D361" s="617"/>
      <c r="E361" s="617"/>
      <c r="F361" s="617"/>
      <c r="G361" s="617"/>
      <c r="H361" s="467"/>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v>0</v>
      </c>
    </row>
    <row r="365" spans="1:14" s="675" customFormat="1" ht="12.75" customHeight="1" thickBot="1" x14ac:dyDescent="0.25">
      <c r="A365" s="1540"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100000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877357</v>
      </c>
      <c r="H367" s="1687">
        <f t="shared" si="28"/>
        <v>0</v>
      </c>
      <c r="I367" s="1687">
        <f t="shared" si="28"/>
        <v>0</v>
      </c>
      <c r="J367" s="1687">
        <f t="shared" si="28"/>
        <v>0</v>
      </c>
      <c r="K367" s="1687">
        <f t="shared" si="28"/>
        <v>877357</v>
      </c>
      <c r="L367" s="1687">
        <f t="shared" si="28"/>
        <v>1962186</v>
      </c>
    </row>
    <row r="368" spans="1:14" ht="13.5" thickTop="1" x14ac:dyDescent="0.2">
      <c r="A368" s="2203" t="s">
        <v>1053</v>
      </c>
      <c r="B368" s="2204"/>
      <c r="C368" s="655"/>
      <c r="D368" s="655"/>
      <c r="E368" s="627"/>
      <c r="F368" s="627"/>
      <c r="G368" s="627"/>
      <c r="H368" s="627"/>
      <c r="I368" s="627"/>
      <c r="J368" s="624"/>
      <c r="K368" s="1688">
        <f>'Revenues 9-14'!K275-'Expenditures 15-22'!K367</f>
        <v>-421189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sqref="A1:M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5" t="s">
        <v>1903</v>
      </c>
      <c r="B2" s="1547" t="s">
        <v>2033</v>
      </c>
      <c r="C2" s="715" t="s">
        <v>1908</v>
      </c>
      <c r="D2" s="715" t="s">
        <v>1909</v>
      </c>
      <c r="E2" s="715" t="s">
        <v>1910</v>
      </c>
      <c r="F2" s="715" t="s">
        <v>1911</v>
      </c>
    </row>
    <row r="3" spans="1:6" ht="12" customHeight="1" x14ac:dyDescent="0.2">
      <c r="A3" s="2206"/>
      <c r="B3" s="1544"/>
      <c r="C3" s="1545"/>
      <c r="D3" s="1546" t="s">
        <v>274</v>
      </c>
      <c r="E3" s="1545"/>
      <c r="F3" s="1546" t="s">
        <v>275</v>
      </c>
    </row>
    <row r="4" spans="1:6" ht="13.7" customHeight="1" x14ac:dyDescent="0.2">
      <c r="A4" s="716" t="s">
        <v>1217</v>
      </c>
      <c r="B4" s="1766">
        <f>'Revenues 9-14'!C5</f>
        <v>27888405</v>
      </c>
      <c r="C4" s="1543">
        <v>9203544</v>
      </c>
      <c r="D4" s="1769">
        <f>B4-C4</f>
        <v>18684861</v>
      </c>
      <c r="E4" s="1543">
        <v>27952099</v>
      </c>
      <c r="F4" s="1769">
        <f>E4-C4</f>
        <v>18748555</v>
      </c>
    </row>
    <row r="5" spans="1:6" ht="13.7" customHeight="1" x14ac:dyDescent="0.2">
      <c r="A5" s="716" t="s">
        <v>925</v>
      </c>
      <c r="B5" s="1767">
        <f>'Revenues 9-14'!D5</f>
        <v>6396424</v>
      </c>
      <c r="C5" s="585">
        <v>2110905</v>
      </c>
      <c r="D5" s="1770">
        <f t="shared" ref="D5:D18" si="0">B5-C5</f>
        <v>4285519</v>
      </c>
      <c r="E5" s="585">
        <v>6411032</v>
      </c>
      <c r="F5" s="1770">
        <f>E5-C5</f>
        <v>4300127</v>
      </c>
    </row>
    <row r="6" spans="1:6" ht="13.7" customHeight="1" x14ac:dyDescent="0.2">
      <c r="A6" s="716" t="s">
        <v>431</v>
      </c>
      <c r="B6" s="1767">
        <f>'Revenues 9-14'!E5</f>
        <v>3845831</v>
      </c>
      <c r="C6" s="585">
        <v>1260351</v>
      </c>
      <c r="D6" s="1770">
        <f t="shared" si="0"/>
        <v>2585480</v>
      </c>
      <c r="E6" s="585">
        <v>3827813</v>
      </c>
      <c r="F6" s="1770">
        <f t="shared" ref="F6:F18" si="1">E6-C6</f>
        <v>2567462</v>
      </c>
    </row>
    <row r="7" spans="1:6" ht="13.7" customHeight="1" x14ac:dyDescent="0.2">
      <c r="A7" s="716" t="s">
        <v>157</v>
      </c>
      <c r="B7" s="1767">
        <f>'Revenues 9-14'!F5</f>
        <v>911719</v>
      </c>
      <c r="C7" s="585">
        <v>247679</v>
      </c>
      <c r="D7" s="1770">
        <f t="shared" si="0"/>
        <v>664040</v>
      </c>
      <c r="E7" s="585">
        <v>752228</v>
      </c>
      <c r="F7" s="1770">
        <f t="shared" si="1"/>
        <v>504549</v>
      </c>
    </row>
    <row r="8" spans="1:6" ht="13.7" customHeight="1" x14ac:dyDescent="0.2">
      <c r="A8" s="716" t="s">
        <v>1241</v>
      </c>
      <c r="B8" s="1767">
        <f>'Revenues 9-14'!G5</f>
        <v>965221</v>
      </c>
      <c r="C8" s="585">
        <v>327612</v>
      </c>
      <c r="D8" s="1770">
        <f t="shared" si="0"/>
        <v>637609</v>
      </c>
      <c r="E8" s="585">
        <v>994992</v>
      </c>
      <c r="F8" s="1770">
        <f t="shared" si="1"/>
        <v>667380</v>
      </c>
    </row>
    <row r="9" spans="1:6" ht="13.7" customHeight="1" x14ac:dyDescent="0.2">
      <c r="A9" s="716" t="s">
        <v>428</v>
      </c>
      <c r="B9" s="1767">
        <f>'Revenues 9-14'!H5</f>
        <v>0</v>
      </c>
      <c r="C9" s="585">
        <v>0</v>
      </c>
      <c r="D9" s="1770">
        <f t="shared" si="0"/>
        <v>0</v>
      </c>
      <c r="E9" s="585">
        <v>0</v>
      </c>
      <c r="F9" s="1770">
        <f t="shared" si="1"/>
        <v>0</v>
      </c>
    </row>
    <row r="10" spans="1:6" ht="13.7" customHeight="1" x14ac:dyDescent="0.2">
      <c r="A10" s="716" t="s">
        <v>427</v>
      </c>
      <c r="B10" s="1767">
        <f>'Revenues 9-14'!I5</f>
        <v>426429</v>
      </c>
      <c r="C10" s="585">
        <v>140727</v>
      </c>
      <c r="D10" s="1770">
        <f t="shared" si="0"/>
        <v>285702</v>
      </c>
      <c r="E10" s="585">
        <v>427402</v>
      </c>
      <c r="F10" s="1770">
        <f t="shared" si="1"/>
        <v>286675</v>
      </c>
    </row>
    <row r="11" spans="1:6" x14ac:dyDescent="0.2">
      <c r="A11" s="716" t="s">
        <v>429</v>
      </c>
      <c r="B11" s="1767">
        <f>'Revenues 9-14'!J5</f>
        <v>1140180</v>
      </c>
      <c r="C11" s="585">
        <v>376022</v>
      </c>
      <c r="D11" s="1770">
        <f t="shared" si="0"/>
        <v>764158</v>
      </c>
      <c r="E11" s="585">
        <v>1142018</v>
      </c>
      <c r="F11" s="1770">
        <f t="shared" si="1"/>
        <v>765996</v>
      </c>
    </row>
    <row r="12" spans="1:6" ht="13.7" customHeight="1" x14ac:dyDescent="0.2">
      <c r="A12" s="716" t="s">
        <v>159</v>
      </c>
      <c r="B12" s="1767">
        <f>'Revenues 9-14'!K5</f>
        <v>426428</v>
      </c>
      <c r="C12" s="585">
        <v>140727</v>
      </c>
      <c r="D12" s="1770">
        <f t="shared" si="0"/>
        <v>285701</v>
      </c>
      <c r="E12" s="585">
        <v>427402</v>
      </c>
      <c r="F12" s="1770">
        <f t="shared" si="1"/>
        <v>286675</v>
      </c>
    </row>
    <row r="13" spans="1:6" ht="13.7" customHeight="1" x14ac:dyDescent="0.2">
      <c r="A13" s="716" t="s">
        <v>993</v>
      </c>
      <c r="B13" s="1767">
        <f>SUM('Revenues 9-14'!C6:D6)</f>
        <v>426428</v>
      </c>
      <c r="C13" s="585">
        <v>140727</v>
      </c>
      <c r="D13" s="1770">
        <f t="shared" si="0"/>
        <v>285701</v>
      </c>
      <c r="E13" s="585">
        <v>427402</v>
      </c>
      <c r="F13" s="1770">
        <f t="shared" si="1"/>
        <v>286675</v>
      </c>
    </row>
    <row r="14" spans="1:6" ht="13.7" customHeight="1" x14ac:dyDescent="0.2">
      <c r="A14" s="716" t="s">
        <v>430</v>
      </c>
      <c r="B14" s="1767">
        <f>SUM('Revenues 9-14'!C7:D7,'Revenues 9-14'!F7:H7)</f>
        <v>341143</v>
      </c>
      <c r="C14" s="585">
        <v>112582</v>
      </c>
      <c r="D14" s="1770">
        <f t="shared" si="0"/>
        <v>228561</v>
      </c>
      <c r="E14" s="585">
        <v>341922</v>
      </c>
      <c r="F14" s="1770">
        <f t="shared" si="1"/>
        <v>229340</v>
      </c>
    </row>
    <row r="15" spans="1:6" ht="13.7" customHeight="1" x14ac:dyDescent="0.2">
      <c r="A15" s="716" t="s">
        <v>1220</v>
      </c>
      <c r="B15" s="1767">
        <f>'Revenues 9-14'!E9</f>
        <v>0</v>
      </c>
      <c r="C15" s="585">
        <v>0</v>
      </c>
      <c r="D15" s="1770">
        <f t="shared" si="0"/>
        <v>0</v>
      </c>
      <c r="E15" s="585">
        <v>0</v>
      </c>
      <c r="F15" s="1770">
        <f t="shared" si="1"/>
        <v>0</v>
      </c>
    </row>
    <row r="16" spans="1:6" ht="13.7" customHeight="1" x14ac:dyDescent="0.2">
      <c r="A16" s="716" t="s">
        <v>1221</v>
      </c>
      <c r="B16" s="1767">
        <f>'Revenues 9-14'!G8</f>
        <v>961969</v>
      </c>
      <c r="C16" s="585">
        <v>319732</v>
      </c>
      <c r="D16" s="1770">
        <f t="shared" si="0"/>
        <v>642237</v>
      </c>
      <c r="E16" s="585">
        <v>971058</v>
      </c>
      <c r="F16" s="1770">
        <f t="shared" si="1"/>
        <v>651326</v>
      </c>
    </row>
    <row r="17" spans="1:6" ht="13.7" customHeight="1" x14ac:dyDescent="0.2">
      <c r="A17" s="716" t="s">
        <v>1222</v>
      </c>
      <c r="B17" s="1767">
        <f>'Revenues 9-14'!C10</f>
        <v>0</v>
      </c>
      <c r="C17" s="585">
        <v>0</v>
      </c>
      <c r="D17" s="1770">
        <f t="shared" si="0"/>
        <v>0</v>
      </c>
      <c r="E17" s="585">
        <v>0</v>
      </c>
      <c r="F17" s="1770">
        <f t="shared" si="1"/>
        <v>0</v>
      </c>
    </row>
    <row r="18" spans="1:6" ht="13.7" customHeight="1" x14ac:dyDescent="0.2">
      <c r="A18" s="716" t="s">
        <v>786</v>
      </c>
      <c r="B18" s="1767">
        <f>SUM('Revenues 9-14'!C11:K11)</f>
        <v>0</v>
      </c>
      <c r="C18" s="585">
        <v>0</v>
      </c>
      <c r="D18" s="1770">
        <f t="shared" si="0"/>
        <v>0</v>
      </c>
      <c r="E18" s="585">
        <v>0</v>
      </c>
      <c r="F18" s="1770">
        <f t="shared" si="1"/>
        <v>0</v>
      </c>
    </row>
    <row r="19" spans="1:6" ht="13.7" customHeight="1" thickBot="1" x14ac:dyDescent="0.25">
      <c r="A19" s="1771" t="s">
        <v>1223</v>
      </c>
      <c r="B19" s="1768">
        <f>SUM(B4:B18)</f>
        <v>43730177</v>
      </c>
      <c r="C19" s="1768">
        <f>SUM(C4:C18)</f>
        <v>14380608</v>
      </c>
      <c r="D19" s="1768">
        <f>SUM(D4:D18)</f>
        <v>29349569</v>
      </c>
      <c r="E19" s="1768">
        <f>SUM(E4:E18)</f>
        <v>43675368</v>
      </c>
      <c r="F19" s="1768">
        <f>SUM(F4:F18)</f>
        <v>29294760</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0" colorId="8" zoomScaleNormal="100" workbookViewId="0">
      <selection sqref="A1:M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1903</v>
      </c>
      <c r="B2" s="2221"/>
      <c r="C2" s="1901" t="s">
        <v>2034</v>
      </c>
      <c r="D2" s="724" t="s">
        <v>2041</v>
      </c>
      <c r="E2" s="724" t="s">
        <v>2042</v>
      </c>
      <c r="F2" s="1901" t="s">
        <v>2035</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2">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09" t="s">
        <v>652</v>
      </c>
      <c r="B15" s="2210"/>
      <c r="C15" s="1772">
        <f>SUM(C6:C14)</f>
        <v>0</v>
      </c>
      <c r="D15" s="1772">
        <f>SUM(D6:D14)</f>
        <v>0</v>
      </c>
      <c r="E15" s="1772">
        <f>SUM(E6:E14)</f>
        <v>0</v>
      </c>
      <c r="F15" s="1772">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2">
        <f>SUM(C17+D17)-E17</f>
        <v>0</v>
      </c>
    </row>
    <row r="18" spans="1:11" ht="12.75" customHeight="1" thickTop="1" thickBot="1" x14ac:dyDescent="0.25">
      <c r="A18" s="2232" t="s">
        <v>6</v>
      </c>
      <c r="B18" s="2233"/>
      <c r="C18" s="727"/>
      <c r="D18" s="585"/>
      <c r="E18" s="727"/>
      <c r="F18" s="1772">
        <f>SUM(C18+D18)-E18</f>
        <v>0</v>
      </c>
    </row>
    <row r="19" spans="1:11" ht="12.75" customHeight="1" thickTop="1" thickBot="1" x14ac:dyDescent="0.25">
      <c r="A19" s="2232" t="s">
        <v>406</v>
      </c>
      <c r="B19" s="2233"/>
      <c r="C19" s="727"/>
      <c r="D19" s="585"/>
      <c r="E19" s="727"/>
      <c r="F19" s="1772">
        <f>SUM(C19+D19)-E19</f>
        <v>0</v>
      </c>
    </row>
    <row r="20" spans="1:11" ht="12.75" customHeight="1" thickTop="1" thickBot="1" x14ac:dyDescent="0.25">
      <c r="A20" s="2232" t="s">
        <v>468</v>
      </c>
      <c r="B20" s="2233"/>
      <c r="C20" s="727"/>
      <c r="D20" s="585"/>
      <c r="E20" s="727"/>
      <c r="F20" s="1772">
        <f>SUM(C20+D20)-E20</f>
        <v>0</v>
      </c>
    </row>
    <row r="21" spans="1:11" ht="14.25" thickTop="1" thickBot="1" x14ac:dyDescent="0.25">
      <c r="A21" s="2209" t="s">
        <v>653</v>
      </c>
      <c r="B21" s="2210"/>
      <c r="C21" s="1772">
        <f>SUM(C17:C20)</f>
        <v>0</v>
      </c>
      <c r="D21" s="1772">
        <f>SUM(D17:D20)</f>
        <v>0</v>
      </c>
      <c r="E21" s="1772">
        <f>SUM(E17:E20)</f>
        <v>0</v>
      </c>
      <c r="F21" s="1772">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2">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2">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2">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48" t="s">
        <v>1131</v>
      </c>
      <c r="B30" s="731" t="s">
        <v>1186</v>
      </c>
      <c r="C30" s="1902" t="s">
        <v>604</v>
      </c>
      <c r="D30" s="1902" t="s">
        <v>1772</v>
      </c>
      <c r="E30" s="1902" t="s">
        <v>2036</v>
      </c>
      <c r="F30" s="1902" t="s">
        <v>2037</v>
      </c>
      <c r="G30" s="1902" t="s">
        <v>2040</v>
      </c>
      <c r="H30" s="1902" t="s">
        <v>2038</v>
      </c>
      <c r="I30" s="1902" t="s">
        <v>2039</v>
      </c>
      <c r="J30" s="1903" t="s">
        <v>2</v>
      </c>
      <c r="K30" s="732"/>
    </row>
    <row r="31" spans="1:11" ht="12" customHeight="1" x14ac:dyDescent="0.2">
      <c r="A31" s="733" t="s">
        <v>2163</v>
      </c>
      <c r="B31" s="734">
        <v>40162</v>
      </c>
      <c r="C31" s="735">
        <v>8300000</v>
      </c>
      <c r="D31" s="736">
        <v>4</v>
      </c>
      <c r="E31" s="735">
        <v>4894652</v>
      </c>
      <c r="F31" s="735"/>
      <c r="G31" s="735"/>
      <c r="H31" s="735">
        <v>514100</v>
      </c>
      <c r="I31" s="1773">
        <f>((E31+F31)-H31)+G31</f>
        <v>4380552</v>
      </c>
      <c r="J31" s="735">
        <v>4380552</v>
      </c>
      <c r="K31" s="737"/>
    </row>
    <row r="32" spans="1:11" ht="12" customHeight="1" x14ac:dyDescent="0.2">
      <c r="A32" s="733" t="s">
        <v>2163</v>
      </c>
      <c r="B32" s="734">
        <v>40119</v>
      </c>
      <c r="C32" s="735">
        <v>10200000</v>
      </c>
      <c r="D32" s="736">
        <v>4</v>
      </c>
      <c r="E32" s="735">
        <v>3600000</v>
      </c>
      <c r="F32" s="735"/>
      <c r="G32" s="735"/>
      <c r="H32" s="735">
        <v>3600000</v>
      </c>
      <c r="I32" s="1773">
        <f>((E32+F32)-H32)+G32</f>
        <v>0</v>
      </c>
      <c r="J32" s="735">
        <v>0</v>
      </c>
      <c r="K32" s="737"/>
    </row>
    <row r="33" spans="1:11" ht="12" customHeight="1" x14ac:dyDescent="0.2">
      <c r="A33" s="733" t="s">
        <v>2165</v>
      </c>
      <c r="B33" s="734">
        <v>40513</v>
      </c>
      <c r="C33" s="735">
        <v>5700000</v>
      </c>
      <c r="D33" s="736">
        <v>4</v>
      </c>
      <c r="E33" s="735">
        <v>5700000</v>
      </c>
      <c r="F33" s="735"/>
      <c r="G33" s="735"/>
      <c r="H33" s="735">
        <v>500000</v>
      </c>
      <c r="I33" s="1773">
        <f t="shared" ref="I33:I48" si="1">((E33+F33)-H33)+G33</f>
        <v>5200000</v>
      </c>
      <c r="J33" s="735">
        <v>5200000</v>
      </c>
      <c r="K33" s="737"/>
    </row>
    <row r="34" spans="1:11" ht="12" customHeight="1" x14ac:dyDescent="0.2">
      <c r="A34" s="733" t="s">
        <v>2164</v>
      </c>
      <c r="B34" s="734">
        <v>40513</v>
      </c>
      <c r="C34" s="735">
        <v>2535000</v>
      </c>
      <c r="D34" s="736">
        <v>4</v>
      </c>
      <c r="E34" s="735">
        <v>2535000</v>
      </c>
      <c r="F34" s="735"/>
      <c r="G34" s="735"/>
      <c r="H34" s="735"/>
      <c r="I34" s="1773">
        <f t="shared" si="1"/>
        <v>2535000</v>
      </c>
      <c r="J34" s="735">
        <v>2535000</v>
      </c>
      <c r="K34" s="738"/>
    </row>
    <row r="35" spans="1:11" ht="12" customHeight="1" x14ac:dyDescent="0.2">
      <c r="A35" s="733" t="s">
        <v>2166</v>
      </c>
      <c r="B35" s="734">
        <v>41609</v>
      </c>
      <c r="C35" s="739">
        <v>9610000</v>
      </c>
      <c r="D35" s="736">
        <v>4</v>
      </c>
      <c r="E35" s="739">
        <v>4135000</v>
      </c>
      <c r="F35" s="739"/>
      <c r="G35" s="739"/>
      <c r="H35" s="739">
        <v>1450000</v>
      </c>
      <c r="I35" s="1773">
        <f t="shared" si="1"/>
        <v>2685000</v>
      </c>
      <c r="J35" s="739">
        <v>2685000</v>
      </c>
      <c r="K35" s="738"/>
    </row>
    <row r="36" spans="1:11" ht="12" customHeight="1" x14ac:dyDescent="0.2">
      <c r="A36" s="733" t="s">
        <v>2167</v>
      </c>
      <c r="B36" s="734">
        <v>43158</v>
      </c>
      <c r="C36" s="735">
        <v>21925000</v>
      </c>
      <c r="D36" s="736">
        <v>4</v>
      </c>
      <c r="E36" s="735"/>
      <c r="F36" s="735">
        <v>21925000</v>
      </c>
      <c r="G36" s="735"/>
      <c r="H36" s="735"/>
      <c r="I36" s="1773">
        <f t="shared" si="1"/>
        <v>21925000</v>
      </c>
      <c r="J36" s="735">
        <v>21925000</v>
      </c>
      <c r="K36" s="740"/>
    </row>
    <row r="37" spans="1:11" ht="12" customHeight="1" x14ac:dyDescent="0.2">
      <c r="A37" s="733" t="s">
        <v>2168</v>
      </c>
      <c r="B37" s="734">
        <v>43244</v>
      </c>
      <c r="C37" s="467">
        <v>3076000</v>
      </c>
      <c r="D37" s="741">
        <v>3</v>
      </c>
      <c r="E37" s="467"/>
      <c r="F37" s="467">
        <v>3076000</v>
      </c>
      <c r="G37" s="467"/>
      <c r="H37" s="467"/>
      <c r="I37" s="1773">
        <f t="shared" si="1"/>
        <v>3076000</v>
      </c>
      <c r="J37" s="467">
        <v>3076000</v>
      </c>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61346000</v>
      </c>
      <c r="D49" s="746"/>
      <c r="E49" s="1773">
        <f t="shared" ref="E49:J49" si="2">SUM(E31:E48)</f>
        <v>20864652</v>
      </c>
      <c r="F49" s="1773">
        <f t="shared" si="2"/>
        <v>25001000</v>
      </c>
      <c r="G49" s="1773">
        <f t="shared" si="2"/>
        <v>0</v>
      </c>
      <c r="H49" s="1773">
        <f t="shared" si="2"/>
        <v>6064100</v>
      </c>
      <c r="I49" s="1773">
        <f t="shared" si="2"/>
        <v>39801552</v>
      </c>
      <c r="J49" s="1773">
        <f t="shared" si="2"/>
        <v>39801552</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sqref="A1:M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49"/>
      <c r="I1" s="761"/>
      <c r="J1" s="433"/>
    </row>
    <row r="2" spans="1:11" ht="26.25" x14ac:dyDescent="0.2">
      <c r="A2" s="2239" t="s">
        <v>1776</v>
      </c>
      <c r="B2" s="2240"/>
      <c r="C2" s="2240"/>
      <c r="D2" s="2240"/>
      <c r="E2" s="2241"/>
      <c r="F2" s="762" t="s">
        <v>960</v>
      </c>
      <c r="G2" s="763" t="s">
        <v>1773</v>
      </c>
      <c r="H2" s="763" t="s">
        <v>430</v>
      </c>
      <c r="I2" s="763" t="s">
        <v>1220</v>
      </c>
      <c r="J2" s="763" t="s">
        <v>1917</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28942</v>
      </c>
    </row>
    <row r="8" spans="1:11" x14ac:dyDescent="0.2">
      <c r="A8" s="779" t="s">
        <v>363</v>
      </c>
      <c r="B8" s="780"/>
      <c r="C8" s="780"/>
      <c r="D8" s="780"/>
      <c r="E8" s="781"/>
      <c r="F8" s="771" t="s">
        <v>906</v>
      </c>
      <c r="G8" s="783"/>
      <c r="H8" s="783"/>
      <c r="I8" s="783"/>
      <c r="J8" s="766">
        <v>3513031</v>
      </c>
      <c r="K8" s="770"/>
    </row>
    <row r="9" spans="1:11" x14ac:dyDescent="0.2">
      <c r="A9" s="779" t="s">
        <v>140</v>
      </c>
      <c r="B9" s="780"/>
      <c r="C9" s="780"/>
      <c r="D9" s="780"/>
      <c r="E9" s="781"/>
      <c r="F9" s="778" t="s">
        <v>908</v>
      </c>
      <c r="G9" s="783"/>
      <c r="H9" s="772"/>
      <c r="I9" s="772"/>
      <c r="J9" s="782"/>
      <c r="K9" s="766">
        <v>75025</v>
      </c>
    </row>
    <row r="10" spans="1:11" x14ac:dyDescent="0.2">
      <c r="A10" s="2263" t="s">
        <v>1918</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4"/>
      <c r="G12" s="1775">
        <f>SUM(G5:G11)</f>
        <v>0</v>
      </c>
      <c r="H12" s="1775">
        <f>SUM(H5:H11)</f>
        <v>0</v>
      </c>
      <c r="I12" s="1775">
        <f>SUM(I5:I11)</f>
        <v>0</v>
      </c>
      <c r="J12" s="1775">
        <f>SUM(J5:J11)</f>
        <v>3513031</v>
      </c>
      <c r="K12" s="1775">
        <f>SUM(K5:K11)</f>
        <v>103967</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1914</v>
      </c>
      <c r="B19" s="2271"/>
      <c r="C19" s="2271"/>
      <c r="D19" s="2271"/>
      <c r="E19" s="2272"/>
      <c r="F19" s="790" t="s">
        <v>990</v>
      </c>
      <c r="G19" s="783"/>
      <c r="H19" s="783"/>
      <c r="I19" s="783"/>
      <c r="J19" s="766"/>
      <c r="K19" s="796"/>
    </row>
    <row r="20" spans="1:11" x14ac:dyDescent="0.2">
      <c r="A20" s="2250" t="s">
        <v>1919</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76"/>
      <c r="G21" s="793"/>
      <c r="H21" s="797"/>
      <c r="I21" s="797"/>
      <c r="J21" s="1777">
        <f>SUM(J18:J20)</f>
        <v>0</v>
      </c>
      <c r="K21" s="794"/>
    </row>
    <row r="22" spans="1:11" ht="13.5" thickTop="1" x14ac:dyDescent="0.2">
      <c r="A22" s="2236" t="s">
        <v>1920</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78"/>
      <c r="G23" s="1775">
        <f>SUM(G14:G16,G21,G22)</f>
        <v>0</v>
      </c>
      <c r="H23" s="1775">
        <f>SUM(H14:H16,H21,H22)</f>
        <v>0</v>
      </c>
      <c r="I23" s="1775">
        <f>SUM(I14:I16,I21,I22)</f>
        <v>0</v>
      </c>
      <c r="J23" s="1775">
        <f>SUM(J14:J16,J21,J22)</f>
        <v>0</v>
      </c>
      <c r="K23" s="1775">
        <f>SUM(K14:K16,K21,K22)</f>
        <v>0</v>
      </c>
    </row>
    <row r="24" spans="1:11" ht="14.25" thickTop="1" thickBot="1" x14ac:dyDescent="0.25">
      <c r="A24" s="2257" t="s">
        <v>2022</v>
      </c>
      <c r="B24" s="2256"/>
      <c r="C24" s="2256"/>
      <c r="D24" s="2256"/>
      <c r="E24" s="2256"/>
      <c r="F24" s="1779"/>
      <c r="G24" s="1780">
        <f>SUM(G3,G12)-G23</f>
        <v>0</v>
      </c>
      <c r="H24" s="1780">
        <f>SUM(H3,H12)-H23</f>
        <v>0</v>
      </c>
      <c r="I24" s="1780">
        <f>SUM(I3,I12)-I23</f>
        <v>0</v>
      </c>
      <c r="J24" s="1780">
        <f>SUM(J3,J12)-J23</f>
        <v>3513031</v>
      </c>
      <c r="K24" s="1780">
        <f>SUM(K3,K12)-K23</f>
        <v>103967</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3513031</v>
      </c>
      <c r="K26" s="1775">
        <f>K24-K25</f>
        <v>103967</v>
      </c>
    </row>
    <row r="27" spans="1:11" ht="5.25" customHeight="1" thickTop="1" x14ac:dyDescent="0.2">
      <c r="I27" s="202"/>
      <c r="J27" s="202"/>
    </row>
    <row r="28" spans="1:11" ht="29.25" customHeight="1" x14ac:dyDescent="0.2">
      <c r="A28" s="1897" t="s">
        <v>2032</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1915</v>
      </c>
      <c r="B46" s="408" t="s">
        <v>1774</v>
      </c>
    </row>
    <row r="47" spans="1:11" s="824" customFormat="1" ht="12.75" customHeight="1" x14ac:dyDescent="0.2">
      <c r="A47" s="822"/>
      <c r="B47" s="823" t="s">
        <v>1775</v>
      </c>
      <c r="E47" s="823"/>
      <c r="K47" s="825"/>
    </row>
    <row r="48" spans="1:11" ht="12.75" customHeight="1" x14ac:dyDescent="0.2">
      <c r="A48" s="1551"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F1" colorId="8" zoomScaleNormal="100" workbookViewId="0">
      <selection sqref="A1:M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2031</v>
      </c>
      <c r="B1" s="2276"/>
      <c r="C1" s="2277"/>
      <c r="D1" s="827"/>
      <c r="E1" s="828"/>
      <c r="F1" s="828"/>
      <c r="G1" s="829"/>
      <c r="H1" s="830"/>
      <c r="I1" s="831"/>
      <c r="J1" s="2273"/>
      <c r="K1" s="2274"/>
      <c r="L1" s="2274"/>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8" t="s">
        <v>948</v>
      </c>
      <c r="B3" s="1649">
        <v>210</v>
      </c>
      <c r="C3" s="836">
        <v>0</v>
      </c>
      <c r="D3" s="836">
        <v>0</v>
      </c>
      <c r="E3" s="836">
        <v>0</v>
      </c>
      <c r="F3" s="1777">
        <f>(C3+D3)-E3</f>
        <v>0</v>
      </c>
      <c r="G3" s="837"/>
      <c r="H3" s="836">
        <v>0</v>
      </c>
      <c r="I3" s="836">
        <v>0</v>
      </c>
      <c r="J3" s="836">
        <v>0</v>
      </c>
      <c r="K3" s="1786">
        <f>(H3+I3)-J3</f>
        <v>0</v>
      </c>
      <c r="L3" s="1786">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1135499</v>
      </c>
      <c r="D5" s="842">
        <v>3644</v>
      </c>
      <c r="E5" s="842">
        <v>0</v>
      </c>
      <c r="F5" s="1777">
        <f>(C5+D5)-E5</f>
        <v>1139143</v>
      </c>
      <c r="G5" s="838"/>
      <c r="H5" s="843"/>
      <c r="I5" s="843"/>
      <c r="J5" s="843"/>
      <c r="K5" s="794"/>
      <c r="L5" s="1786">
        <f>F5-K5</f>
        <v>1139143</v>
      </c>
    </row>
    <row r="6" spans="1:14" ht="14.25" thickTop="1" thickBot="1" x14ac:dyDescent="0.25">
      <c r="A6" s="779" t="s">
        <v>1179</v>
      </c>
      <c r="B6" s="841">
        <v>222</v>
      </c>
      <c r="C6" s="766">
        <v>0</v>
      </c>
      <c r="D6" s="766">
        <v>0</v>
      </c>
      <c r="E6" s="766">
        <v>0</v>
      </c>
      <c r="F6" s="1777">
        <f>(C6+D6)-E6</f>
        <v>0</v>
      </c>
      <c r="G6" s="838">
        <v>50</v>
      </c>
      <c r="H6" s="766">
        <v>0</v>
      </c>
      <c r="I6" s="766">
        <v>0</v>
      </c>
      <c r="J6" s="766">
        <v>0</v>
      </c>
      <c r="K6" s="1786">
        <f>(H6+I6)-J6</f>
        <v>0</v>
      </c>
      <c r="L6" s="1786">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0</v>
      </c>
      <c r="D8" s="845">
        <v>0</v>
      </c>
      <c r="E8" s="845">
        <v>0</v>
      </c>
      <c r="F8" s="1777">
        <f>(C8+D8)-E8</f>
        <v>0</v>
      </c>
      <c r="G8" s="844">
        <v>50</v>
      </c>
      <c r="H8" s="766">
        <v>0</v>
      </c>
      <c r="I8" s="766">
        <v>0</v>
      </c>
      <c r="J8" s="766">
        <v>0</v>
      </c>
      <c r="K8" s="1786">
        <f>(H8+I8)-J8</f>
        <v>0</v>
      </c>
      <c r="L8" s="1786">
        <f>F8-K8</f>
        <v>0</v>
      </c>
    </row>
    <row r="9" spans="1:14" ht="14.25" thickTop="1" thickBot="1" x14ac:dyDescent="0.25">
      <c r="A9" s="779" t="s">
        <v>1181</v>
      </c>
      <c r="B9" s="841">
        <v>232</v>
      </c>
      <c r="C9" s="766">
        <v>110527328</v>
      </c>
      <c r="D9" s="766">
        <v>416087</v>
      </c>
      <c r="E9" s="766">
        <v>0</v>
      </c>
      <c r="F9" s="1777">
        <f>(C9+D9)-E9</f>
        <v>110943415</v>
      </c>
      <c r="G9" s="844">
        <v>20</v>
      </c>
      <c r="H9" s="766">
        <v>34190587</v>
      </c>
      <c r="I9" s="766">
        <v>2215099</v>
      </c>
      <c r="J9" s="766">
        <v>0</v>
      </c>
      <c r="K9" s="1786">
        <f>(H9+I9)-J9</f>
        <v>36405686</v>
      </c>
      <c r="L9" s="1786">
        <f>F9-K9</f>
        <v>74537729</v>
      </c>
    </row>
    <row r="10" spans="1:14" ht="24" thickTop="1" thickBot="1" x14ac:dyDescent="0.25">
      <c r="A10" s="846" t="s">
        <v>1182</v>
      </c>
      <c r="B10" s="841">
        <v>240</v>
      </c>
      <c r="C10" s="847">
        <v>8531064</v>
      </c>
      <c r="D10" s="847">
        <v>88334</v>
      </c>
      <c r="E10" s="847">
        <v>0</v>
      </c>
      <c r="F10" s="1781">
        <f>(C10+D10)-E10</f>
        <v>8619398</v>
      </c>
      <c r="G10" s="844">
        <v>20</v>
      </c>
      <c r="H10" s="848">
        <v>5889602</v>
      </c>
      <c r="I10" s="848">
        <v>312287</v>
      </c>
      <c r="J10" s="848">
        <v>0</v>
      </c>
      <c r="K10" s="1786">
        <f>(H10+I10)-J10</f>
        <v>6201889</v>
      </c>
      <c r="L10" s="1786">
        <f>F10-K10</f>
        <v>2417509</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2676614</v>
      </c>
      <c r="D12" s="845">
        <v>50412</v>
      </c>
      <c r="E12" s="845">
        <v>31087</v>
      </c>
      <c r="F12" s="1777">
        <f>(C12+D12)-E12</f>
        <v>2695939</v>
      </c>
      <c r="G12" s="844">
        <v>10</v>
      </c>
      <c r="H12" s="766">
        <v>2315960</v>
      </c>
      <c r="I12" s="766">
        <v>160735</v>
      </c>
      <c r="J12" s="766">
        <v>31087</v>
      </c>
      <c r="K12" s="1786">
        <f>(H12+I12)-J12</f>
        <v>2445608</v>
      </c>
      <c r="L12" s="1786">
        <f>F12-K12</f>
        <v>250331</v>
      </c>
    </row>
    <row r="13" spans="1:14" ht="14.25" thickTop="1" thickBot="1" x14ac:dyDescent="0.25">
      <c r="A13" s="849" t="s">
        <v>1184</v>
      </c>
      <c r="B13" s="841">
        <v>252</v>
      </c>
      <c r="C13" s="845">
        <v>2506080</v>
      </c>
      <c r="D13" s="845">
        <v>0</v>
      </c>
      <c r="E13" s="845">
        <v>151337</v>
      </c>
      <c r="F13" s="1777">
        <f>(C13+D13)-E13</f>
        <v>2354743</v>
      </c>
      <c r="G13" s="844">
        <v>5</v>
      </c>
      <c r="H13" s="766">
        <v>2192315</v>
      </c>
      <c r="I13" s="766">
        <v>0</v>
      </c>
      <c r="J13" s="766">
        <v>24401</v>
      </c>
      <c r="K13" s="1786">
        <f>(H13+I13)-J13</f>
        <v>2167914</v>
      </c>
      <c r="L13" s="1786">
        <f>F13-K13</f>
        <v>186829</v>
      </c>
    </row>
    <row r="14" spans="1:14" ht="14.25" thickTop="1" thickBot="1" x14ac:dyDescent="0.25">
      <c r="A14" s="849" t="s">
        <v>1185</v>
      </c>
      <c r="B14" s="841">
        <v>253</v>
      </c>
      <c r="C14" s="766">
        <v>0</v>
      </c>
      <c r="D14" s="766">
        <v>0</v>
      </c>
      <c r="E14" s="766">
        <v>0</v>
      </c>
      <c r="F14" s="1777">
        <f>(C14+D14)-E14</f>
        <v>0</v>
      </c>
      <c r="G14" s="844">
        <v>3</v>
      </c>
      <c r="H14" s="766">
        <v>0</v>
      </c>
      <c r="I14" s="766">
        <v>0</v>
      </c>
      <c r="J14" s="766">
        <v>0</v>
      </c>
      <c r="K14" s="1786">
        <f>(H14+I14)-J14</f>
        <v>0</v>
      </c>
      <c r="L14" s="1786">
        <f>F14-K14</f>
        <v>0</v>
      </c>
    </row>
    <row r="15" spans="1:14" ht="15" customHeight="1" thickTop="1" thickBot="1" x14ac:dyDescent="0.25">
      <c r="A15" s="1650" t="s">
        <v>549</v>
      </c>
      <c r="B15" s="1649">
        <v>260</v>
      </c>
      <c r="C15" s="845">
        <v>374637</v>
      </c>
      <c r="D15" s="845">
        <v>11217727</v>
      </c>
      <c r="E15" s="845">
        <v>250706</v>
      </c>
      <c r="F15" s="1777">
        <f>(C15+D15)-E15</f>
        <v>11341658</v>
      </c>
      <c r="G15" s="850" t="s">
        <v>917</v>
      </c>
      <c r="H15" s="782"/>
      <c r="I15" s="782"/>
      <c r="J15" s="782"/>
      <c r="K15" s="782"/>
      <c r="L15" s="1786">
        <f>F15-K15</f>
        <v>11341658</v>
      </c>
    </row>
    <row r="16" spans="1:14" ht="15" customHeight="1" thickTop="1" thickBot="1" x14ac:dyDescent="0.25">
      <c r="A16" s="1782" t="s">
        <v>664</v>
      </c>
      <c r="B16" s="1783">
        <v>200</v>
      </c>
      <c r="C16" s="1777">
        <f>SUM(C3,C5:C6,C8:C10,C12:C15)</f>
        <v>125751222</v>
      </c>
      <c r="D16" s="1777">
        <f>SUM(D3,D5:D6,D8:D10,D12:D15)</f>
        <v>11776204</v>
      </c>
      <c r="E16" s="1777">
        <f>SUM(E3,E5:E6,E8:E10,E12:E15)</f>
        <v>433130</v>
      </c>
      <c r="F16" s="1777">
        <f>SUM(F3,F5:F6,F8:F10,F12:F15)</f>
        <v>137094296</v>
      </c>
      <c r="G16" s="844"/>
      <c r="H16" s="1777">
        <f>SUM(H3,H6,H8:H10,H12:H14,)</f>
        <v>44588464</v>
      </c>
      <c r="I16" s="1777">
        <f>SUM(I3,I6,I8:I10,I12:I14,)</f>
        <v>2688121</v>
      </c>
      <c r="J16" s="1777">
        <f>SUM(J3,J6,J8:J10,J12:J14,)</f>
        <v>55488</v>
      </c>
      <c r="K16" s="1777">
        <f>(H16+I16)-J16</f>
        <v>47221097</v>
      </c>
      <c r="L16" s="1777">
        <f>F16-K16</f>
        <v>89873199</v>
      </c>
    </row>
    <row r="17" spans="1:12" ht="15" customHeight="1" thickTop="1" thickBot="1" x14ac:dyDescent="0.25">
      <c r="A17" s="1652" t="s">
        <v>309</v>
      </c>
      <c r="B17" s="1649">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2688121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43" activePane="bottomLeft" state="frozen"/>
      <selection sqref="A1:M1"/>
      <selection pane="bottomLeft" sqref="A1:M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62141686</v>
      </c>
      <c r="G8" s="866"/>
    </row>
    <row r="9" spans="1:7" x14ac:dyDescent="0.2">
      <c r="A9" s="870" t="s">
        <v>480</v>
      </c>
      <c r="B9" s="871" t="s">
        <v>1986</v>
      </c>
      <c r="C9" s="872"/>
      <c r="D9" s="870" t="s">
        <v>522</v>
      </c>
      <c r="E9" s="869"/>
      <c r="F9" s="1927">
        <f>'Expenditures 15-22'!K151</f>
        <v>10435022</v>
      </c>
      <c r="G9" s="873"/>
    </row>
    <row r="10" spans="1:7" x14ac:dyDescent="0.2">
      <c r="A10" s="870" t="s">
        <v>520</v>
      </c>
      <c r="B10" s="871" t="s">
        <v>1987</v>
      </c>
      <c r="C10" s="872"/>
      <c r="D10" s="870" t="s">
        <v>522</v>
      </c>
      <c r="E10" s="869"/>
      <c r="F10" s="1927">
        <f>'Expenditures 15-22'!K174</f>
        <v>6999751</v>
      </c>
      <c r="G10" s="873"/>
    </row>
    <row r="11" spans="1:7" x14ac:dyDescent="0.2">
      <c r="A11" s="870" t="s">
        <v>481</v>
      </c>
      <c r="B11" s="871" t="s">
        <v>1988</v>
      </c>
      <c r="C11" s="872"/>
      <c r="D11" s="870" t="s">
        <v>522</v>
      </c>
      <c r="E11" s="869"/>
      <c r="F11" s="1927">
        <f>'Expenditures 15-22'!K210</f>
        <v>999577</v>
      </c>
      <c r="G11" s="873"/>
    </row>
    <row r="12" spans="1:7" x14ac:dyDescent="0.2">
      <c r="A12" s="870" t="s">
        <v>482</v>
      </c>
      <c r="B12" s="871" t="s">
        <v>1989</v>
      </c>
      <c r="C12" s="872"/>
      <c r="D12" s="870" t="s">
        <v>522</v>
      </c>
      <c r="E12" s="869"/>
      <c r="F12" s="1927">
        <f>'Expenditures 15-22'!K295</f>
        <v>2383461</v>
      </c>
      <c r="G12" s="873"/>
    </row>
    <row r="13" spans="1:7" x14ac:dyDescent="0.2">
      <c r="A13" s="870" t="s">
        <v>108</v>
      </c>
      <c r="B13" s="871" t="s">
        <v>1990</v>
      </c>
      <c r="C13" s="872"/>
      <c r="D13" s="870" t="s">
        <v>522</v>
      </c>
      <c r="E13" s="869"/>
      <c r="F13" s="1927">
        <f>'Expenditures 15-22'!K342</f>
        <v>966350</v>
      </c>
      <c r="G13" s="874"/>
    </row>
    <row r="14" spans="1:7" ht="12" customHeight="1" thickBot="1" x14ac:dyDescent="0.25">
      <c r="A14" s="1787"/>
      <c r="B14" s="1788"/>
      <c r="C14" s="1789"/>
      <c r="D14" s="1790" t="s">
        <v>522</v>
      </c>
      <c r="E14" s="1791" t="s">
        <v>1015</v>
      </c>
      <c r="F14" s="1792">
        <f>SUM(F8:F13)</f>
        <v>83925847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157505</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718892</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90926</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348313</v>
      </c>
      <c r="G52" s="866"/>
    </row>
    <row r="53" spans="1:7" x14ac:dyDescent="0.2">
      <c r="A53" s="870" t="s">
        <v>479</v>
      </c>
      <c r="B53" s="870" t="s">
        <v>1551</v>
      </c>
      <c r="C53" s="890">
        <f>'Expenditures 15-22'!B102</f>
        <v>4000</v>
      </c>
      <c r="D53" s="889" t="str">
        <f>'Expenditures 15-22'!A102</f>
        <v>Total Payments to Other Govt Units</v>
      </c>
      <c r="E53" s="869"/>
      <c r="F53" s="1931">
        <f>'Expenditures 15-22'!K102</f>
        <v>277300</v>
      </c>
      <c r="G53" s="866"/>
    </row>
    <row r="54" spans="1:7" x14ac:dyDescent="0.2">
      <c r="A54" s="870" t="s">
        <v>479</v>
      </c>
      <c r="B54" s="870" t="s">
        <v>1552</v>
      </c>
      <c r="C54" s="890" t="s">
        <v>1039</v>
      </c>
      <c r="D54" s="886" t="s">
        <v>1157</v>
      </c>
      <c r="E54" s="869"/>
      <c r="F54" s="1931">
        <f>'Expenditures 15-22'!G114</f>
        <v>856282</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1">
        <f>'Expenditures 15-22'!K139</f>
        <v>0</v>
      </c>
      <c r="G57" s="866"/>
    </row>
    <row r="58" spans="1:7" x14ac:dyDescent="0.2">
      <c r="A58" s="870" t="s">
        <v>480</v>
      </c>
      <c r="B58" s="870" t="s">
        <v>1992</v>
      </c>
      <c r="C58" s="887" t="s">
        <v>1039</v>
      </c>
      <c r="D58" s="886" t="s">
        <v>1157</v>
      </c>
      <c r="E58" s="869"/>
      <c r="F58" s="1933">
        <f>'Expenditures 15-22'!G151</f>
        <v>4407610</v>
      </c>
      <c r="G58" s="866"/>
    </row>
    <row r="59" spans="1:7" x14ac:dyDescent="0.2">
      <c r="A59" s="894" t="s">
        <v>480</v>
      </c>
      <c r="B59" s="857" t="s">
        <v>1993</v>
      </c>
      <c r="C59" s="895" t="s">
        <v>1039</v>
      </c>
      <c r="D59" s="857" t="s">
        <v>309</v>
      </c>
      <c r="F59" s="1934">
        <f>'Expenditures 15-22'!I151</f>
        <v>0</v>
      </c>
      <c r="G59" s="866"/>
    </row>
    <row r="60" spans="1:7" x14ac:dyDescent="0.2">
      <c r="A60" s="894" t="s">
        <v>520</v>
      </c>
      <c r="B60" s="857" t="s">
        <v>1994</v>
      </c>
      <c r="C60" s="895">
        <v>4000</v>
      </c>
      <c r="D60" s="857" t="s">
        <v>330</v>
      </c>
      <c r="F60" s="1932">
        <f>'Expenditures 15-22'!K160</f>
        <v>0</v>
      </c>
      <c r="G60" s="866"/>
    </row>
    <row r="61" spans="1:7" x14ac:dyDescent="0.2">
      <c r="A61" s="896" t="s">
        <v>520</v>
      </c>
      <c r="B61" s="896" t="s">
        <v>1995</v>
      </c>
      <c r="C61" s="897" t="str">
        <f>'Expenditures 15-22'!B170</f>
        <v>5300</v>
      </c>
      <c r="D61" s="898" t="s">
        <v>329</v>
      </c>
      <c r="E61" s="880"/>
      <c r="F61" s="1931">
        <f>'Expenditures 15-22'!K170</f>
        <v>6064100</v>
      </c>
      <c r="G61" s="866"/>
    </row>
    <row r="62" spans="1:7" x14ac:dyDescent="0.2">
      <c r="A62" s="870" t="s">
        <v>481</v>
      </c>
      <c r="B62" s="870" t="s">
        <v>1996</v>
      </c>
      <c r="C62" s="887">
        <f>'Expenditures 15-22'!B185</f>
        <v>3000</v>
      </c>
      <c r="D62" s="877" t="s">
        <v>469</v>
      </c>
      <c r="E62" s="869"/>
      <c r="F62" s="1931">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1998</v>
      </c>
      <c r="C64" s="897" t="str">
        <f>'Expenditures 15-22'!B206</f>
        <v>5300</v>
      </c>
      <c r="D64" s="893" t="s">
        <v>329</v>
      </c>
      <c r="E64" s="869"/>
      <c r="F64" s="1931">
        <f>'Expenditures 15-22'!K206</f>
        <v>0</v>
      </c>
      <c r="G64" s="866"/>
    </row>
    <row r="65" spans="1:8" x14ac:dyDescent="0.2">
      <c r="A65" s="870" t="s">
        <v>481</v>
      </c>
      <c r="B65" s="870" t="s">
        <v>1999</v>
      </c>
      <c r="C65" s="887" t="s">
        <v>1039</v>
      </c>
      <c r="D65" s="886" t="s">
        <v>1157</v>
      </c>
      <c r="E65" s="869"/>
      <c r="F65" s="1931">
        <f>'Expenditures 15-22'!G210</f>
        <v>7539</v>
      </c>
      <c r="G65" s="866"/>
    </row>
    <row r="66" spans="1:8" x14ac:dyDescent="0.2">
      <c r="A66" s="870" t="s">
        <v>481</v>
      </c>
      <c r="B66" s="870" t="s">
        <v>2000</v>
      </c>
      <c r="C66" s="887" t="s">
        <v>1039</v>
      </c>
      <c r="D66" s="886" t="s">
        <v>309</v>
      </c>
      <c r="E66" s="869"/>
      <c r="F66" s="1931">
        <f>'Expenditures 15-22'!I210</f>
        <v>0</v>
      </c>
      <c r="G66" s="866"/>
    </row>
    <row r="67" spans="1:8" x14ac:dyDescent="0.2">
      <c r="A67" s="870" t="s">
        <v>482</v>
      </c>
      <c r="B67" s="870" t="s">
        <v>2001</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1498</v>
      </c>
      <c r="G68" s="866"/>
    </row>
    <row r="69" spans="1:8" x14ac:dyDescent="0.2">
      <c r="A69" s="870" t="s">
        <v>482</v>
      </c>
      <c r="B69" s="870" t="s">
        <v>2002</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2003</v>
      </c>
      <c r="C70" s="887">
        <f>'Expenditures 15-22'!B221</f>
        <v>1300</v>
      </c>
      <c r="D70" s="888" t="str">
        <f>'Expenditures 15-22'!A221</f>
        <v>Adult/Continuing Education Programs</v>
      </c>
      <c r="E70" s="869"/>
      <c r="F70" s="1931">
        <f>'Expenditures 15-22'!K221</f>
        <v>0</v>
      </c>
      <c r="G70" s="866"/>
    </row>
    <row r="71" spans="1:8" x14ac:dyDescent="0.2">
      <c r="A71" s="870" t="s">
        <v>482</v>
      </c>
      <c r="B71" s="870" t="s">
        <v>2004</v>
      </c>
      <c r="C71" s="887">
        <f>'Expenditures 15-22'!B224</f>
        <v>1600</v>
      </c>
      <c r="D71" s="888" t="str">
        <f>'Expenditures 15-22'!A224</f>
        <v>Summer School Programs</v>
      </c>
      <c r="E71" s="869"/>
      <c r="F71" s="1931">
        <f>'Expenditures 15-22'!K224</f>
        <v>3594</v>
      </c>
      <c r="G71" s="866"/>
    </row>
    <row r="72" spans="1:8" x14ac:dyDescent="0.2">
      <c r="A72" s="870" t="s">
        <v>482</v>
      </c>
      <c r="B72" s="870" t="s">
        <v>2005</v>
      </c>
      <c r="C72" s="887">
        <f>'Expenditures 15-22'!B280</f>
        <v>3000</v>
      </c>
      <c r="D72" s="877" t="s">
        <v>469</v>
      </c>
      <c r="E72" s="869"/>
      <c r="F72" s="1931">
        <f>'Expenditures 15-22'!K280</f>
        <v>752</v>
      </c>
      <c r="G72" s="866"/>
    </row>
    <row r="73" spans="1:8" x14ac:dyDescent="0.2">
      <c r="A73" s="870" t="s">
        <v>482</v>
      </c>
      <c r="B73" s="870" t="s">
        <v>2006</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2007</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2008</v>
      </c>
      <c r="E76" s="1791" t="s">
        <v>1015</v>
      </c>
      <c r="F76" s="1795">
        <f>SUM(F18:F74)</f>
        <v>12934311</v>
      </c>
      <c r="G76" s="866"/>
    </row>
    <row r="77" spans="1:8" s="894" customFormat="1" ht="12" customHeight="1" thickTop="1" thickBot="1" x14ac:dyDescent="0.25">
      <c r="A77" s="1796"/>
      <c r="B77" s="1793"/>
      <c r="C77" s="1789"/>
      <c r="D77" s="1794" t="s">
        <v>2009</v>
      </c>
      <c r="E77" s="1791"/>
      <c r="F77" s="1797">
        <f>(F14-F76)</f>
        <v>70991536</v>
      </c>
      <c r="G77" s="870"/>
    </row>
    <row r="78" spans="1:8" s="894" customFormat="1" ht="12" customHeight="1" thickTop="1" x14ac:dyDescent="0.2">
      <c r="A78" s="1798"/>
      <c r="B78" s="1793"/>
      <c r="C78" s="1789"/>
      <c r="D78" s="1794" t="s">
        <v>2055</v>
      </c>
      <c r="E78" s="1791"/>
      <c r="F78" s="899">
        <v>6492.78</v>
      </c>
      <c r="G78" s="900"/>
      <c r="H78" s="870"/>
    </row>
    <row r="79" spans="1:8" s="894" customFormat="1" ht="12" customHeight="1" thickBot="1" x14ac:dyDescent="0.25">
      <c r="A79" s="1799"/>
      <c r="B79" s="1793"/>
      <c r="C79" s="1789"/>
      <c r="D79" s="1794" t="s">
        <v>2010</v>
      </c>
      <c r="E79" s="1791" t="s">
        <v>1015</v>
      </c>
      <c r="F79" s="1800">
        <f>IF(F78&gt;0,F77/F78," Complete Line 78")</f>
        <v>10933.919830950686</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842048</v>
      </c>
      <c r="G94" s="913"/>
    </row>
    <row r="95" spans="1:7" x14ac:dyDescent="0.2">
      <c r="A95" s="909" t="s">
        <v>142</v>
      </c>
      <c r="B95" s="909" t="s">
        <v>177</v>
      </c>
      <c r="C95" s="911">
        <v>1700</v>
      </c>
      <c r="D95" s="919" t="str">
        <f>'Revenues 9-14'!A82</f>
        <v>Total District/School Activity Income</v>
      </c>
      <c r="E95" s="907"/>
      <c r="F95" s="1806">
        <f>SUM('Revenues 9-14'!C82,'Revenues 9-14'!D82)</f>
        <v>141223</v>
      </c>
      <c r="G95" s="913"/>
    </row>
    <row r="96" spans="1:7" x14ac:dyDescent="0.2">
      <c r="A96" s="909" t="s">
        <v>479</v>
      </c>
      <c r="B96" s="909" t="s">
        <v>178</v>
      </c>
      <c r="C96" s="911">
        <f>'Revenues 9-14'!B84</f>
        <v>1811</v>
      </c>
      <c r="D96" s="912" t="str">
        <f>'Revenues 9-14'!A84</f>
        <v>Rentals - Regular Textbooks</v>
      </c>
      <c r="E96" s="907"/>
      <c r="F96" s="1806">
        <f>'Revenues 9-14'!C84</f>
        <v>286393</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203</v>
      </c>
      <c r="G100" s="913"/>
    </row>
    <row r="101" spans="1:7" x14ac:dyDescent="0.2">
      <c r="A101" s="909" t="s">
        <v>142</v>
      </c>
      <c r="B101" s="909" t="s">
        <v>183</v>
      </c>
      <c r="C101" s="911">
        <f>'Revenues 9-14'!B95</f>
        <v>1910</v>
      </c>
      <c r="D101" s="912" t="str">
        <f>'Revenues 9-14'!A95</f>
        <v>Rentals</v>
      </c>
      <c r="E101" s="907"/>
      <c r="F101" s="1806">
        <f>SUM('Revenues 9-14'!C95:D95)</f>
        <v>40847</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878940</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137556</v>
      </c>
      <c r="G106" s="913"/>
    </row>
    <row r="107" spans="1:7" x14ac:dyDescent="0.2">
      <c r="A107" s="922" t="s">
        <v>685</v>
      </c>
      <c r="B107" s="909" t="s">
        <v>843</v>
      </c>
      <c r="C107" s="921">
        <v>3300</v>
      </c>
      <c r="D107" s="912" t="str">
        <f>'Revenues 9-14'!A144</f>
        <v>Total Bilingual Ed</v>
      </c>
      <c r="E107" s="907"/>
      <c r="F107" s="1806">
        <f>SUM('Revenues 9-14'!C144,'Revenues 9-14'!G144)</f>
        <v>403875</v>
      </c>
      <c r="G107" s="913"/>
    </row>
    <row r="108" spans="1:7" x14ac:dyDescent="0.2">
      <c r="A108" s="909" t="s">
        <v>479</v>
      </c>
      <c r="B108" s="909" t="s">
        <v>844</v>
      </c>
      <c r="C108" s="921">
        <f>'Revenues 9-14'!B145</f>
        <v>3360</v>
      </c>
      <c r="D108" s="912" t="str">
        <f>'Revenues 9-14'!A145</f>
        <v>State Free Lunch &amp; Breakfast</v>
      </c>
      <c r="E108" s="907"/>
      <c r="F108" s="1806">
        <f>'Revenues 9-14'!C145</f>
        <v>28691</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75025</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365841</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188072</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6">
        <f>SUM('Revenues 9-14'!C201,'Revenues 9-14'!G201)</f>
        <v>1997717</v>
      </c>
      <c r="G129" s="931"/>
    </row>
    <row r="130" spans="1:7" x14ac:dyDescent="0.2">
      <c r="A130" s="928" t="s">
        <v>689</v>
      </c>
      <c r="B130" s="928" t="s">
        <v>804</v>
      </c>
      <c r="C130" s="933">
        <v>4300</v>
      </c>
      <c r="D130" s="934" t="str">
        <f>'Revenues 9-14'!A211</f>
        <v>Total Title I</v>
      </c>
      <c r="E130" s="907"/>
      <c r="F130" s="1806">
        <f>SUM('Revenues 9-14'!C211,'Revenues 9-14'!D211,'Revenues 9-14'!F211,'Revenues 9-14'!G211)</f>
        <v>1813741</v>
      </c>
      <c r="G130" s="931"/>
    </row>
    <row r="131" spans="1:7" x14ac:dyDescent="0.2">
      <c r="A131" s="928" t="s">
        <v>689</v>
      </c>
      <c r="B131" s="928" t="s">
        <v>805</v>
      </c>
      <c r="C131" s="933">
        <v>4400</v>
      </c>
      <c r="D131" s="934" t="str">
        <f>'Revenues 9-14'!A216</f>
        <v>Total Title IV</v>
      </c>
      <c r="E131" s="907"/>
      <c r="F131" s="1806">
        <f>SUM('Revenues 9-14'!C216,'Revenues 9-14'!D216,'Revenues 9-14'!F216,'Revenues 9-14'!G216)</f>
        <v>237289</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1468999</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145103</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0</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4422</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119692</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312394</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166852</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188465</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6" t="s">
        <v>5</v>
      </c>
      <c r="B175" s="1937" t="s">
        <v>2054</v>
      </c>
      <c r="C175" s="1938">
        <v>3100</v>
      </c>
      <c r="D175" s="1939" t="s">
        <v>2057</v>
      </c>
      <c r="E175" s="907"/>
      <c r="F175" s="1923">
        <v>2067759.98</v>
      </c>
      <c r="G175" s="928"/>
    </row>
    <row r="176" spans="1:7" x14ac:dyDescent="0.2">
      <c r="A176" s="1936" t="s">
        <v>685</v>
      </c>
      <c r="B176" s="1937" t="s">
        <v>2054</v>
      </c>
      <c r="C176" s="1938">
        <v>3300</v>
      </c>
      <c r="D176" s="1939" t="s">
        <v>2058</v>
      </c>
      <c r="E176" s="907"/>
      <c r="F176" s="1923">
        <v>462863.75</v>
      </c>
      <c r="G176" s="928"/>
    </row>
    <row r="177" spans="1:7" ht="6" customHeight="1" x14ac:dyDescent="0.2">
      <c r="A177" s="928"/>
      <c r="B177" s="928"/>
      <c r="C177" s="950"/>
      <c r="D177" s="928"/>
      <c r="E177" s="907"/>
      <c r="F177" s="951"/>
      <c r="G177" s="948"/>
    </row>
    <row r="178" spans="1:7" x14ac:dyDescent="0.2">
      <c r="A178" s="1787"/>
      <c r="B178" s="1801"/>
      <c r="C178" s="1802"/>
      <c r="D178" s="1803" t="s">
        <v>2011</v>
      </c>
      <c r="E178" s="1804" t="s">
        <v>1015</v>
      </c>
      <c r="F178" s="1805">
        <f>SUM(F84:F136,F161:F176)</f>
        <v>12374011.73</v>
      </c>
    </row>
    <row r="179" spans="1:7" ht="12" customHeight="1" x14ac:dyDescent="0.2">
      <c r="A179" s="1787"/>
      <c r="B179" s="1801"/>
      <c r="C179" s="1802"/>
      <c r="D179" s="1803" t="s">
        <v>2012</v>
      </c>
      <c r="E179" s="1804"/>
      <c r="F179" s="1806">
        <f>'PCTC-OEPP 27-28'!F77-F178</f>
        <v>58617524.269999996</v>
      </c>
    </row>
    <row r="180" spans="1:7" ht="12" customHeight="1" x14ac:dyDescent="0.2">
      <c r="A180" s="1787"/>
      <c r="B180" s="1801"/>
      <c r="C180" s="1802"/>
      <c r="D180" s="1803" t="s">
        <v>1922</v>
      </c>
      <c r="E180" s="1804"/>
      <c r="F180" s="1806">
        <f>'Cap Outlay Deprec 26'!I18</f>
        <v>2688121</v>
      </c>
    </row>
    <row r="181" spans="1:7" ht="12" customHeight="1" x14ac:dyDescent="0.2">
      <c r="A181" s="1787"/>
      <c r="B181" s="1801"/>
      <c r="C181" s="1802"/>
      <c r="D181" s="1803" t="s">
        <v>2013</v>
      </c>
      <c r="E181" s="1804"/>
      <c r="F181" s="1806">
        <f>F179+F180</f>
        <v>61305645.269999996</v>
      </c>
    </row>
    <row r="182" spans="1:7" ht="12" customHeight="1" x14ac:dyDescent="0.2">
      <c r="A182" s="1787"/>
      <c r="B182" s="1807"/>
      <c r="C182" s="1802"/>
      <c r="D182" s="1803" t="str">
        <f>D78</f>
        <v>9 Month ADA from District Average Daily Attendance/Prior General State Aid Inquiry 2017-2018</v>
      </c>
      <c r="E182" s="1804"/>
      <c r="F182" s="1808">
        <f>'PCTC-OEPP 27-28'!F78</f>
        <v>6492.78</v>
      </c>
      <c r="G182" s="931"/>
    </row>
    <row r="183" spans="1:7" ht="12" customHeight="1" thickBot="1" x14ac:dyDescent="0.25">
      <c r="A183" s="1787"/>
      <c r="B183" s="1807"/>
      <c r="C183" s="1802"/>
      <c r="D183" s="1803" t="s">
        <v>2014</v>
      </c>
      <c r="E183" s="1804" t="s">
        <v>1626</v>
      </c>
      <c r="F183" s="1809">
        <f>F181/F182</f>
        <v>9442.1257566096483</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0" customFormat="1" ht="12.2" customHeight="1" x14ac:dyDescent="0.2">
      <c r="A186" s="1940" t="s">
        <v>2061</v>
      </c>
      <c r="B186" s="1941"/>
      <c r="C186" s="1942"/>
      <c r="D186" s="1941"/>
      <c r="E186" s="1942"/>
      <c r="F186" s="1941"/>
      <c r="G186" s="1941"/>
    </row>
    <row r="187" spans="1:7" s="1940" customFormat="1" ht="12.2" customHeight="1" x14ac:dyDescent="0.2">
      <c r="A187" s="1943" t="s">
        <v>2062</v>
      </c>
      <c r="C187" s="1942"/>
      <c r="D187" s="1941"/>
      <c r="E187" s="1942"/>
      <c r="F187" s="1941"/>
      <c r="G187" s="1941"/>
    </row>
    <row r="188" spans="1:7" ht="12" customHeight="1" x14ac:dyDescent="0.2">
      <c r="C188" s="950"/>
      <c r="D188" s="931"/>
      <c r="E188" s="950"/>
      <c r="F188" s="931"/>
      <c r="G188" s="931"/>
    </row>
    <row r="189" spans="1:7" x14ac:dyDescent="0.2">
      <c r="A189" s="1944" t="s">
        <v>2060</v>
      </c>
      <c r="B189" s="1945"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sqref="A1:M1"/>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6" t="s">
        <v>1938</v>
      </c>
      <c r="B1" s="1677"/>
      <c r="C1" s="1677"/>
      <c r="D1" s="1677"/>
      <c r="E1" s="1677"/>
      <c r="F1" s="1677"/>
      <c r="G1" s="1677"/>
    </row>
    <row r="2" spans="1:7" x14ac:dyDescent="0.25">
      <c r="A2" s="1674"/>
      <c r="B2" s="1674"/>
      <c r="C2" s="1675" t="s">
        <v>1036</v>
      </c>
      <c r="D2" s="1674"/>
      <c r="E2" s="1674"/>
      <c r="F2" s="1674"/>
      <c r="G2" s="1674"/>
    </row>
    <row r="3" spans="1:7" ht="5.25" customHeight="1" x14ac:dyDescent="0.25">
      <c r="A3" s="1564"/>
      <c r="B3" s="1564"/>
      <c r="C3" s="1564"/>
      <c r="D3" s="1564"/>
      <c r="E3" s="1564"/>
      <c r="F3" s="1564"/>
      <c r="G3" s="1564"/>
    </row>
    <row r="4" spans="1:7" ht="18.75" customHeight="1" x14ac:dyDescent="0.25">
      <c r="A4" s="2292" t="s">
        <v>1923</v>
      </c>
      <c r="B4" s="2293"/>
      <c r="C4" s="2293"/>
      <c r="D4" s="2293"/>
      <c r="E4" s="2293"/>
      <c r="F4" s="2293"/>
      <c r="G4" s="2294"/>
    </row>
    <row r="5" spans="1:7" x14ac:dyDescent="0.25">
      <c r="A5" s="2295"/>
      <c r="B5" s="2296"/>
      <c r="C5" s="2296"/>
      <c r="D5" s="2296"/>
      <c r="E5" s="2296"/>
      <c r="F5" s="2296"/>
      <c r="G5" s="2297"/>
    </row>
    <row r="6" spans="1:7" ht="18.75" x14ac:dyDescent="0.25">
      <c r="A6" s="1553" t="s">
        <v>1924</v>
      </c>
      <c r="B6" s="1554"/>
      <c r="C6" s="1554"/>
      <c r="D6" s="1554"/>
      <c r="E6" s="1554"/>
      <c r="F6" s="1554"/>
      <c r="G6" s="1555"/>
    </row>
    <row r="7" spans="1:7" ht="30.75" customHeight="1" x14ac:dyDescent="0.25">
      <c r="A7" s="2298" t="s">
        <v>2071</v>
      </c>
      <c r="B7" s="2299"/>
      <c r="C7" s="2299"/>
      <c r="D7" s="2299"/>
      <c r="E7" s="2299"/>
      <c r="F7" s="2299"/>
      <c r="G7" s="2300"/>
    </row>
    <row r="8" spans="1:7" ht="15.75" customHeight="1" x14ac:dyDescent="0.25">
      <c r="A8" s="2301" t="s">
        <v>2020</v>
      </c>
      <c r="B8" s="2302"/>
      <c r="C8" s="2302"/>
      <c r="D8" s="2302"/>
      <c r="E8" s="2302"/>
      <c r="F8" s="2302"/>
      <c r="G8" s="2303"/>
    </row>
    <row r="9" spans="1:7" ht="35.25" customHeight="1" x14ac:dyDescent="0.25">
      <c r="A9" s="2298" t="s">
        <v>2074</v>
      </c>
      <c r="B9" s="2299"/>
      <c r="C9" s="2299"/>
      <c r="D9" s="2299"/>
      <c r="E9" s="2299"/>
      <c r="F9" s="2299"/>
      <c r="G9" s="2300"/>
    </row>
    <row r="10" spans="1:7" ht="15" customHeight="1" x14ac:dyDescent="0.25">
      <c r="A10" s="1556" t="s">
        <v>1925</v>
      </c>
      <c r="B10" s="1557"/>
      <c r="C10" s="1557"/>
      <c r="D10" s="1557"/>
      <c r="E10" s="1557"/>
      <c r="F10" s="1557"/>
      <c r="G10" s="1558"/>
    </row>
    <row r="11" spans="1:7" ht="17.25" customHeight="1" x14ac:dyDescent="0.25">
      <c r="A11" s="2298" t="s">
        <v>2073</v>
      </c>
      <c r="B11" s="2299"/>
      <c r="C11" s="2299"/>
      <c r="D11" s="2299"/>
      <c r="E11" s="2299"/>
      <c r="F11" s="2299"/>
      <c r="G11" s="2300"/>
    </row>
    <row r="12" spans="1:7" ht="15" customHeight="1" x14ac:dyDescent="0.25">
      <c r="A12" s="1556" t="s">
        <v>1930</v>
      </c>
      <c r="B12" s="1557"/>
      <c r="C12" s="1557"/>
      <c r="D12" s="1557"/>
      <c r="E12" s="1557"/>
      <c r="F12" s="1557"/>
      <c r="G12" s="1558"/>
    </row>
    <row r="13" spans="1:7" ht="32.25" customHeight="1" x14ac:dyDescent="0.25">
      <c r="A13" s="2289" t="s">
        <v>1931</v>
      </c>
      <c r="B13" s="2290"/>
      <c r="C13" s="2290"/>
      <c r="D13" s="2290"/>
      <c r="E13" s="2290"/>
      <c r="F13" s="2290"/>
      <c r="G13" s="2291"/>
    </row>
    <row r="14" spans="1:7" x14ac:dyDescent="0.25">
      <c r="A14" s="1678" t="s">
        <v>1939</v>
      </c>
      <c r="B14" s="1679"/>
      <c r="C14" s="1679"/>
      <c r="D14" s="1679"/>
      <c r="E14" s="1679"/>
      <c r="F14" s="1679"/>
      <c r="G14" s="1680"/>
    </row>
    <row r="15" spans="1:7" ht="61.5" customHeight="1" x14ac:dyDescent="0.25">
      <c r="A15" s="1565" t="s">
        <v>1932</v>
      </c>
      <c r="B15" s="1565" t="s">
        <v>1933</v>
      </c>
      <c r="C15" s="1565" t="s">
        <v>1934</v>
      </c>
      <c r="D15" s="1566" t="s">
        <v>1935</v>
      </c>
      <c r="E15" s="1566" t="s">
        <v>1926</v>
      </c>
      <c r="F15" s="1566" t="s">
        <v>1936</v>
      </c>
      <c r="G15" s="1566" t="s">
        <v>1937</v>
      </c>
    </row>
    <row r="16" spans="1:7" x14ac:dyDescent="0.25">
      <c r="A16" s="1667" t="s">
        <v>1940</v>
      </c>
      <c r="B16" s="1668" t="s">
        <v>1929</v>
      </c>
      <c r="C16" s="1669" t="s">
        <v>1927</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3" t="s">
        <v>2180</v>
      </c>
      <c r="B17" s="1954" t="s">
        <v>2181</v>
      </c>
      <c r="C17" s="1955" t="s">
        <v>2182</v>
      </c>
      <c r="D17" s="1956">
        <v>15545</v>
      </c>
      <c r="E17" s="1559">
        <f t="shared" ref="E17:E141" si="1">IF(D17&lt;=25000,D17,IF(D17&gt;25000,25000,0))</f>
        <v>15545</v>
      </c>
      <c r="F17" s="1810">
        <f t="shared" si="0"/>
        <v>15545</v>
      </c>
      <c r="G17" s="1811">
        <f>IF(F17=0,0,D17-F17)</f>
        <v>0</v>
      </c>
      <c r="H17" s="1666"/>
    </row>
    <row r="18" spans="1:8" x14ac:dyDescent="0.25">
      <c r="A18" s="1953" t="s">
        <v>2180</v>
      </c>
      <c r="B18" s="1954" t="s">
        <v>2181</v>
      </c>
      <c r="C18" s="1955" t="s">
        <v>2183</v>
      </c>
      <c r="D18" s="1956">
        <v>27441</v>
      </c>
      <c r="E18" s="1559">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40" si="4">IF(F18=0,0,D18-F18)</f>
        <v>2441</v>
      </c>
    </row>
    <row r="19" spans="1:8" x14ac:dyDescent="0.25">
      <c r="A19" s="1953" t="s">
        <v>2180</v>
      </c>
      <c r="B19" s="1954" t="s">
        <v>2181</v>
      </c>
      <c r="C19" s="1955" t="s">
        <v>2184</v>
      </c>
      <c r="D19" s="1956">
        <v>5268</v>
      </c>
      <c r="E19" s="1559">
        <f t="shared" si="2"/>
        <v>5268</v>
      </c>
      <c r="F19" s="1810">
        <f t="shared" si="3"/>
        <v>5268</v>
      </c>
      <c r="G19" s="1811">
        <f t="shared" si="4"/>
        <v>0</v>
      </c>
    </row>
    <row r="20" spans="1:8" x14ac:dyDescent="0.25">
      <c r="A20" s="1953" t="s">
        <v>2180</v>
      </c>
      <c r="B20" s="1954" t="s">
        <v>2181</v>
      </c>
      <c r="C20" s="1955" t="s">
        <v>2185</v>
      </c>
      <c r="D20" s="1956">
        <v>6258</v>
      </c>
      <c r="E20" s="1559">
        <f t="shared" si="2"/>
        <v>6258</v>
      </c>
      <c r="F20" s="1810">
        <f t="shared" si="3"/>
        <v>6258</v>
      </c>
      <c r="G20" s="1811">
        <f t="shared" si="4"/>
        <v>0</v>
      </c>
    </row>
    <row r="21" spans="1:8" x14ac:dyDescent="0.25">
      <c r="A21" s="1953" t="s">
        <v>2180</v>
      </c>
      <c r="B21" s="1954" t="s">
        <v>2181</v>
      </c>
      <c r="C21" s="1955" t="s">
        <v>2186</v>
      </c>
      <c r="D21" s="1956">
        <v>22302</v>
      </c>
      <c r="E21" s="1559">
        <f t="shared" si="2"/>
        <v>22302</v>
      </c>
      <c r="F21" s="1810">
        <f t="shared" si="3"/>
        <v>22302</v>
      </c>
      <c r="G21" s="1811">
        <f t="shared" si="4"/>
        <v>0</v>
      </c>
    </row>
    <row r="22" spans="1:8" x14ac:dyDescent="0.25">
      <c r="A22" s="1953" t="s">
        <v>2180</v>
      </c>
      <c r="B22" s="1954" t="s">
        <v>2181</v>
      </c>
      <c r="C22" s="1955" t="s">
        <v>2187</v>
      </c>
      <c r="D22" s="1956">
        <v>15077</v>
      </c>
      <c r="E22" s="1559">
        <f t="shared" si="2"/>
        <v>15077</v>
      </c>
      <c r="F22" s="1810">
        <f t="shared" si="3"/>
        <v>15077</v>
      </c>
      <c r="G22" s="1811">
        <f t="shared" si="4"/>
        <v>0</v>
      </c>
    </row>
    <row r="23" spans="1:8" x14ac:dyDescent="0.25">
      <c r="A23" s="1953" t="s">
        <v>2180</v>
      </c>
      <c r="B23" s="1954" t="s">
        <v>2181</v>
      </c>
      <c r="C23" s="1955" t="s">
        <v>2188</v>
      </c>
      <c r="D23" s="1956">
        <v>27099</v>
      </c>
      <c r="E23" s="1559">
        <f t="shared" si="2"/>
        <v>25000</v>
      </c>
      <c r="F23" s="1810">
        <f t="shared" si="3"/>
        <v>25000</v>
      </c>
      <c r="G23" s="1811">
        <f t="shared" si="4"/>
        <v>2099</v>
      </c>
    </row>
    <row r="24" spans="1:8" x14ac:dyDescent="0.25">
      <c r="A24" s="1953" t="s">
        <v>2180</v>
      </c>
      <c r="B24" s="1954" t="s">
        <v>2181</v>
      </c>
      <c r="C24" s="1955" t="s">
        <v>2188</v>
      </c>
      <c r="D24" s="1956">
        <v>33166</v>
      </c>
      <c r="E24" s="1559">
        <f t="shared" si="2"/>
        <v>25000</v>
      </c>
      <c r="F24" s="1810">
        <f t="shared" si="3"/>
        <v>25000</v>
      </c>
      <c r="G24" s="1811">
        <f t="shared" si="4"/>
        <v>8166</v>
      </c>
    </row>
    <row r="25" spans="1:8" x14ac:dyDescent="0.25">
      <c r="A25" s="1953" t="s">
        <v>2180</v>
      </c>
      <c r="B25" s="1954" t="s">
        <v>2181</v>
      </c>
      <c r="C25" s="1955" t="s">
        <v>2188</v>
      </c>
      <c r="D25" s="1956">
        <v>33166</v>
      </c>
      <c r="E25" s="1559">
        <f t="shared" si="2"/>
        <v>25000</v>
      </c>
      <c r="F25" s="1810">
        <f t="shared" si="3"/>
        <v>25000</v>
      </c>
      <c r="G25" s="1811">
        <f t="shared" si="4"/>
        <v>8166</v>
      </c>
    </row>
    <row r="26" spans="1:8" x14ac:dyDescent="0.25">
      <c r="A26" s="1953" t="s">
        <v>2180</v>
      </c>
      <c r="B26" s="1954" t="s">
        <v>2181</v>
      </c>
      <c r="C26" s="1955" t="s">
        <v>2189</v>
      </c>
      <c r="D26" s="1956">
        <v>35995</v>
      </c>
      <c r="E26" s="1559">
        <f t="shared" si="2"/>
        <v>25000</v>
      </c>
      <c r="F26" s="1810">
        <f t="shared" si="3"/>
        <v>25000</v>
      </c>
      <c r="G26" s="1811">
        <f t="shared" si="4"/>
        <v>10995</v>
      </c>
    </row>
    <row r="27" spans="1:8" x14ac:dyDescent="0.25">
      <c r="A27" s="1953" t="s">
        <v>2180</v>
      </c>
      <c r="B27" s="1954" t="s">
        <v>2181</v>
      </c>
      <c r="C27" s="1955" t="s">
        <v>2188</v>
      </c>
      <c r="D27" s="1956">
        <v>39748</v>
      </c>
      <c r="E27" s="1559">
        <f t="shared" si="2"/>
        <v>25000</v>
      </c>
      <c r="F27" s="1810">
        <f t="shared" si="3"/>
        <v>25000</v>
      </c>
      <c r="G27" s="1811">
        <f t="shared" si="4"/>
        <v>14748</v>
      </c>
    </row>
    <row r="28" spans="1:8" x14ac:dyDescent="0.25">
      <c r="A28" s="1953" t="s">
        <v>2180</v>
      </c>
      <c r="B28" s="1954" t="s">
        <v>2181</v>
      </c>
      <c r="C28" s="1955" t="s">
        <v>2190</v>
      </c>
      <c r="D28" s="1956">
        <v>40700</v>
      </c>
      <c r="E28" s="1559">
        <f t="shared" si="2"/>
        <v>25000</v>
      </c>
      <c r="F28" s="1810">
        <f t="shared" si="3"/>
        <v>25000</v>
      </c>
      <c r="G28" s="1811">
        <f t="shared" si="4"/>
        <v>15700</v>
      </c>
    </row>
    <row r="29" spans="1:8" x14ac:dyDescent="0.25">
      <c r="A29" s="1953" t="s">
        <v>2180</v>
      </c>
      <c r="B29" s="1954" t="s">
        <v>2181</v>
      </c>
      <c r="C29" s="1955" t="s">
        <v>2186</v>
      </c>
      <c r="D29" s="1956">
        <v>51894</v>
      </c>
      <c r="E29" s="1559">
        <f t="shared" si="2"/>
        <v>25000</v>
      </c>
      <c r="F29" s="1810">
        <f t="shared" si="3"/>
        <v>25000</v>
      </c>
      <c r="G29" s="1811">
        <f t="shared" si="4"/>
        <v>26894</v>
      </c>
    </row>
    <row r="30" spans="1:8" x14ac:dyDescent="0.25">
      <c r="A30" s="1953" t="s">
        <v>2180</v>
      </c>
      <c r="B30" s="1954" t="s">
        <v>2181</v>
      </c>
      <c r="C30" s="1955" t="s">
        <v>2188</v>
      </c>
      <c r="D30" s="1956">
        <v>53313</v>
      </c>
      <c r="E30" s="1559">
        <f t="shared" si="2"/>
        <v>25000</v>
      </c>
      <c r="F30" s="1810">
        <f t="shared" si="3"/>
        <v>25000</v>
      </c>
      <c r="G30" s="1811">
        <f t="shared" si="4"/>
        <v>28313</v>
      </c>
    </row>
    <row r="31" spans="1:8" x14ac:dyDescent="0.25">
      <c r="A31" s="1953" t="s">
        <v>2180</v>
      </c>
      <c r="B31" s="1954" t="s">
        <v>2181</v>
      </c>
      <c r="C31" s="1955" t="s">
        <v>2188</v>
      </c>
      <c r="D31" s="1956">
        <v>59894</v>
      </c>
      <c r="E31" s="1559">
        <f t="shared" si="2"/>
        <v>25000</v>
      </c>
      <c r="F31" s="1810">
        <f t="shared" si="3"/>
        <v>25000</v>
      </c>
      <c r="G31" s="1811">
        <f t="shared" si="4"/>
        <v>34894</v>
      </c>
    </row>
    <row r="32" spans="1:8" x14ac:dyDescent="0.25">
      <c r="A32" s="1961" t="s">
        <v>2180</v>
      </c>
      <c r="B32" s="1959" t="s">
        <v>2181</v>
      </c>
      <c r="C32" s="1958" t="s">
        <v>2184</v>
      </c>
      <c r="D32" s="1957">
        <v>74866</v>
      </c>
      <c r="E32" s="1559">
        <f t="shared" si="2"/>
        <v>25000</v>
      </c>
      <c r="F32" s="1810">
        <f t="shared" si="3"/>
        <v>25000</v>
      </c>
      <c r="G32" s="1811">
        <f t="shared" si="4"/>
        <v>49866</v>
      </c>
    </row>
    <row r="33" spans="1:7" x14ac:dyDescent="0.25">
      <c r="A33" s="1961" t="s">
        <v>2180</v>
      </c>
      <c r="B33" s="1959" t="s">
        <v>2181</v>
      </c>
      <c r="C33" s="1958" t="s">
        <v>2187</v>
      </c>
      <c r="D33" s="1957">
        <v>170086</v>
      </c>
      <c r="E33" s="1559">
        <f t="shared" si="2"/>
        <v>25000</v>
      </c>
      <c r="F33" s="1810">
        <f t="shared" si="3"/>
        <v>25000</v>
      </c>
      <c r="G33" s="1811">
        <f t="shared" si="4"/>
        <v>145086</v>
      </c>
    </row>
    <row r="34" spans="1:7" x14ac:dyDescent="0.25">
      <c r="A34" s="1961" t="s">
        <v>2180</v>
      </c>
      <c r="B34" s="1959" t="s">
        <v>2181</v>
      </c>
      <c r="C34" s="1958" t="s">
        <v>2191</v>
      </c>
      <c r="D34" s="1957">
        <v>26679</v>
      </c>
      <c r="E34" s="1559">
        <f t="shared" si="2"/>
        <v>25000</v>
      </c>
      <c r="F34" s="1810">
        <f t="shared" si="3"/>
        <v>25000</v>
      </c>
      <c r="G34" s="1811">
        <f t="shared" si="4"/>
        <v>1679</v>
      </c>
    </row>
    <row r="35" spans="1:7" x14ac:dyDescent="0.25">
      <c r="A35" s="1961" t="s">
        <v>2180</v>
      </c>
      <c r="B35" s="1959" t="s">
        <v>2181</v>
      </c>
      <c r="C35" s="1958" t="s">
        <v>2192</v>
      </c>
      <c r="D35" s="1957">
        <v>52898</v>
      </c>
      <c r="E35" s="1559">
        <f t="shared" si="2"/>
        <v>25000</v>
      </c>
      <c r="F35" s="1810">
        <f t="shared" si="3"/>
        <v>25000</v>
      </c>
      <c r="G35" s="1811">
        <f t="shared" si="4"/>
        <v>27898</v>
      </c>
    </row>
    <row r="36" spans="1:7" x14ac:dyDescent="0.25">
      <c r="A36" s="1961" t="s">
        <v>2180</v>
      </c>
      <c r="B36" s="1959" t="s">
        <v>2181</v>
      </c>
      <c r="C36" s="1958" t="s">
        <v>2192</v>
      </c>
      <c r="D36" s="1957">
        <v>72900</v>
      </c>
      <c r="E36" s="1559">
        <f t="shared" si="2"/>
        <v>25000</v>
      </c>
      <c r="F36" s="1810">
        <f t="shared" si="3"/>
        <v>25000</v>
      </c>
      <c r="G36" s="1811">
        <f t="shared" si="4"/>
        <v>47900</v>
      </c>
    </row>
    <row r="37" spans="1:7" x14ac:dyDescent="0.25">
      <c r="A37" s="1961" t="s">
        <v>2180</v>
      </c>
      <c r="B37" s="1959" t="s">
        <v>2181</v>
      </c>
      <c r="C37" s="1958" t="s">
        <v>2193</v>
      </c>
      <c r="D37" s="1957">
        <v>6450</v>
      </c>
      <c r="E37" s="1559">
        <f t="shared" si="2"/>
        <v>6450</v>
      </c>
      <c r="F37" s="1810">
        <f t="shared" si="3"/>
        <v>6450</v>
      </c>
      <c r="G37" s="1811">
        <f t="shared" si="4"/>
        <v>0</v>
      </c>
    </row>
    <row r="38" spans="1:7" x14ac:dyDescent="0.25">
      <c r="A38" s="1961" t="s">
        <v>2180</v>
      </c>
      <c r="B38" s="1959" t="s">
        <v>2181</v>
      </c>
      <c r="C38" s="1958" t="s">
        <v>2194</v>
      </c>
      <c r="D38" s="1957">
        <v>9405</v>
      </c>
      <c r="E38" s="1559">
        <f t="shared" si="2"/>
        <v>9405</v>
      </c>
      <c r="F38" s="1810">
        <f t="shared" si="3"/>
        <v>9405</v>
      </c>
      <c r="G38" s="1811">
        <f t="shared" si="4"/>
        <v>0</v>
      </c>
    </row>
    <row r="39" spans="1:7" x14ac:dyDescent="0.25">
      <c r="A39" s="1961" t="s">
        <v>2180</v>
      </c>
      <c r="B39" s="1959" t="s">
        <v>2181</v>
      </c>
      <c r="C39" s="1958" t="s">
        <v>2195</v>
      </c>
      <c r="D39" s="1957">
        <v>38957</v>
      </c>
      <c r="E39" s="1559">
        <f t="shared" si="2"/>
        <v>25000</v>
      </c>
      <c r="F39" s="1810">
        <f t="shared" si="3"/>
        <v>25000</v>
      </c>
      <c r="G39" s="1811">
        <f t="shared" si="4"/>
        <v>13957</v>
      </c>
    </row>
    <row r="40" spans="1:7" x14ac:dyDescent="0.25">
      <c r="A40" s="1961" t="s">
        <v>2180</v>
      </c>
      <c r="B40" s="1959" t="s">
        <v>2181</v>
      </c>
      <c r="C40" s="1958" t="s">
        <v>2196</v>
      </c>
      <c r="D40" s="1957">
        <v>70295</v>
      </c>
      <c r="E40" s="1559">
        <f t="shared" si="2"/>
        <v>25000</v>
      </c>
      <c r="F40" s="1810">
        <f t="shared" si="3"/>
        <v>25000</v>
      </c>
      <c r="G40" s="1811">
        <f t="shared" si="4"/>
        <v>45295</v>
      </c>
    </row>
    <row r="41" spans="1:7" x14ac:dyDescent="0.25">
      <c r="A41" s="1961" t="s">
        <v>2180</v>
      </c>
      <c r="B41" s="1959" t="s">
        <v>2181</v>
      </c>
      <c r="C41" s="1958" t="s">
        <v>2193</v>
      </c>
      <c r="D41" s="1957">
        <v>87516</v>
      </c>
      <c r="E41" s="1559">
        <f t="shared" si="2"/>
        <v>25000</v>
      </c>
      <c r="F41" s="1810">
        <f t="shared" si="3"/>
        <v>25000</v>
      </c>
      <c r="G41" s="1811">
        <f t="shared" si="4"/>
        <v>62516</v>
      </c>
    </row>
    <row r="42" spans="1:7" x14ac:dyDescent="0.25">
      <c r="A42" s="1961" t="s">
        <v>2180</v>
      </c>
      <c r="B42" s="1959" t="s">
        <v>2181</v>
      </c>
      <c r="C42" s="1958" t="s">
        <v>2196</v>
      </c>
      <c r="D42" s="1957">
        <v>24000</v>
      </c>
      <c r="E42" s="1559">
        <f t="shared" si="2"/>
        <v>24000</v>
      </c>
      <c r="F42" s="1810">
        <f t="shared" si="3"/>
        <v>24000</v>
      </c>
      <c r="G42" s="1811">
        <f t="shared" si="4"/>
        <v>0</v>
      </c>
    </row>
    <row r="43" spans="1:7" x14ac:dyDescent="0.25">
      <c r="A43" s="1961" t="s">
        <v>2180</v>
      </c>
      <c r="B43" s="1959" t="s">
        <v>2181</v>
      </c>
      <c r="C43" s="1958" t="s">
        <v>2197</v>
      </c>
      <c r="D43" s="1957">
        <v>7035</v>
      </c>
      <c r="E43" s="1559">
        <f t="shared" si="2"/>
        <v>7035</v>
      </c>
      <c r="F43" s="1810">
        <f t="shared" si="3"/>
        <v>7035</v>
      </c>
      <c r="G43" s="1811">
        <f t="shared" si="4"/>
        <v>0</v>
      </c>
    </row>
    <row r="44" spans="1:7" x14ac:dyDescent="0.25">
      <c r="A44" s="1961" t="s">
        <v>2180</v>
      </c>
      <c r="B44" s="1959" t="s">
        <v>2181</v>
      </c>
      <c r="C44" s="1958" t="s">
        <v>2198</v>
      </c>
      <c r="D44" s="1957">
        <v>59200</v>
      </c>
      <c r="E44" s="1559">
        <f t="shared" si="2"/>
        <v>25000</v>
      </c>
      <c r="F44" s="1810">
        <f t="shared" si="3"/>
        <v>25000</v>
      </c>
      <c r="G44" s="1811">
        <f t="shared" si="4"/>
        <v>34200</v>
      </c>
    </row>
    <row r="45" spans="1:7" x14ac:dyDescent="0.25">
      <c r="A45" s="1961" t="s">
        <v>2180</v>
      </c>
      <c r="B45" s="1959" t="s">
        <v>2181</v>
      </c>
      <c r="C45" s="1958" t="s">
        <v>2199</v>
      </c>
      <c r="D45" s="1957">
        <v>10455</v>
      </c>
      <c r="E45" s="1559">
        <f t="shared" si="2"/>
        <v>10455</v>
      </c>
      <c r="F45" s="1810">
        <f t="shared" si="3"/>
        <v>10455</v>
      </c>
      <c r="G45" s="1811">
        <f t="shared" si="4"/>
        <v>0</v>
      </c>
    </row>
    <row r="46" spans="1:7" x14ac:dyDescent="0.25">
      <c r="A46" s="1961" t="s">
        <v>2180</v>
      </c>
      <c r="B46" s="1959" t="s">
        <v>2181</v>
      </c>
      <c r="C46" s="1958" t="s">
        <v>2200</v>
      </c>
      <c r="D46" s="1957">
        <v>7920</v>
      </c>
      <c r="E46" s="1559">
        <f t="shared" si="2"/>
        <v>7920</v>
      </c>
      <c r="F46" s="1810">
        <f t="shared" si="3"/>
        <v>7920</v>
      </c>
      <c r="G46" s="1811">
        <f t="shared" si="4"/>
        <v>0</v>
      </c>
    </row>
    <row r="47" spans="1:7" x14ac:dyDescent="0.25">
      <c r="A47" s="1961" t="s">
        <v>2280</v>
      </c>
      <c r="B47" s="1959" t="s">
        <v>2268</v>
      </c>
      <c r="C47" s="1958" t="s">
        <v>2201</v>
      </c>
      <c r="D47" s="1957">
        <v>6930</v>
      </c>
      <c r="E47" s="1559">
        <f t="shared" si="2"/>
        <v>6930</v>
      </c>
      <c r="F47" s="1810">
        <f t="shared" si="3"/>
        <v>6930</v>
      </c>
      <c r="G47" s="1811">
        <f t="shared" si="4"/>
        <v>0</v>
      </c>
    </row>
    <row r="48" spans="1:7" x14ac:dyDescent="0.25">
      <c r="A48" s="1961" t="s">
        <v>2281</v>
      </c>
      <c r="B48" s="1959" t="s">
        <v>2269</v>
      </c>
      <c r="C48" s="1958" t="s">
        <v>2202</v>
      </c>
      <c r="D48" s="1957">
        <v>5828</v>
      </c>
      <c r="E48" s="1559">
        <f t="shared" si="2"/>
        <v>5828</v>
      </c>
      <c r="F48" s="1810">
        <f t="shared" si="3"/>
        <v>5828</v>
      </c>
      <c r="G48" s="1811">
        <f t="shared" si="4"/>
        <v>0</v>
      </c>
    </row>
    <row r="49" spans="1:7" x14ac:dyDescent="0.25">
      <c r="A49" s="1961" t="s">
        <v>2281</v>
      </c>
      <c r="B49" s="1959" t="s">
        <v>2269</v>
      </c>
      <c r="C49" s="1958" t="s">
        <v>2203</v>
      </c>
      <c r="D49" s="1957">
        <v>9045</v>
      </c>
      <c r="E49" s="1559">
        <f t="shared" si="2"/>
        <v>9045</v>
      </c>
      <c r="F49" s="1810">
        <f t="shared" si="3"/>
        <v>9045</v>
      </c>
      <c r="G49" s="1811">
        <f t="shared" si="4"/>
        <v>0</v>
      </c>
    </row>
    <row r="50" spans="1:7" x14ac:dyDescent="0.25">
      <c r="A50" s="1961" t="s">
        <v>2281</v>
      </c>
      <c r="B50" s="1959" t="s">
        <v>2269</v>
      </c>
      <c r="C50" s="1958" t="s">
        <v>2204</v>
      </c>
      <c r="D50" s="1957">
        <v>13000</v>
      </c>
      <c r="E50" s="1559">
        <f t="shared" si="2"/>
        <v>13000</v>
      </c>
      <c r="F50" s="1810">
        <f t="shared" si="3"/>
        <v>13000</v>
      </c>
      <c r="G50" s="1811">
        <f t="shared" si="4"/>
        <v>0</v>
      </c>
    </row>
    <row r="51" spans="1:7" x14ac:dyDescent="0.25">
      <c r="A51" s="1961" t="s">
        <v>2281</v>
      </c>
      <c r="B51" s="1959" t="s">
        <v>2269</v>
      </c>
      <c r="C51" s="1958" t="s">
        <v>2205</v>
      </c>
      <c r="D51" s="1957">
        <v>15050</v>
      </c>
      <c r="E51" s="1559">
        <f t="shared" si="2"/>
        <v>15050</v>
      </c>
      <c r="F51" s="1810">
        <f t="shared" si="3"/>
        <v>15050</v>
      </c>
      <c r="G51" s="1811">
        <f t="shared" si="4"/>
        <v>0</v>
      </c>
    </row>
    <row r="52" spans="1:7" x14ac:dyDescent="0.25">
      <c r="A52" s="1961" t="s">
        <v>2281</v>
      </c>
      <c r="B52" s="1959" t="s">
        <v>2269</v>
      </c>
      <c r="C52" s="1958" t="s">
        <v>2206</v>
      </c>
      <c r="D52" s="1957">
        <v>18000</v>
      </c>
      <c r="E52" s="1559">
        <f t="shared" si="2"/>
        <v>18000</v>
      </c>
      <c r="F52" s="1810">
        <f t="shared" si="3"/>
        <v>18000</v>
      </c>
      <c r="G52" s="1811">
        <f t="shared" si="4"/>
        <v>0</v>
      </c>
    </row>
    <row r="53" spans="1:7" x14ac:dyDescent="0.25">
      <c r="A53" s="1961" t="s">
        <v>2281</v>
      </c>
      <c r="B53" s="1959" t="s">
        <v>2269</v>
      </c>
      <c r="C53" s="1958" t="s">
        <v>2207</v>
      </c>
      <c r="D53" s="1957">
        <v>21000</v>
      </c>
      <c r="E53" s="1559">
        <f t="shared" si="2"/>
        <v>21000</v>
      </c>
      <c r="F53" s="1810">
        <f t="shared" si="3"/>
        <v>21000</v>
      </c>
      <c r="G53" s="1811">
        <f t="shared" si="4"/>
        <v>0</v>
      </c>
    </row>
    <row r="54" spans="1:7" x14ac:dyDescent="0.25">
      <c r="A54" s="1961" t="s">
        <v>2281</v>
      </c>
      <c r="B54" s="1959" t="s">
        <v>2269</v>
      </c>
      <c r="C54" s="1958" t="s">
        <v>2208</v>
      </c>
      <c r="D54" s="1957">
        <v>23158</v>
      </c>
      <c r="E54" s="1559">
        <f t="shared" si="2"/>
        <v>23158</v>
      </c>
      <c r="F54" s="1810">
        <f t="shared" si="3"/>
        <v>23158</v>
      </c>
      <c r="G54" s="1811">
        <f t="shared" si="4"/>
        <v>0</v>
      </c>
    </row>
    <row r="55" spans="1:7" x14ac:dyDescent="0.25">
      <c r="A55" s="1961" t="s">
        <v>2281</v>
      </c>
      <c r="B55" s="1959" t="s">
        <v>2269</v>
      </c>
      <c r="C55" s="1958" t="s">
        <v>2209</v>
      </c>
      <c r="D55" s="1957">
        <v>40000</v>
      </c>
      <c r="E55" s="1559">
        <f t="shared" si="2"/>
        <v>25000</v>
      </c>
      <c r="F55" s="1810">
        <f t="shared" si="3"/>
        <v>25000</v>
      </c>
      <c r="G55" s="1811">
        <f t="shared" si="4"/>
        <v>15000</v>
      </c>
    </row>
    <row r="56" spans="1:7" x14ac:dyDescent="0.25">
      <c r="A56" s="1961" t="s">
        <v>2282</v>
      </c>
      <c r="B56" s="1959" t="s">
        <v>2270</v>
      </c>
      <c r="C56" s="1958" t="s">
        <v>2210</v>
      </c>
      <c r="D56" s="1957">
        <v>8500</v>
      </c>
      <c r="E56" s="1559">
        <f t="shared" si="2"/>
        <v>8500</v>
      </c>
      <c r="F56" s="1810">
        <f t="shared" si="3"/>
        <v>8500</v>
      </c>
      <c r="G56" s="1811">
        <f t="shared" si="4"/>
        <v>0</v>
      </c>
    </row>
    <row r="57" spans="1:7" x14ac:dyDescent="0.25">
      <c r="A57" s="1961" t="s">
        <v>2283</v>
      </c>
      <c r="B57" s="1959" t="s">
        <v>2271</v>
      </c>
      <c r="C57" s="1958" t="s">
        <v>2151</v>
      </c>
      <c r="D57" s="1957">
        <v>46030</v>
      </c>
      <c r="E57" s="1559">
        <f t="shared" si="2"/>
        <v>25000</v>
      </c>
      <c r="F57" s="1810">
        <f t="shared" si="3"/>
        <v>25000</v>
      </c>
      <c r="G57" s="1811">
        <f t="shared" si="4"/>
        <v>21030</v>
      </c>
    </row>
    <row r="58" spans="1:7" x14ac:dyDescent="0.25">
      <c r="A58" s="1961" t="s">
        <v>2284</v>
      </c>
      <c r="B58" s="1959" t="s">
        <v>2272</v>
      </c>
      <c r="C58" s="1958" t="s">
        <v>2211</v>
      </c>
      <c r="D58" s="1957">
        <v>15850</v>
      </c>
      <c r="E58" s="1559">
        <f t="shared" si="2"/>
        <v>15850</v>
      </c>
      <c r="F58" s="1810">
        <f t="shared" si="3"/>
        <v>15850</v>
      </c>
      <c r="G58" s="1811">
        <f t="shared" si="4"/>
        <v>0</v>
      </c>
    </row>
    <row r="59" spans="1:7" x14ac:dyDescent="0.25">
      <c r="A59" s="1961" t="s">
        <v>2284</v>
      </c>
      <c r="B59" s="1959" t="s">
        <v>2272</v>
      </c>
      <c r="C59" s="1958" t="s">
        <v>2212</v>
      </c>
      <c r="D59" s="1957">
        <v>202374</v>
      </c>
      <c r="E59" s="1559">
        <f t="shared" si="2"/>
        <v>25000</v>
      </c>
      <c r="F59" s="1810">
        <f t="shared" si="3"/>
        <v>25000</v>
      </c>
      <c r="G59" s="1811">
        <f t="shared" si="4"/>
        <v>177374</v>
      </c>
    </row>
    <row r="60" spans="1:7" x14ac:dyDescent="0.25">
      <c r="A60" s="1961" t="s">
        <v>2285</v>
      </c>
      <c r="B60" s="1959" t="s">
        <v>2273</v>
      </c>
      <c r="C60" s="1958" t="s">
        <v>2213</v>
      </c>
      <c r="D60" s="1957">
        <v>24079</v>
      </c>
      <c r="E60" s="1559">
        <f t="shared" si="2"/>
        <v>24079</v>
      </c>
      <c r="F60" s="1810">
        <f t="shared" si="3"/>
        <v>24079</v>
      </c>
      <c r="G60" s="1811">
        <f t="shared" si="4"/>
        <v>0</v>
      </c>
    </row>
    <row r="61" spans="1:7" x14ac:dyDescent="0.25">
      <c r="A61" s="1961" t="s">
        <v>2285</v>
      </c>
      <c r="B61" s="1959" t="s">
        <v>2273</v>
      </c>
      <c r="C61" s="1958" t="s">
        <v>2214</v>
      </c>
      <c r="D61" s="1957">
        <v>1913945</v>
      </c>
      <c r="E61" s="1559">
        <f t="shared" si="2"/>
        <v>25000</v>
      </c>
      <c r="F61" s="1810">
        <f t="shared" si="3"/>
        <v>25000</v>
      </c>
      <c r="G61" s="1811">
        <f t="shared" si="4"/>
        <v>1888945</v>
      </c>
    </row>
    <row r="62" spans="1:7" x14ac:dyDescent="0.25">
      <c r="A62" s="1961" t="s">
        <v>2286</v>
      </c>
      <c r="B62" s="1959" t="s">
        <v>2274</v>
      </c>
      <c r="C62" s="1958" t="s">
        <v>2215</v>
      </c>
      <c r="D62" s="1957">
        <v>8332</v>
      </c>
      <c r="E62" s="1559">
        <f t="shared" si="2"/>
        <v>8332</v>
      </c>
      <c r="F62" s="1810">
        <f t="shared" si="3"/>
        <v>8332</v>
      </c>
      <c r="G62" s="1811">
        <f t="shared" si="4"/>
        <v>0</v>
      </c>
    </row>
    <row r="63" spans="1:7" x14ac:dyDescent="0.25">
      <c r="A63" s="1961" t="s">
        <v>2286</v>
      </c>
      <c r="B63" s="1959" t="s">
        <v>2274</v>
      </c>
      <c r="C63" s="1958" t="s">
        <v>2216</v>
      </c>
      <c r="D63" s="1957">
        <v>22500</v>
      </c>
      <c r="E63" s="1559">
        <f t="shared" si="2"/>
        <v>22500</v>
      </c>
      <c r="F63" s="1810">
        <f t="shared" si="3"/>
        <v>22500</v>
      </c>
      <c r="G63" s="1811">
        <f t="shared" si="4"/>
        <v>0</v>
      </c>
    </row>
    <row r="64" spans="1:7" x14ac:dyDescent="0.25">
      <c r="A64" s="1961" t="s">
        <v>2287</v>
      </c>
      <c r="B64" s="1959" t="s">
        <v>2275</v>
      </c>
      <c r="C64" s="1958" t="s">
        <v>2217</v>
      </c>
      <c r="D64" s="1957">
        <v>7370</v>
      </c>
      <c r="E64" s="1559">
        <f t="shared" si="2"/>
        <v>7370</v>
      </c>
      <c r="F64" s="1810">
        <f t="shared" si="3"/>
        <v>7370</v>
      </c>
      <c r="G64" s="1811">
        <f t="shared" si="4"/>
        <v>0</v>
      </c>
    </row>
    <row r="65" spans="1:7" x14ac:dyDescent="0.25">
      <c r="A65" s="1961" t="s">
        <v>2287</v>
      </c>
      <c r="B65" s="1959" t="s">
        <v>2275</v>
      </c>
      <c r="C65" s="1958" t="s">
        <v>2218</v>
      </c>
      <c r="D65" s="1957">
        <v>8658</v>
      </c>
      <c r="E65" s="1559">
        <f t="shared" si="2"/>
        <v>8658</v>
      </c>
      <c r="F65" s="1810">
        <f t="shared" si="3"/>
        <v>8658</v>
      </c>
      <c r="G65" s="1811">
        <f t="shared" si="4"/>
        <v>0</v>
      </c>
    </row>
    <row r="66" spans="1:7" x14ac:dyDescent="0.25">
      <c r="A66" s="1961" t="s">
        <v>2287</v>
      </c>
      <c r="B66" s="1959" t="s">
        <v>2275</v>
      </c>
      <c r="C66" s="1958" t="s">
        <v>2219</v>
      </c>
      <c r="D66" s="1957">
        <v>9458</v>
      </c>
      <c r="E66" s="1559">
        <f t="shared" si="2"/>
        <v>9458</v>
      </c>
      <c r="F66" s="1810">
        <f t="shared" si="3"/>
        <v>9458</v>
      </c>
      <c r="G66" s="1811">
        <f t="shared" si="4"/>
        <v>0</v>
      </c>
    </row>
    <row r="67" spans="1:7" x14ac:dyDescent="0.25">
      <c r="A67" s="1961" t="s">
        <v>2287</v>
      </c>
      <c r="B67" s="1959" t="s">
        <v>2275</v>
      </c>
      <c r="C67" s="1958" t="s">
        <v>2220</v>
      </c>
      <c r="D67" s="1957">
        <v>11400</v>
      </c>
      <c r="E67" s="1559">
        <f t="shared" si="2"/>
        <v>11400</v>
      </c>
      <c r="F67" s="1810">
        <f t="shared" si="3"/>
        <v>11400</v>
      </c>
      <c r="G67" s="1811">
        <f t="shared" si="4"/>
        <v>0</v>
      </c>
    </row>
    <row r="68" spans="1:7" x14ac:dyDescent="0.25">
      <c r="A68" s="1961" t="s">
        <v>2287</v>
      </c>
      <c r="B68" s="1960" t="s">
        <v>2275</v>
      </c>
      <c r="C68" s="1958" t="s">
        <v>2221</v>
      </c>
      <c r="D68" s="1957">
        <v>15096</v>
      </c>
      <c r="E68" s="1559">
        <f t="shared" si="2"/>
        <v>15096</v>
      </c>
      <c r="F68" s="1810">
        <f t="shared" si="3"/>
        <v>15096</v>
      </c>
      <c r="G68" s="1811">
        <f t="shared" si="4"/>
        <v>0</v>
      </c>
    </row>
    <row r="69" spans="1:7" x14ac:dyDescent="0.25">
      <c r="A69" s="1961" t="s">
        <v>2287</v>
      </c>
      <c r="B69" s="1960" t="s">
        <v>2275</v>
      </c>
      <c r="C69" s="1958" t="s">
        <v>2222</v>
      </c>
      <c r="D69" s="1957">
        <v>16750</v>
      </c>
      <c r="E69" s="1559">
        <f t="shared" si="2"/>
        <v>16750</v>
      </c>
      <c r="F69" s="1810">
        <f t="shared" si="3"/>
        <v>16750</v>
      </c>
      <c r="G69" s="1811">
        <f t="shared" si="4"/>
        <v>0</v>
      </c>
    </row>
    <row r="70" spans="1:7" x14ac:dyDescent="0.25">
      <c r="A70" s="1961" t="s">
        <v>2287</v>
      </c>
      <c r="B70" s="1960" t="s">
        <v>2275</v>
      </c>
      <c r="C70" s="1958" t="s">
        <v>2182</v>
      </c>
      <c r="D70" s="1957">
        <v>17122</v>
      </c>
      <c r="E70" s="1559">
        <f t="shared" si="2"/>
        <v>17122</v>
      </c>
      <c r="F70" s="1810">
        <f t="shared" si="3"/>
        <v>17122</v>
      </c>
      <c r="G70" s="1811">
        <f t="shared" si="4"/>
        <v>0</v>
      </c>
    </row>
    <row r="71" spans="1:7" x14ac:dyDescent="0.25">
      <c r="A71" s="1961" t="s">
        <v>2287</v>
      </c>
      <c r="B71" s="1960" t="s">
        <v>2275</v>
      </c>
      <c r="C71" s="1958" t="s">
        <v>2223</v>
      </c>
      <c r="D71" s="1957">
        <v>18786</v>
      </c>
      <c r="E71" s="1559">
        <f t="shared" si="2"/>
        <v>18786</v>
      </c>
      <c r="F71" s="1810">
        <f t="shared" si="3"/>
        <v>18786</v>
      </c>
      <c r="G71" s="1811">
        <f t="shared" si="4"/>
        <v>0</v>
      </c>
    </row>
    <row r="72" spans="1:7" x14ac:dyDescent="0.25">
      <c r="A72" s="1961" t="s">
        <v>2287</v>
      </c>
      <c r="B72" s="1960" t="s">
        <v>2275</v>
      </c>
      <c r="C72" s="1958" t="s">
        <v>2224</v>
      </c>
      <c r="D72" s="1957">
        <v>128324</v>
      </c>
      <c r="E72" s="1559">
        <f t="shared" si="2"/>
        <v>25000</v>
      </c>
      <c r="F72" s="1810">
        <f t="shared" si="3"/>
        <v>25000</v>
      </c>
      <c r="G72" s="1811">
        <f t="shared" si="4"/>
        <v>103324</v>
      </c>
    </row>
    <row r="73" spans="1:7" x14ac:dyDescent="0.25">
      <c r="A73" s="1961" t="s">
        <v>2287</v>
      </c>
      <c r="B73" s="1960" t="s">
        <v>2275</v>
      </c>
      <c r="C73" s="1958" t="s">
        <v>2225</v>
      </c>
      <c r="D73" s="1957">
        <v>25414</v>
      </c>
      <c r="E73" s="1559">
        <f t="shared" ref="E73:E84" si="5">IF(D73&lt;=25000,D73,IF(D73&gt;25000,25000,0))</f>
        <v>25000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811">
        <f t="shared" ref="G73:G84" si="7">IF(F73=0,0,D73-F73)</f>
        <v>414</v>
      </c>
    </row>
    <row r="74" spans="1:7" x14ac:dyDescent="0.25">
      <c r="A74" s="1961" t="s">
        <v>2287</v>
      </c>
      <c r="B74" s="1960" t="s">
        <v>2275</v>
      </c>
      <c r="C74" s="1958" t="s">
        <v>2226</v>
      </c>
      <c r="D74" s="1957">
        <v>35970</v>
      </c>
      <c r="E74" s="1559">
        <f t="shared" si="5"/>
        <v>25000</v>
      </c>
      <c r="F74" s="1810">
        <f t="shared" si="6"/>
        <v>25000</v>
      </c>
      <c r="G74" s="1811">
        <f t="shared" si="7"/>
        <v>10970</v>
      </c>
    </row>
    <row r="75" spans="1:7" x14ac:dyDescent="0.25">
      <c r="A75" s="1961" t="s">
        <v>2287</v>
      </c>
      <c r="B75" s="1960" t="s">
        <v>2275</v>
      </c>
      <c r="C75" s="1958" t="s">
        <v>2218</v>
      </c>
      <c r="D75" s="1957">
        <v>48700</v>
      </c>
      <c r="E75" s="1559">
        <f t="shared" si="5"/>
        <v>25000</v>
      </c>
      <c r="F75" s="1810">
        <f t="shared" si="6"/>
        <v>25000</v>
      </c>
      <c r="G75" s="1811">
        <f t="shared" si="7"/>
        <v>23700</v>
      </c>
    </row>
    <row r="76" spans="1:7" x14ac:dyDescent="0.25">
      <c r="A76" s="1961" t="s">
        <v>2287</v>
      </c>
      <c r="B76" s="1960" t="s">
        <v>2275</v>
      </c>
      <c r="C76" s="1958" t="s">
        <v>2227</v>
      </c>
      <c r="D76" s="1957">
        <v>67475</v>
      </c>
      <c r="E76" s="1559">
        <f t="shared" si="5"/>
        <v>25000</v>
      </c>
      <c r="F76" s="1810">
        <f t="shared" si="6"/>
        <v>25000</v>
      </c>
      <c r="G76" s="1811">
        <f t="shared" si="7"/>
        <v>42475</v>
      </c>
    </row>
    <row r="77" spans="1:7" x14ac:dyDescent="0.25">
      <c r="A77" s="1961" t="s">
        <v>2287</v>
      </c>
      <c r="B77" s="1960" t="s">
        <v>2275</v>
      </c>
      <c r="C77" s="1958" t="s">
        <v>2228</v>
      </c>
      <c r="D77" s="1957">
        <v>76438</v>
      </c>
      <c r="E77" s="1559">
        <f t="shared" si="5"/>
        <v>25000</v>
      </c>
      <c r="F77" s="1810">
        <f t="shared" si="6"/>
        <v>25000</v>
      </c>
      <c r="G77" s="1811">
        <f t="shared" si="7"/>
        <v>51438</v>
      </c>
    </row>
    <row r="78" spans="1:7" x14ac:dyDescent="0.25">
      <c r="A78" s="1961" t="s">
        <v>2287</v>
      </c>
      <c r="B78" s="1960" t="s">
        <v>2275</v>
      </c>
      <c r="C78" s="1958" t="s">
        <v>2229</v>
      </c>
      <c r="D78" s="1957">
        <v>8027</v>
      </c>
      <c r="E78" s="1559">
        <f t="shared" si="5"/>
        <v>8027</v>
      </c>
      <c r="F78" s="1810">
        <f t="shared" si="6"/>
        <v>8027</v>
      </c>
      <c r="G78" s="1811">
        <f t="shared" si="7"/>
        <v>0</v>
      </c>
    </row>
    <row r="79" spans="1:7" x14ac:dyDescent="0.25">
      <c r="A79" s="1961" t="s">
        <v>2287</v>
      </c>
      <c r="B79" s="1960" t="s">
        <v>2275</v>
      </c>
      <c r="C79" s="1958" t="s">
        <v>2230</v>
      </c>
      <c r="D79" s="1957">
        <v>20484</v>
      </c>
      <c r="E79" s="1559">
        <f t="shared" si="5"/>
        <v>20484</v>
      </c>
      <c r="F79" s="1810">
        <f t="shared" si="6"/>
        <v>20484</v>
      </c>
      <c r="G79" s="1811">
        <f t="shared" si="7"/>
        <v>0</v>
      </c>
    </row>
    <row r="80" spans="1:7" x14ac:dyDescent="0.25">
      <c r="A80" s="1961" t="s">
        <v>2288</v>
      </c>
      <c r="B80" s="1960" t="s">
        <v>2276</v>
      </c>
      <c r="C80" s="1958" t="s">
        <v>2231</v>
      </c>
      <c r="D80" s="1957">
        <v>8500</v>
      </c>
      <c r="E80" s="1559">
        <f t="shared" si="5"/>
        <v>8500</v>
      </c>
      <c r="F80" s="1810">
        <f t="shared" si="6"/>
        <v>8500</v>
      </c>
      <c r="G80" s="1811">
        <f t="shared" si="7"/>
        <v>0</v>
      </c>
    </row>
    <row r="81" spans="1:7" x14ac:dyDescent="0.25">
      <c r="A81" s="1961" t="s">
        <v>2288</v>
      </c>
      <c r="B81" s="1960" t="s">
        <v>2276</v>
      </c>
      <c r="C81" s="1958" t="s">
        <v>2232</v>
      </c>
      <c r="D81" s="1957">
        <v>13500</v>
      </c>
      <c r="E81" s="1559">
        <f t="shared" si="5"/>
        <v>13500</v>
      </c>
      <c r="F81" s="1810">
        <f t="shared" si="6"/>
        <v>13500</v>
      </c>
      <c r="G81" s="1811">
        <f t="shared" si="7"/>
        <v>0</v>
      </c>
    </row>
    <row r="82" spans="1:7" x14ac:dyDescent="0.25">
      <c r="A82" s="1961" t="s">
        <v>2288</v>
      </c>
      <c r="B82" s="1960" t="s">
        <v>2276</v>
      </c>
      <c r="C82" s="1958" t="s">
        <v>2196</v>
      </c>
      <c r="D82" s="1957">
        <v>7500</v>
      </c>
      <c r="E82" s="1559">
        <f t="shared" si="5"/>
        <v>7500</v>
      </c>
      <c r="F82" s="1810">
        <f t="shared" si="6"/>
        <v>7500</v>
      </c>
      <c r="G82" s="1811">
        <f t="shared" si="7"/>
        <v>0</v>
      </c>
    </row>
    <row r="83" spans="1:7" x14ac:dyDescent="0.25">
      <c r="A83" s="1961" t="s">
        <v>2180</v>
      </c>
      <c r="B83" s="1960" t="s">
        <v>2181</v>
      </c>
      <c r="C83" s="1958" t="s">
        <v>2233</v>
      </c>
      <c r="D83" s="1957">
        <v>7000</v>
      </c>
      <c r="E83" s="1559">
        <f t="shared" si="5"/>
        <v>7000</v>
      </c>
      <c r="F83" s="1810">
        <f t="shared" si="6"/>
        <v>7000</v>
      </c>
      <c r="G83" s="1811">
        <f t="shared" si="7"/>
        <v>0</v>
      </c>
    </row>
    <row r="84" spans="1:7" x14ac:dyDescent="0.25">
      <c r="A84" s="1961" t="s">
        <v>2289</v>
      </c>
      <c r="B84" s="1960" t="s">
        <v>2277</v>
      </c>
      <c r="C84" s="1958" t="s">
        <v>2234</v>
      </c>
      <c r="D84" s="1957">
        <v>5160</v>
      </c>
      <c r="E84" s="1559">
        <f t="shared" si="5"/>
        <v>5160</v>
      </c>
      <c r="F84" s="1810">
        <f t="shared" si="6"/>
        <v>5160</v>
      </c>
      <c r="G84" s="1811">
        <f t="shared" si="7"/>
        <v>0</v>
      </c>
    </row>
    <row r="85" spans="1:7" x14ac:dyDescent="0.25">
      <c r="A85" s="1961" t="s">
        <v>2289</v>
      </c>
      <c r="B85" s="1960" t="s">
        <v>2277</v>
      </c>
      <c r="C85" s="1958" t="s">
        <v>2235</v>
      </c>
      <c r="D85" s="1957">
        <v>5625</v>
      </c>
      <c r="E85" s="1559">
        <f t="shared" si="2"/>
        <v>5625</v>
      </c>
      <c r="F85" s="1810">
        <f t="shared" si="3"/>
        <v>5625</v>
      </c>
      <c r="G85" s="1811">
        <f t="shared" si="4"/>
        <v>0</v>
      </c>
    </row>
    <row r="86" spans="1:7" x14ac:dyDescent="0.25">
      <c r="A86" s="1961" t="s">
        <v>2289</v>
      </c>
      <c r="B86" s="1960" t="s">
        <v>2277</v>
      </c>
      <c r="C86" s="1958" t="s">
        <v>2236</v>
      </c>
      <c r="D86" s="1957">
        <v>5850</v>
      </c>
      <c r="E86" s="1559">
        <f t="shared" si="2"/>
        <v>5850</v>
      </c>
      <c r="F86" s="1810">
        <f t="shared" si="3"/>
        <v>5850</v>
      </c>
      <c r="G86" s="1811">
        <f t="shared" si="4"/>
        <v>0</v>
      </c>
    </row>
    <row r="87" spans="1:7" x14ac:dyDescent="0.25">
      <c r="A87" s="1961" t="s">
        <v>2289</v>
      </c>
      <c r="B87" s="1960" t="s">
        <v>2277</v>
      </c>
      <c r="C87" s="1958" t="s">
        <v>2236</v>
      </c>
      <c r="D87" s="1957">
        <v>5880</v>
      </c>
      <c r="E87" s="1559">
        <f t="shared" si="2"/>
        <v>5880</v>
      </c>
      <c r="F87" s="1810">
        <f t="shared" si="3"/>
        <v>5880</v>
      </c>
      <c r="G87" s="1811">
        <f t="shared" si="4"/>
        <v>0</v>
      </c>
    </row>
    <row r="88" spans="1:7" x14ac:dyDescent="0.25">
      <c r="A88" s="1961" t="s">
        <v>2289</v>
      </c>
      <c r="B88" s="1960" t="s">
        <v>2277</v>
      </c>
      <c r="C88" s="1958" t="s">
        <v>2237</v>
      </c>
      <c r="D88" s="1957">
        <v>5995</v>
      </c>
      <c r="E88" s="1559">
        <f t="shared" si="2"/>
        <v>5995</v>
      </c>
      <c r="F88" s="1810">
        <f t="shared" si="3"/>
        <v>5995</v>
      </c>
      <c r="G88" s="1811">
        <f t="shared" si="4"/>
        <v>0</v>
      </c>
    </row>
    <row r="89" spans="1:7" x14ac:dyDescent="0.25">
      <c r="A89" s="1961" t="s">
        <v>2289</v>
      </c>
      <c r="B89" s="1960" t="s">
        <v>2277</v>
      </c>
      <c r="C89" s="1958" t="s">
        <v>2236</v>
      </c>
      <c r="D89" s="1957">
        <v>6071</v>
      </c>
      <c r="E89" s="1559">
        <f t="shared" si="2"/>
        <v>6071</v>
      </c>
      <c r="F89" s="1810">
        <f t="shared" si="3"/>
        <v>6071</v>
      </c>
      <c r="G89" s="1811">
        <f t="shared" si="4"/>
        <v>0</v>
      </c>
    </row>
    <row r="90" spans="1:7" x14ac:dyDescent="0.25">
      <c r="A90" s="1961" t="s">
        <v>2289</v>
      </c>
      <c r="B90" s="1960" t="s">
        <v>2277</v>
      </c>
      <c r="C90" s="1958" t="s">
        <v>2238</v>
      </c>
      <c r="D90" s="1957">
        <v>6105</v>
      </c>
      <c r="E90" s="1559">
        <f t="shared" si="2"/>
        <v>6105</v>
      </c>
      <c r="F90" s="1810">
        <f t="shared" si="3"/>
        <v>6105</v>
      </c>
      <c r="G90" s="1811">
        <f t="shared" si="4"/>
        <v>0</v>
      </c>
    </row>
    <row r="91" spans="1:7" x14ac:dyDescent="0.25">
      <c r="A91" s="1961" t="s">
        <v>2289</v>
      </c>
      <c r="B91" s="1960" t="s">
        <v>2277</v>
      </c>
      <c r="C91" s="1958" t="s">
        <v>2223</v>
      </c>
      <c r="D91" s="1957">
        <v>6205</v>
      </c>
      <c r="E91" s="1559">
        <f t="shared" si="2"/>
        <v>6205</v>
      </c>
      <c r="F91" s="1810">
        <f t="shared" si="3"/>
        <v>6205</v>
      </c>
      <c r="G91" s="1811">
        <f t="shared" si="4"/>
        <v>0</v>
      </c>
    </row>
    <row r="92" spans="1:7" x14ac:dyDescent="0.25">
      <c r="A92" s="1961" t="s">
        <v>2289</v>
      </c>
      <c r="B92" s="1960" t="s">
        <v>2277</v>
      </c>
      <c r="C92" s="1958" t="s">
        <v>2239</v>
      </c>
      <c r="D92" s="1957">
        <v>6293</v>
      </c>
      <c r="E92" s="1559">
        <f t="shared" si="2"/>
        <v>6293</v>
      </c>
      <c r="F92" s="1810">
        <f t="shared" si="3"/>
        <v>6293</v>
      </c>
      <c r="G92" s="1811">
        <f t="shared" si="4"/>
        <v>0</v>
      </c>
    </row>
    <row r="93" spans="1:7" x14ac:dyDescent="0.25">
      <c r="A93" s="1961" t="s">
        <v>2289</v>
      </c>
      <c r="B93" s="1960" t="s">
        <v>2277</v>
      </c>
      <c r="C93" s="1958" t="s">
        <v>2240</v>
      </c>
      <c r="D93" s="1957">
        <v>6351</v>
      </c>
      <c r="E93" s="1559">
        <f t="shared" ref="E93" si="8">IF(D93&lt;=25000,D93,IF(D93&gt;25000,25000,0))</f>
        <v>6351</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6351</v>
      </c>
      <c r="G93" s="1811">
        <f t="shared" ref="G93" si="10">IF(F93=0,0,D93-F93)</f>
        <v>0</v>
      </c>
    </row>
    <row r="94" spans="1:7" x14ac:dyDescent="0.25">
      <c r="A94" s="1961" t="s">
        <v>2289</v>
      </c>
      <c r="B94" s="1960" t="s">
        <v>2277</v>
      </c>
      <c r="C94" s="1958" t="s">
        <v>2241</v>
      </c>
      <c r="D94" s="1957">
        <v>6380</v>
      </c>
      <c r="E94" s="1559">
        <f t="shared" si="2"/>
        <v>6380</v>
      </c>
      <c r="F94" s="1810">
        <f t="shared" si="3"/>
        <v>6380</v>
      </c>
      <c r="G94" s="1811">
        <f t="shared" si="4"/>
        <v>0</v>
      </c>
    </row>
    <row r="95" spans="1:7" x14ac:dyDescent="0.25">
      <c r="A95" s="1961" t="s">
        <v>2289</v>
      </c>
      <c r="B95" s="1960" t="s">
        <v>2277</v>
      </c>
      <c r="C95" s="1958" t="s">
        <v>2241</v>
      </c>
      <c r="D95" s="1957">
        <v>6462</v>
      </c>
      <c r="E95" s="1559">
        <f t="shared" ref="E95:E98" si="11">IF(D95&lt;=25000,D95,IF(D95&gt;25000,25000,0))</f>
        <v>6462</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6462</v>
      </c>
      <c r="G95" s="1811">
        <f t="shared" ref="G95:G98" si="13">IF(F95=0,0,D95-F95)</f>
        <v>0</v>
      </c>
    </row>
    <row r="96" spans="1:7" x14ac:dyDescent="0.25">
      <c r="A96" s="1961" t="s">
        <v>2289</v>
      </c>
      <c r="B96" s="1960" t="s">
        <v>2277</v>
      </c>
      <c r="C96" s="1958" t="s">
        <v>2242</v>
      </c>
      <c r="D96" s="1957">
        <v>6500</v>
      </c>
      <c r="E96" s="1559">
        <f t="shared" si="11"/>
        <v>6500</v>
      </c>
      <c r="F96" s="1810">
        <f t="shared" si="12"/>
        <v>6500</v>
      </c>
      <c r="G96" s="1811">
        <f t="shared" si="13"/>
        <v>0</v>
      </c>
    </row>
    <row r="97" spans="1:7" x14ac:dyDescent="0.25">
      <c r="A97" s="1961" t="s">
        <v>2289</v>
      </c>
      <c r="B97" s="1960" t="s">
        <v>2277</v>
      </c>
      <c r="C97" s="1958" t="s">
        <v>2213</v>
      </c>
      <c r="D97" s="1957">
        <v>6591</v>
      </c>
      <c r="E97" s="1559">
        <f t="shared" si="11"/>
        <v>6591</v>
      </c>
      <c r="F97" s="1810">
        <f t="shared" si="12"/>
        <v>6591</v>
      </c>
      <c r="G97" s="1811">
        <f t="shared" si="13"/>
        <v>0</v>
      </c>
    </row>
    <row r="98" spans="1:7" x14ac:dyDescent="0.25">
      <c r="A98" s="1961" t="s">
        <v>2289</v>
      </c>
      <c r="B98" s="1960" t="s">
        <v>2277</v>
      </c>
      <c r="C98" s="1958" t="s">
        <v>2238</v>
      </c>
      <c r="D98" s="1957">
        <v>6750</v>
      </c>
      <c r="E98" s="1559">
        <f t="shared" si="11"/>
        <v>6750</v>
      </c>
      <c r="F98" s="1810">
        <f t="shared" si="12"/>
        <v>6750</v>
      </c>
      <c r="G98" s="1811">
        <f t="shared" si="13"/>
        <v>0</v>
      </c>
    </row>
    <row r="99" spans="1:7" x14ac:dyDescent="0.25">
      <c r="A99" s="1961" t="s">
        <v>2289</v>
      </c>
      <c r="B99" s="1960" t="s">
        <v>2277</v>
      </c>
      <c r="C99" s="1958" t="s">
        <v>2236</v>
      </c>
      <c r="D99" s="1957">
        <v>7200</v>
      </c>
      <c r="E99" s="1559">
        <f t="shared" ref="E99" si="14">IF(D99&lt;=25000,D99,IF(D99&gt;25000,25000,0))</f>
        <v>7200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7200</v>
      </c>
      <c r="G99" s="1811">
        <f t="shared" ref="G99" si="16">IF(F99=0,0,D99-F99)</f>
        <v>0</v>
      </c>
    </row>
    <row r="100" spans="1:7" x14ac:dyDescent="0.25">
      <c r="A100" s="1961" t="s">
        <v>2289</v>
      </c>
      <c r="B100" s="1960" t="s">
        <v>2277</v>
      </c>
      <c r="C100" s="1958" t="s">
        <v>2236</v>
      </c>
      <c r="D100" s="1957">
        <v>7229</v>
      </c>
      <c r="E100" s="1559">
        <f t="shared" ref="E100:E112" si="17">IF(D100&lt;=25000,D100,IF(D100&gt;25000,25000,0))</f>
        <v>7229</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7229</v>
      </c>
      <c r="G100" s="1811">
        <f t="shared" ref="G100:G112" si="19">IF(F100=0,0,D100-F100)</f>
        <v>0</v>
      </c>
    </row>
    <row r="101" spans="1:7" x14ac:dyDescent="0.25">
      <c r="A101" s="1961" t="s">
        <v>2289</v>
      </c>
      <c r="B101" s="1960" t="s">
        <v>2277</v>
      </c>
      <c r="C101" s="1958" t="s">
        <v>2243</v>
      </c>
      <c r="D101" s="1957">
        <v>7364</v>
      </c>
      <c r="E101" s="1559">
        <f t="shared" si="17"/>
        <v>7364</v>
      </c>
      <c r="F101" s="1810">
        <f t="shared" si="18"/>
        <v>7364</v>
      </c>
      <c r="G101" s="1811">
        <f t="shared" si="19"/>
        <v>0</v>
      </c>
    </row>
    <row r="102" spans="1:7" x14ac:dyDescent="0.25">
      <c r="A102" s="1961" t="s">
        <v>2289</v>
      </c>
      <c r="B102" s="1960" t="s">
        <v>2277</v>
      </c>
      <c r="C102" s="1958" t="s">
        <v>2244</v>
      </c>
      <c r="D102" s="1957">
        <v>7850</v>
      </c>
      <c r="E102" s="1559">
        <f t="shared" si="17"/>
        <v>7850</v>
      </c>
      <c r="F102" s="1810">
        <f t="shared" si="18"/>
        <v>7850</v>
      </c>
      <c r="G102" s="1811">
        <f t="shared" si="19"/>
        <v>0</v>
      </c>
    </row>
    <row r="103" spans="1:7" x14ac:dyDescent="0.25">
      <c r="A103" s="1961" t="s">
        <v>2289</v>
      </c>
      <c r="B103" s="1960" t="s">
        <v>2277</v>
      </c>
      <c r="C103" s="1958" t="s">
        <v>2238</v>
      </c>
      <c r="D103" s="1957">
        <v>8179</v>
      </c>
      <c r="E103" s="1559">
        <f t="shared" si="17"/>
        <v>8179</v>
      </c>
      <c r="F103" s="1810">
        <f t="shared" si="18"/>
        <v>8179</v>
      </c>
      <c r="G103" s="1811">
        <f t="shared" si="19"/>
        <v>0</v>
      </c>
    </row>
    <row r="104" spans="1:7" x14ac:dyDescent="0.25">
      <c r="A104" s="1961" t="s">
        <v>2289</v>
      </c>
      <c r="B104" s="1960" t="s">
        <v>2277</v>
      </c>
      <c r="C104" s="1958" t="s">
        <v>2245</v>
      </c>
      <c r="D104" s="1957">
        <v>8543</v>
      </c>
      <c r="E104" s="1559">
        <f t="shared" si="17"/>
        <v>8543</v>
      </c>
      <c r="F104" s="1810">
        <f t="shared" si="18"/>
        <v>8543</v>
      </c>
      <c r="G104" s="1811">
        <f t="shared" si="19"/>
        <v>0</v>
      </c>
    </row>
    <row r="105" spans="1:7" x14ac:dyDescent="0.25">
      <c r="A105" s="1961" t="s">
        <v>2289</v>
      </c>
      <c r="B105" s="1960" t="s">
        <v>2277</v>
      </c>
      <c r="C105" s="1958" t="s">
        <v>2246</v>
      </c>
      <c r="D105" s="1957">
        <v>8589</v>
      </c>
      <c r="E105" s="1559">
        <f t="shared" si="17"/>
        <v>8589</v>
      </c>
      <c r="F105" s="1810">
        <f t="shared" si="18"/>
        <v>8589</v>
      </c>
      <c r="G105" s="1811">
        <f t="shared" si="19"/>
        <v>0</v>
      </c>
    </row>
    <row r="106" spans="1:7" x14ac:dyDescent="0.25">
      <c r="A106" s="1961" t="s">
        <v>2289</v>
      </c>
      <c r="B106" s="1960" t="s">
        <v>2277</v>
      </c>
      <c r="C106" s="1958" t="s">
        <v>2247</v>
      </c>
      <c r="D106" s="1957">
        <v>9000</v>
      </c>
      <c r="E106" s="1559">
        <f t="shared" si="17"/>
        <v>9000</v>
      </c>
      <c r="F106" s="1810">
        <f t="shared" si="18"/>
        <v>9000</v>
      </c>
      <c r="G106" s="1811">
        <f t="shared" si="19"/>
        <v>0</v>
      </c>
    </row>
    <row r="107" spans="1:7" x14ac:dyDescent="0.25">
      <c r="A107" s="1961" t="s">
        <v>2289</v>
      </c>
      <c r="B107" s="1960" t="s">
        <v>2277</v>
      </c>
      <c r="C107" s="1958" t="s">
        <v>2248</v>
      </c>
      <c r="D107" s="1957">
        <v>10600</v>
      </c>
      <c r="E107" s="1559">
        <f t="shared" si="17"/>
        <v>10600</v>
      </c>
      <c r="F107" s="1810">
        <f t="shared" si="18"/>
        <v>10600</v>
      </c>
      <c r="G107" s="1811">
        <f t="shared" si="19"/>
        <v>0</v>
      </c>
    </row>
    <row r="108" spans="1:7" x14ac:dyDescent="0.25">
      <c r="A108" s="1961" t="s">
        <v>2289</v>
      </c>
      <c r="B108" s="1960" t="s">
        <v>2277</v>
      </c>
      <c r="C108" s="1958" t="s">
        <v>2249</v>
      </c>
      <c r="D108" s="1957">
        <v>10617</v>
      </c>
      <c r="E108" s="1559">
        <f t="shared" si="17"/>
        <v>10617</v>
      </c>
      <c r="F108" s="1810">
        <f t="shared" si="18"/>
        <v>10617</v>
      </c>
      <c r="G108" s="1811">
        <f t="shared" si="19"/>
        <v>0</v>
      </c>
    </row>
    <row r="109" spans="1:7" x14ac:dyDescent="0.25">
      <c r="A109" s="1961" t="s">
        <v>2289</v>
      </c>
      <c r="B109" s="1960" t="s">
        <v>2277</v>
      </c>
      <c r="C109" s="1958" t="s">
        <v>2250</v>
      </c>
      <c r="D109" s="1957">
        <v>10739</v>
      </c>
      <c r="E109" s="1559">
        <f t="shared" si="17"/>
        <v>10739</v>
      </c>
      <c r="F109" s="1810">
        <f t="shared" si="18"/>
        <v>10739</v>
      </c>
      <c r="G109" s="1811">
        <f t="shared" si="19"/>
        <v>0</v>
      </c>
    </row>
    <row r="110" spans="1:7" x14ac:dyDescent="0.25">
      <c r="A110" s="1961" t="s">
        <v>2289</v>
      </c>
      <c r="B110" s="1960" t="s">
        <v>2277</v>
      </c>
      <c r="C110" s="1958" t="s">
        <v>2241</v>
      </c>
      <c r="D110" s="1957">
        <v>12561</v>
      </c>
      <c r="E110" s="1559">
        <f t="shared" si="17"/>
        <v>12561</v>
      </c>
      <c r="F110" s="1810">
        <f t="shared" si="18"/>
        <v>12561</v>
      </c>
      <c r="G110" s="1811">
        <f t="shared" si="19"/>
        <v>0</v>
      </c>
    </row>
    <row r="111" spans="1:7" x14ac:dyDescent="0.25">
      <c r="A111" s="1961" t="s">
        <v>2289</v>
      </c>
      <c r="B111" s="1960" t="s">
        <v>2277</v>
      </c>
      <c r="C111" s="1958" t="s">
        <v>2234</v>
      </c>
      <c r="D111" s="1957">
        <v>12760</v>
      </c>
      <c r="E111" s="1559">
        <f t="shared" si="17"/>
        <v>12760</v>
      </c>
      <c r="F111" s="1810">
        <f t="shared" si="18"/>
        <v>12760</v>
      </c>
      <c r="G111" s="1811">
        <f t="shared" si="19"/>
        <v>0</v>
      </c>
    </row>
    <row r="112" spans="1:7" x14ac:dyDescent="0.25">
      <c r="A112" s="1961" t="s">
        <v>2289</v>
      </c>
      <c r="B112" s="1960" t="s">
        <v>2277</v>
      </c>
      <c r="C112" s="1958" t="s">
        <v>2248</v>
      </c>
      <c r="D112" s="1957">
        <v>12900</v>
      </c>
      <c r="E112" s="1559">
        <f t="shared" si="17"/>
        <v>12900</v>
      </c>
      <c r="F112" s="1810">
        <f t="shared" si="18"/>
        <v>12900</v>
      </c>
      <c r="G112" s="1811">
        <f t="shared" si="19"/>
        <v>0</v>
      </c>
    </row>
    <row r="113" spans="1:7" x14ac:dyDescent="0.25">
      <c r="A113" s="1961" t="s">
        <v>2289</v>
      </c>
      <c r="B113" s="1960" t="s">
        <v>2277</v>
      </c>
      <c r="C113" s="1958" t="s">
        <v>2241</v>
      </c>
      <c r="D113" s="1957">
        <v>13704</v>
      </c>
      <c r="E113" s="1559">
        <f t="shared" ref="E113:E125" si="20">IF(D113&lt;=25000,D113,IF(D113&gt;25000,25000,0))</f>
        <v>13704</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13704</v>
      </c>
      <c r="G113" s="1811">
        <f t="shared" ref="G113:G125" si="22">IF(F113=0,0,D113-F113)</f>
        <v>0</v>
      </c>
    </row>
    <row r="114" spans="1:7" x14ac:dyDescent="0.25">
      <c r="A114" s="1961" t="s">
        <v>2289</v>
      </c>
      <c r="B114" s="1960" t="s">
        <v>2277</v>
      </c>
      <c r="C114" s="1958" t="s">
        <v>2249</v>
      </c>
      <c r="D114" s="1957">
        <v>13814</v>
      </c>
      <c r="E114" s="1559">
        <f t="shared" si="20"/>
        <v>13814</v>
      </c>
      <c r="F114" s="1810">
        <f t="shared" si="21"/>
        <v>13814</v>
      </c>
      <c r="G114" s="1811">
        <f t="shared" si="22"/>
        <v>0</v>
      </c>
    </row>
    <row r="115" spans="1:7" x14ac:dyDescent="0.25">
      <c r="A115" s="1961" t="s">
        <v>2289</v>
      </c>
      <c r="B115" s="1960" t="s">
        <v>2277</v>
      </c>
      <c r="C115" s="1958" t="s">
        <v>2251</v>
      </c>
      <c r="D115" s="1957">
        <v>14353</v>
      </c>
      <c r="E115" s="1559">
        <f t="shared" si="20"/>
        <v>14353</v>
      </c>
      <c r="F115" s="1810">
        <f t="shared" si="21"/>
        <v>14353</v>
      </c>
      <c r="G115" s="1811">
        <f t="shared" si="22"/>
        <v>0</v>
      </c>
    </row>
    <row r="116" spans="1:7" x14ac:dyDescent="0.25">
      <c r="A116" s="1961" t="s">
        <v>2289</v>
      </c>
      <c r="B116" s="1960" t="s">
        <v>2277</v>
      </c>
      <c r="C116" s="1958" t="s">
        <v>2252</v>
      </c>
      <c r="D116" s="1957">
        <v>15442</v>
      </c>
      <c r="E116" s="1559">
        <f t="shared" si="20"/>
        <v>15442</v>
      </c>
      <c r="F116" s="1810">
        <f t="shared" si="21"/>
        <v>15442</v>
      </c>
      <c r="G116" s="1811">
        <f t="shared" si="22"/>
        <v>0</v>
      </c>
    </row>
    <row r="117" spans="1:7" x14ac:dyDescent="0.25">
      <c r="A117" s="1961" t="s">
        <v>2289</v>
      </c>
      <c r="B117" s="1960" t="s">
        <v>2277</v>
      </c>
      <c r="C117" s="1958" t="s">
        <v>2247</v>
      </c>
      <c r="D117" s="1957">
        <v>17940</v>
      </c>
      <c r="E117" s="1559">
        <f t="shared" si="20"/>
        <v>17940</v>
      </c>
      <c r="F117" s="1810">
        <f t="shared" si="21"/>
        <v>17940</v>
      </c>
      <c r="G117" s="1811">
        <f t="shared" si="22"/>
        <v>0</v>
      </c>
    </row>
    <row r="118" spans="1:7" x14ac:dyDescent="0.25">
      <c r="A118" s="1961" t="s">
        <v>2289</v>
      </c>
      <c r="B118" s="1960" t="s">
        <v>2277</v>
      </c>
      <c r="C118" s="1958" t="s">
        <v>2253</v>
      </c>
      <c r="D118" s="1957">
        <v>23360</v>
      </c>
      <c r="E118" s="1559">
        <f t="shared" si="20"/>
        <v>23360</v>
      </c>
      <c r="F118" s="1810">
        <f t="shared" si="21"/>
        <v>23360</v>
      </c>
      <c r="G118" s="1811">
        <f t="shared" si="22"/>
        <v>0</v>
      </c>
    </row>
    <row r="119" spans="1:7" x14ac:dyDescent="0.25">
      <c r="A119" s="1961" t="s">
        <v>2289</v>
      </c>
      <c r="B119" s="1960" t="s">
        <v>2277</v>
      </c>
      <c r="C119" s="1958" t="s">
        <v>2253</v>
      </c>
      <c r="D119" s="1957">
        <v>33550</v>
      </c>
      <c r="E119" s="1559">
        <f t="shared" si="20"/>
        <v>25000</v>
      </c>
      <c r="F119" s="1810">
        <f t="shared" si="21"/>
        <v>25000</v>
      </c>
      <c r="G119" s="1811">
        <f t="shared" si="22"/>
        <v>8550</v>
      </c>
    </row>
    <row r="120" spans="1:7" x14ac:dyDescent="0.25">
      <c r="A120" s="1961" t="s">
        <v>2289</v>
      </c>
      <c r="B120" s="1960" t="s">
        <v>2277</v>
      </c>
      <c r="C120" s="1958" t="s">
        <v>2254</v>
      </c>
      <c r="D120" s="1957">
        <v>34702</v>
      </c>
      <c r="E120" s="1559">
        <f t="shared" si="20"/>
        <v>25000</v>
      </c>
      <c r="F120" s="1810">
        <f t="shared" si="21"/>
        <v>25000</v>
      </c>
      <c r="G120" s="1811">
        <f t="shared" si="22"/>
        <v>9702</v>
      </c>
    </row>
    <row r="121" spans="1:7" x14ac:dyDescent="0.25">
      <c r="A121" s="1961" t="s">
        <v>2289</v>
      </c>
      <c r="B121" s="1960" t="s">
        <v>2277</v>
      </c>
      <c r="C121" s="1958" t="s">
        <v>2247</v>
      </c>
      <c r="D121" s="1957">
        <v>36000</v>
      </c>
      <c r="E121" s="1559">
        <f t="shared" si="20"/>
        <v>25000</v>
      </c>
      <c r="F121" s="1810">
        <f t="shared" si="21"/>
        <v>25000</v>
      </c>
      <c r="G121" s="1811">
        <f t="shared" si="22"/>
        <v>11000</v>
      </c>
    </row>
    <row r="122" spans="1:7" x14ac:dyDescent="0.25">
      <c r="A122" s="1961" t="s">
        <v>2289</v>
      </c>
      <c r="B122" s="1960" t="s">
        <v>2277</v>
      </c>
      <c r="C122" s="1958" t="s">
        <v>2218</v>
      </c>
      <c r="D122" s="1957">
        <v>52865</v>
      </c>
      <c r="E122" s="1559">
        <f t="shared" si="20"/>
        <v>25000</v>
      </c>
      <c r="F122" s="1810">
        <f t="shared" si="21"/>
        <v>25000</v>
      </c>
      <c r="G122" s="1811">
        <f t="shared" si="22"/>
        <v>27865</v>
      </c>
    </row>
    <row r="123" spans="1:7" x14ac:dyDescent="0.25">
      <c r="A123" s="1961" t="s">
        <v>2289</v>
      </c>
      <c r="B123" s="1960" t="s">
        <v>2277</v>
      </c>
      <c r="C123" s="1958" t="s">
        <v>2255</v>
      </c>
      <c r="D123" s="1957">
        <v>55849</v>
      </c>
      <c r="E123" s="1559">
        <f t="shared" si="20"/>
        <v>25000</v>
      </c>
      <c r="F123" s="1810">
        <f t="shared" si="21"/>
        <v>25000</v>
      </c>
      <c r="G123" s="1811">
        <f t="shared" si="22"/>
        <v>30849</v>
      </c>
    </row>
    <row r="124" spans="1:7" x14ac:dyDescent="0.25">
      <c r="A124" s="1961" t="s">
        <v>2289</v>
      </c>
      <c r="B124" s="1960" t="s">
        <v>2277</v>
      </c>
      <c r="C124" s="1958" t="s">
        <v>2218</v>
      </c>
      <c r="D124" s="1957">
        <v>66285</v>
      </c>
      <c r="E124" s="1559">
        <f t="shared" si="20"/>
        <v>25000</v>
      </c>
      <c r="F124" s="1810">
        <f t="shared" si="21"/>
        <v>25000</v>
      </c>
      <c r="G124" s="1811">
        <f t="shared" si="22"/>
        <v>41285</v>
      </c>
    </row>
    <row r="125" spans="1:7" x14ac:dyDescent="0.25">
      <c r="A125" s="1961" t="s">
        <v>2289</v>
      </c>
      <c r="B125" s="1960" t="s">
        <v>2277</v>
      </c>
      <c r="C125" s="1958" t="s">
        <v>2256</v>
      </c>
      <c r="D125" s="1957">
        <v>6579</v>
      </c>
      <c r="E125" s="1559">
        <f t="shared" si="20"/>
        <v>6579</v>
      </c>
      <c r="F125" s="1810">
        <f t="shared" si="21"/>
        <v>6579</v>
      </c>
      <c r="G125" s="1811">
        <f t="shared" si="22"/>
        <v>0</v>
      </c>
    </row>
    <row r="126" spans="1:7" x14ac:dyDescent="0.25">
      <c r="A126" s="1961" t="s">
        <v>2289</v>
      </c>
      <c r="B126" s="1960" t="s">
        <v>2277</v>
      </c>
      <c r="C126" s="1958" t="s">
        <v>2257</v>
      </c>
      <c r="D126" s="1957">
        <v>5636</v>
      </c>
      <c r="E126" s="1559">
        <f t="shared" ref="E126:E134" si="23">IF(D126&lt;=25000,D126,IF(D126&gt;25000,25000,0))</f>
        <v>5636</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5636</v>
      </c>
      <c r="G126" s="1811">
        <f t="shared" ref="G126:G134" si="25">IF(F126=0,0,D126-F126)</f>
        <v>0</v>
      </c>
    </row>
    <row r="127" spans="1:7" x14ac:dyDescent="0.25">
      <c r="A127" s="1961" t="s">
        <v>2289</v>
      </c>
      <c r="B127" s="1960" t="s">
        <v>2277</v>
      </c>
      <c r="C127" s="1958" t="s">
        <v>2258</v>
      </c>
      <c r="D127" s="1957">
        <v>7999</v>
      </c>
      <c r="E127" s="1559">
        <f t="shared" si="23"/>
        <v>7999</v>
      </c>
      <c r="F127" s="1810">
        <f t="shared" si="24"/>
        <v>7999</v>
      </c>
      <c r="G127" s="1811">
        <f t="shared" si="25"/>
        <v>0</v>
      </c>
    </row>
    <row r="128" spans="1:7" x14ac:dyDescent="0.25">
      <c r="A128" s="1961" t="s">
        <v>2290</v>
      </c>
      <c r="B128" s="1960" t="s">
        <v>2278</v>
      </c>
      <c r="C128" s="1958" t="s">
        <v>2259</v>
      </c>
      <c r="D128" s="1957">
        <v>1380992</v>
      </c>
      <c r="E128" s="1559">
        <f t="shared" si="23"/>
        <v>25000</v>
      </c>
      <c r="F128" s="1810">
        <f t="shared" si="24"/>
        <v>25000</v>
      </c>
      <c r="G128" s="1811">
        <f t="shared" si="25"/>
        <v>1355992</v>
      </c>
    </row>
    <row r="129" spans="1:7" x14ac:dyDescent="0.25">
      <c r="A129" s="1961" t="s">
        <v>2290</v>
      </c>
      <c r="B129" s="1960" t="s">
        <v>2278</v>
      </c>
      <c r="C129" s="1958" t="s">
        <v>2260</v>
      </c>
      <c r="D129" s="1957">
        <v>25825</v>
      </c>
      <c r="E129" s="1559">
        <f t="shared" si="23"/>
        <v>25000</v>
      </c>
      <c r="F129" s="1810">
        <f t="shared" si="24"/>
        <v>25000</v>
      </c>
      <c r="G129" s="1811">
        <f t="shared" si="25"/>
        <v>825</v>
      </c>
    </row>
    <row r="130" spans="1:7" x14ac:dyDescent="0.25">
      <c r="A130" s="1961" t="s">
        <v>2291</v>
      </c>
      <c r="B130" s="1960" t="s">
        <v>2279</v>
      </c>
      <c r="C130" s="1958" t="s">
        <v>2261</v>
      </c>
      <c r="D130" s="1957">
        <v>274300</v>
      </c>
      <c r="E130" s="1559">
        <f t="shared" si="23"/>
        <v>25000</v>
      </c>
      <c r="F130" s="1810">
        <f t="shared" si="24"/>
        <v>25000</v>
      </c>
      <c r="G130" s="1811">
        <f t="shared" si="25"/>
        <v>249300</v>
      </c>
    </row>
    <row r="131" spans="1:7" x14ac:dyDescent="0.25">
      <c r="A131" s="1961" t="s">
        <v>2291</v>
      </c>
      <c r="B131" s="1960" t="s">
        <v>2279</v>
      </c>
      <c r="C131" s="1958" t="s">
        <v>2262</v>
      </c>
      <c r="D131" s="1957">
        <v>7398</v>
      </c>
      <c r="E131" s="1559">
        <f t="shared" si="23"/>
        <v>7398</v>
      </c>
      <c r="F131" s="1810">
        <f t="shared" si="24"/>
        <v>7398</v>
      </c>
      <c r="G131" s="1811">
        <f t="shared" si="25"/>
        <v>0</v>
      </c>
    </row>
    <row r="132" spans="1:7" x14ac:dyDescent="0.25">
      <c r="A132" s="1961" t="s">
        <v>2291</v>
      </c>
      <c r="B132" s="1960" t="s">
        <v>2279</v>
      </c>
      <c r="C132" s="1958" t="s">
        <v>2263</v>
      </c>
      <c r="D132" s="1957">
        <v>345247</v>
      </c>
      <c r="E132" s="1559">
        <f t="shared" si="23"/>
        <v>25000</v>
      </c>
      <c r="F132" s="1810">
        <f t="shared" si="24"/>
        <v>25000</v>
      </c>
      <c r="G132" s="1811">
        <f t="shared" si="25"/>
        <v>320247</v>
      </c>
    </row>
    <row r="133" spans="1:7" x14ac:dyDescent="0.25">
      <c r="A133" s="1961" t="s">
        <v>2291</v>
      </c>
      <c r="B133" s="1960" t="s">
        <v>2279</v>
      </c>
      <c r="C133" s="1958" t="s">
        <v>2264</v>
      </c>
      <c r="D133" s="1957">
        <v>12488</v>
      </c>
      <c r="E133" s="1559">
        <f t="shared" si="23"/>
        <v>12488</v>
      </c>
      <c r="F133" s="1810">
        <f t="shared" si="24"/>
        <v>12488</v>
      </c>
      <c r="G133" s="1811">
        <f t="shared" si="25"/>
        <v>0</v>
      </c>
    </row>
    <row r="134" spans="1:7" x14ac:dyDescent="0.25">
      <c r="A134" s="1961" t="s">
        <v>2291</v>
      </c>
      <c r="B134" s="1960" t="s">
        <v>2279</v>
      </c>
      <c r="C134" s="1958" t="s">
        <v>2216</v>
      </c>
      <c r="D134" s="1957">
        <v>19419</v>
      </c>
      <c r="E134" s="1559">
        <f t="shared" si="23"/>
        <v>19419</v>
      </c>
      <c r="F134" s="1810">
        <f t="shared" si="24"/>
        <v>19419</v>
      </c>
      <c r="G134" s="1811">
        <f t="shared" si="25"/>
        <v>0</v>
      </c>
    </row>
    <row r="135" spans="1:7" x14ac:dyDescent="0.25">
      <c r="A135" s="1961" t="s">
        <v>2291</v>
      </c>
      <c r="B135" s="1960" t="s">
        <v>2279</v>
      </c>
      <c r="C135" s="1958" t="s">
        <v>2212</v>
      </c>
      <c r="D135" s="1957">
        <v>15800</v>
      </c>
      <c r="E135" s="1559">
        <f t="shared" ref="E135:E139" si="26">IF(D135&lt;=25000,D135,IF(D135&gt;25000,25000,0))</f>
        <v>15800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15800</v>
      </c>
      <c r="G135" s="1811">
        <f t="shared" ref="G135:G139" si="28">IF(F135=0,0,D135-F135)</f>
        <v>0</v>
      </c>
    </row>
    <row r="136" spans="1:7" x14ac:dyDescent="0.25">
      <c r="A136" s="1961" t="s">
        <v>2291</v>
      </c>
      <c r="B136" s="1960" t="s">
        <v>2279</v>
      </c>
      <c r="C136" s="1958" t="s">
        <v>2265</v>
      </c>
      <c r="D136" s="1957">
        <v>7011</v>
      </c>
      <c r="E136" s="1559">
        <f t="shared" si="26"/>
        <v>7011</v>
      </c>
      <c r="F136" s="1810">
        <f t="shared" si="27"/>
        <v>7011</v>
      </c>
      <c r="G136" s="1811">
        <f t="shared" si="28"/>
        <v>0</v>
      </c>
    </row>
    <row r="137" spans="1:7" x14ac:dyDescent="0.25">
      <c r="A137" s="1961" t="s">
        <v>2291</v>
      </c>
      <c r="B137" s="1960" t="s">
        <v>2279</v>
      </c>
      <c r="C137" s="1958" t="s">
        <v>2266</v>
      </c>
      <c r="D137" s="1957">
        <v>15374</v>
      </c>
      <c r="E137" s="1559">
        <f t="shared" si="26"/>
        <v>15374</v>
      </c>
      <c r="F137" s="1810">
        <f t="shared" si="27"/>
        <v>15374</v>
      </c>
      <c r="G137" s="1811">
        <f t="shared" si="28"/>
        <v>0</v>
      </c>
    </row>
    <row r="138" spans="1:7" x14ac:dyDescent="0.25">
      <c r="A138" s="1961" t="s">
        <v>2291</v>
      </c>
      <c r="B138" s="1960" t="s">
        <v>2279</v>
      </c>
      <c r="C138" s="1958" t="s">
        <v>2267</v>
      </c>
      <c r="D138" s="1957">
        <v>53833</v>
      </c>
      <c r="E138" s="1559">
        <f t="shared" si="26"/>
        <v>25000</v>
      </c>
      <c r="F138" s="1810">
        <f t="shared" si="27"/>
        <v>25000</v>
      </c>
      <c r="G138" s="1811">
        <f t="shared" si="28"/>
        <v>28833</v>
      </c>
    </row>
    <row r="139" spans="1:7" x14ac:dyDescent="0.25">
      <c r="A139" s="1672"/>
      <c r="B139" s="1684"/>
      <c r="C139" s="1673"/>
      <c r="D139" s="1861"/>
      <c r="E139" s="1559">
        <f t="shared" si="26"/>
        <v>0</v>
      </c>
      <c r="F139" s="1810">
        <f t="shared" si="27"/>
        <v>0</v>
      </c>
      <c r="G139" s="1811">
        <f t="shared" si="28"/>
        <v>0</v>
      </c>
    </row>
    <row r="140" spans="1:7" x14ac:dyDescent="0.25">
      <c r="A140" s="1672"/>
      <c r="B140" s="1683"/>
      <c r="C140" s="1673"/>
      <c r="D140" s="1861"/>
      <c r="E140" s="1559">
        <f t="shared" si="2"/>
        <v>0</v>
      </c>
      <c r="F140" s="1810">
        <f t="shared" si="3"/>
        <v>0</v>
      </c>
      <c r="G140" s="1811">
        <f t="shared" si="4"/>
        <v>0</v>
      </c>
    </row>
    <row r="141" spans="1:7" x14ac:dyDescent="0.25">
      <c r="A141" s="1814" t="s">
        <v>158</v>
      </c>
      <c r="B141" s="1815"/>
      <c r="C141" s="1816"/>
      <c r="D141" s="1812">
        <f>SUM(D17:D140)</f>
        <v>6913235</v>
      </c>
      <c r="E141" s="1560">
        <f t="shared" si="1"/>
        <v>25000</v>
      </c>
      <c r="F141" s="1812">
        <f>SUM(F17:F140)</f>
        <v>1913304</v>
      </c>
      <c r="G141" s="1813">
        <f>SUM(G17:G140)</f>
        <v>4999931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Normal="100" zoomScaleSheetLayoutView="100" workbookViewId="0">
      <selection sqref="A1:M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09" t="s">
        <v>1942</v>
      </c>
      <c r="B11" s="2310"/>
      <c r="C11" s="2310"/>
      <c r="D11" s="2311"/>
      <c r="E11" s="978">
        <v>252425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45527245</v>
      </c>
      <c r="F19" s="1817"/>
      <c r="G19" s="1819">
        <f>'Expenditures 15-22'!K33-SUM('Expenditures 15-22'!G33,'Expenditures 15-22'!I33)+'Expenditures 15-22'!D229</f>
        <v>45527245</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2956275</v>
      </c>
      <c r="F21" s="1820"/>
      <c r="G21" s="1823">
        <f>'Expenditures 15-22'!K42-SUM('Expenditures 15-22'!G42,'Expenditures 15-22'!I42)+'Expenditures 15-22'!K120-SUM('Expenditures 15-22'!G120,'Expenditures 15-22'!I120)+'Expenditures 15-22'!K180-SUM('Expenditures 15-22'!G180,'Expenditures 15-22'!I180)+'Expenditures 15-22'!D238</f>
        <v>2956275</v>
      </c>
      <c r="H21" s="988"/>
      <c r="I21" s="162"/>
    </row>
    <row r="22" spans="1:9" s="669" customFormat="1" ht="12" customHeight="1" x14ac:dyDescent="0.2">
      <c r="A22" s="995" t="s">
        <v>585</v>
      </c>
      <c r="B22" s="996"/>
      <c r="C22" s="994">
        <v>2200</v>
      </c>
      <c r="D22" s="1820"/>
      <c r="E22" s="1822">
        <f>'Expenditures 15-22'!K47-SUM('Expenditures 15-22'!G47,'Expenditures 15-22'!I47)+'Expenditures 15-22'!D243</f>
        <v>1707734</v>
      </c>
      <c r="F22" s="1820"/>
      <c r="G22" s="1823">
        <f>'Expenditures 15-22'!K47-SUM('Expenditures 15-22'!G47,'Expenditures 15-22'!I47)+'Expenditures 15-22'!D243</f>
        <v>1707734</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2121152</v>
      </c>
      <c r="F23" s="1820"/>
      <c r="G23" s="1822">
        <f>'Expenditures 15-22'!K53-SUM('Expenditures 15-22'!G53,'Expenditures 15-22'!I53)+'Expenditures 15-22'!D257+'Expenditures 15-22'!K330-SUM('Expenditures 15-22'!G330,'Expenditures 15-22'!I330)</f>
        <v>2121152</v>
      </c>
      <c r="H23" s="988"/>
      <c r="I23" s="162"/>
    </row>
    <row r="24" spans="1:9" s="669" customFormat="1" ht="12" customHeight="1" x14ac:dyDescent="0.2">
      <c r="A24" s="995" t="s">
        <v>587</v>
      </c>
      <c r="B24" s="996"/>
      <c r="C24" s="994">
        <v>2400</v>
      </c>
      <c r="D24" s="1820"/>
      <c r="E24" s="1822">
        <f>'Expenditures 15-22'!K57-SUM('Expenditures 15-22'!G57,'Expenditures 15-22'!I57)+'Expenditures 15-22'!D261</f>
        <v>4809210</v>
      </c>
      <c r="F24" s="1820"/>
      <c r="G24" s="1823">
        <f>'Expenditures 15-22'!K57-SUM('Expenditures 15-22'!G57,'Expenditures 15-22'!I57)+'Expenditures 15-22'!D261</f>
        <v>4809210</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258335</v>
      </c>
      <c r="E26" s="1822">
        <f>'Expenditures 15-22'!K122-SUM('Expenditures 15-22'!G122,'Expenditures 15-22'!I122)+E7</f>
        <v>0</v>
      </c>
      <c r="F26" s="1822">
        <f>'Expenditures 15-22'!K59-SUM('Expenditures 15-22'!G59,'Expenditures 15-22'!I59)+'Expenditures 15-22'!D263-E7</f>
        <v>258335</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486296</v>
      </c>
      <c r="E27" s="1822">
        <f>E8</f>
        <v>0</v>
      </c>
      <c r="F27" s="1822">
        <f>'Expenditures 15-22'!K60-SUM('Expenditures 15-22'!G60,'Expenditures 15-22'!I60)+'Expenditures 15-22'!D264-E8</f>
        <v>486296</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7201755</v>
      </c>
      <c r="F28" s="1824">
        <f>'Expenditures 15-22'!K61-SUM('Expenditures 15-22'!G61,'Expenditures 15-22'!I61)+'Expenditures 15-22'!K124-SUM('Expenditures 15-22'!G124,'Expenditures 15-22'!I124)+'Expenditures 15-22'!D266-E9</f>
        <v>7201755</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1418739</v>
      </c>
      <c r="F29" s="1820"/>
      <c r="G29" s="1823">
        <f>'Expenditures 15-22'!K62-SUM('Expenditures 15-22'!G62,'Expenditures 15-22'!I62)+'Expenditures 15-22'!K125-SUM('Expenditures 15-22'!G125,'Expenditures 15-22'!I125)+'Expenditures 15-22'!K182-SUM('Expenditures 15-22'!G182,'Expenditures 15-22'!I182)+'Expenditures 15-22'!D267</f>
        <v>1418739</v>
      </c>
      <c r="H29" s="986"/>
    </row>
    <row r="30" spans="1:9" ht="12" customHeight="1" x14ac:dyDescent="0.2">
      <c r="A30" s="995" t="s">
        <v>102</v>
      </c>
      <c r="B30" s="998"/>
      <c r="C30" s="994">
        <v>2560</v>
      </c>
      <c r="D30" s="1820"/>
      <c r="E30" s="1822">
        <f>'Expenditures 15-22'!K63-SUM('Expenditures 15-22'!G63,'Expenditures 15-22'!I63)+'Expenditures 15-22'!D268-E10</f>
        <v>2533473</v>
      </c>
      <c r="F30" s="1820"/>
      <c r="G30" s="1822">
        <f>'Expenditures 15-22'!K63-SUM('Expenditures 15-22'!G63,'Expenditures 15-22'!I63)+'Expenditures 15-22'!D268-E10</f>
        <v>2533473</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86492</v>
      </c>
      <c r="F33" s="1820"/>
      <c r="G33" s="1822">
        <f>'Expenditures 15-22'!K67-SUM('Expenditures 15-22'!G67,'Expenditures 15-22'!I67)+'Expenditures 15-22'!D272</f>
        <v>86492</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449880</v>
      </c>
      <c r="E36" s="1822">
        <f>E13</f>
        <v>0</v>
      </c>
      <c r="F36" s="1822">
        <f>'Expenditures 15-22'!K70-SUM('Expenditures 15-22'!G70,'Expenditures 15-22'!I70)+'Expenditures 15-22'!D275-E13</f>
        <v>449880</v>
      </c>
      <c r="G36" s="1822">
        <f>E13</f>
        <v>0</v>
      </c>
    </row>
    <row r="37" spans="1:7" ht="12" customHeight="1" x14ac:dyDescent="0.2">
      <c r="A37" s="995" t="s">
        <v>424</v>
      </c>
      <c r="B37" s="998"/>
      <c r="C37" s="994">
        <v>2660</v>
      </c>
      <c r="D37" s="1822">
        <f>'Expenditures 15-22'!K71-SUM('Expenditures 15-22'!G71,'Expenditures 15-22'!I71)+'Expenditures 15-22'!D276-E14</f>
        <v>1471714</v>
      </c>
      <c r="E37" s="1822">
        <f>E14</f>
        <v>0</v>
      </c>
      <c r="F37" s="1822">
        <f>'Expenditures 15-22'!K71-SUM('Expenditures 15-22'!G71,'Expenditures 15-22'!I71)+'Expenditures 15-22'!D276-E14</f>
        <v>1471714</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349065</v>
      </c>
      <c r="F39" s="1820"/>
      <c r="G39" s="1822">
        <f>'Expenditures 15-22'!K75-SUM('Expenditures 15-22'!G75,'Expenditures 15-22'!I75)+'Expenditures 15-22'!K130-SUM('Expenditures 15-22'!G130,'Expenditures 15-22'!I130)+'Expenditures 15-22'!K185-SUM('Expenditures 15-22'!G185,'Expenditures 15-22'!I185)+'Expenditures 15-22'!D280</f>
        <v>349065</v>
      </c>
    </row>
    <row r="40" spans="1:7" ht="12" customHeight="1" x14ac:dyDescent="0.2">
      <c r="A40" s="991" t="s">
        <v>1928</v>
      </c>
      <c r="B40" s="992"/>
      <c r="C40" s="994"/>
      <c r="D40" s="1820"/>
      <c r="E40" s="1824">
        <f>-'Contracts Paid in CY 29'!G141</f>
        <v>-4999931</v>
      </c>
      <c r="F40" s="1820"/>
      <c r="G40" s="1824">
        <f>-'Contracts Paid in CY 29'!G141</f>
        <v>-4999931</v>
      </c>
    </row>
    <row r="41" spans="1:7" ht="12" customHeight="1" x14ac:dyDescent="0.2">
      <c r="A41" s="999" t="s">
        <v>158</v>
      </c>
      <c r="B41" s="1000"/>
      <c r="C41" s="1001"/>
      <c r="D41" s="1824">
        <f>SUM(D19:D39)</f>
        <v>2666225</v>
      </c>
      <c r="E41" s="1824">
        <f>SUM(E19:E40)</f>
        <v>63711209</v>
      </c>
      <c r="F41" s="1824">
        <f>SUM(F19:F39)</f>
        <v>9867980</v>
      </c>
      <c r="G41" s="1824">
        <f>SUM(G19:G40)</f>
        <v>56509454</v>
      </c>
    </row>
    <row r="42" spans="1:7" x14ac:dyDescent="0.2">
      <c r="A42" s="988"/>
      <c r="B42" s="162"/>
      <c r="C42" s="1002"/>
      <c r="D42" s="2307" t="s">
        <v>543</v>
      </c>
      <c r="E42" s="2308"/>
      <c r="F42" s="1003" t="s">
        <v>544</v>
      </c>
      <c r="G42" s="1004"/>
    </row>
    <row r="43" spans="1:7" ht="12" customHeight="1" x14ac:dyDescent="0.2">
      <c r="A43" s="988"/>
      <c r="B43" s="162"/>
      <c r="C43" s="1002"/>
      <c r="D43" s="1825" t="s">
        <v>493</v>
      </c>
      <c r="E43" s="1826">
        <f>D41</f>
        <v>2666225</v>
      </c>
      <c r="F43" s="1825" t="s">
        <v>495</v>
      </c>
      <c r="G43" s="1826">
        <f>F41</f>
        <v>9867980</v>
      </c>
    </row>
    <row r="44" spans="1:7" ht="12" customHeight="1" x14ac:dyDescent="0.2">
      <c r="A44" s="988"/>
      <c r="B44" s="162"/>
      <c r="C44" s="1002"/>
      <c r="D44" s="1825" t="s">
        <v>494</v>
      </c>
      <c r="E44" s="1826">
        <f>E41</f>
        <v>63711209</v>
      </c>
      <c r="F44" s="1825" t="s">
        <v>494</v>
      </c>
      <c r="G44" s="1826">
        <f>G41</f>
        <v>56509454</v>
      </c>
    </row>
    <row r="45" spans="1:7" ht="12" customHeight="1" x14ac:dyDescent="0.2">
      <c r="A45" s="988"/>
      <c r="B45" s="162"/>
      <c r="C45" s="162"/>
      <c r="D45" s="1827" t="s">
        <v>1063</v>
      </c>
      <c r="E45" s="1828">
        <f>(E43/E44)</f>
        <v>4.1848601554555338E-2</v>
      </c>
      <c r="F45" s="1827" t="s">
        <v>1063</v>
      </c>
      <c r="G45" s="1828">
        <f>(G43/G44)</f>
        <v>0.17462529367209953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5" t="s">
        <v>1446</v>
      </c>
      <c r="B1" s="2315"/>
      <c r="C1" s="2315"/>
      <c r="D1" s="2315"/>
      <c r="E1" s="2315"/>
      <c r="F1" s="2315"/>
    </row>
    <row r="2" spans="1:10" x14ac:dyDescent="0.2">
      <c r="A2" s="1904" t="s">
        <v>2044</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16" t="s">
        <v>1627</v>
      </c>
      <c r="B5" s="2317"/>
      <c r="C5" s="2318"/>
      <c r="D5" s="2318"/>
      <c r="E5" s="2318"/>
      <c r="F5" s="2318"/>
    </row>
    <row r="6" spans="1:10" ht="12" customHeight="1" x14ac:dyDescent="0.25">
      <c r="A6" s="1867"/>
      <c r="B6" s="1868"/>
      <c r="C6" s="2319" t="str">
        <f>COVER!A17</f>
        <v>Moline-Coal Valley CUSD 40</v>
      </c>
      <c r="D6" s="2319"/>
      <c r="E6" s="2319"/>
      <c r="F6" s="1869"/>
    </row>
    <row r="7" spans="1:10" ht="11.25" customHeight="1" thickBot="1" x14ac:dyDescent="0.3">
      <c r="A7" s="1867"/>
      <c r="B7" s="1868"/>
      <c r="C7" s="2320">
        <f>COVER!A13</f>
        <v>49081040022</v>
      </c>
      <c r="D7" s="2320"/>
      <c r="E7" s="2320"/>
      <c r="F7" s="1869"/>
    </row>
    <row r="8" spans="1:10" ht="25.5" customHeight="1" thickBot="1" x14ac:dyDescent="0.25">
      <c r="A8" s="1910" t="s">
        <v>2021</v>
      </c>
      <c r="B8" s="1870" t="s">
        <v>2150</v>
      </c>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c r="D19" s="1882"/>
      <c r="E19" s="1885"/>
      <c r="F19" s="1884"/>
      <c r="H19" s="1895">
        <f t="shared" si="0"/>
        <v>0</v>
      </c>
      <c r="I19" s="1895">
        <f t="shared" si="1"/>
        <v>0</v>
      </c>
      <c r="J19" s="1895">
        <f t="shared" si="2"/>
        <v>0</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c r="D26" s="1882"/>
      <c r="E26" s="1885"/>
      <c r="F26" s="1884"/>
      <c r="H26" s="1895">
        <f t="shared" si="0"/>
        <v>0</v>
      </c>
      <c r="I26" s="1895">
        <f t="shared" si="1"/>
        <v>0</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0</v>
      </c>
      <c r="I34" s="1895">
        <f>SUM(I11:I32)</f>
        <v>0</v>
      </c>
      <c r="J34" s="1895">
        <f>SUM(J11:J32)</f>
        <v>0</v>
      </c>
      <c r="K34" s="1895">
        <f>SUM(H34:J34)</f>
        <v>0</v>
      </c>
    </row>
    <row r="35" spans="1:11" ht="12" customHeight="1" x14ac:dyDescent="0.2">
      <c r="A35" s="1888" t="s">
        <v>1459</v>
      </c>
      <c r="B35" s="1889"/>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0"/>
      <c r="B39" s="1890"/>
      <c r="C39" s="1890"/>
      <c r="D39" s="1890"/>
      <c r="E39" s="1890"/>
      <c r="F39" s="1890"/>
    </row>
    <row r="40" spans="1:11" s="1887" customFormat="1" ht="12" customHeight="1" x14ac:dyDescent="0.25">
      <c r="A40" s="1891" t="s">
        <v>1458</v>
      </c>
      <c r="B40" s="1892"/>
      <c r="C40" s="2329"/>
      <c r="D40" s="2329"/>
      <c r="E40" s="2329"/>
      <c r="F40" s="2330"/>
      <c r="H40" s="1896"/>
      <c r="I40" s="1896"/>
      <c r="J40" s="1896"/>
      <c r="K40" s="1896"/>
    </row>
    <row r="41" spans="1:11" s="1887" customFormat="1" ht="12" customHeight="1" x14ac:dyDescent="0.25">
      <c r="A41" s="2331"/>
      <c r="B41" s="2332"/>
      <c r="C41" s="2332"/>
      <c r="D41" s="2332"/>
      <c r="E41" s="2332"/>
      <c r="F41" s="2333"/>
      <c r="H41" s="1896"/>
      <c r="I41" s="1896"/>
      <c r="J41" s="1896"/>
      <c r="K41" s="1896"/>
    </row>
    <row r="42" spans="1:11" s="1887" customFormat="1" ht="12" customHeight="1" x14ac:dyDescent="0.25">
      <c r="A42" s="2331"/>
      <c r="B42" s="2332"/>
      <c r="C42" s="2332"/>
      <c r="D42" s="2332"/>
      <c r="E42" s="2332"/>
      <c r="F42" s="2333"/>
      <c r="H42" s="1896"/>
      <c r="I42" s="1896"/>
      <c r="J42" s="1896"/>
      <c r="K42" s="1896"/>
    </row>
    <row r="43" spans="1:11" s="1887" customFormat="1" ht="15" x14ac:dyDescent="0.25">
      <c r="A43" s="2323"/>
      <c r="B43" s="2324"/>
      <c r="C43" s="2324"/>
      <c r="D43" s="2324"/>
      <c r="E43" s="2324"/>
      <c r="F43" s="2325"/>
      <c r="H43" s="1896"/>
      <c r="I43" s="1896"/>
      <c r="J43" s="1896"/>
      <c r="K43" s="1896"/>
    </row>
    <row r="44" spans="1:11" s="1887" customFormat="1" ht="12" hidden="1" customHeight="1" x14ac:dyDescent="0.25">
      <c r="A44" s="2323"/>
      <c r="B44" s="2324"/>
      <c r="C44" s="2324"/>
      <c r="D44" s="2324"/>
      <c r="E44" s="2324"/>
      <c r="F44" s="2325"/>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M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1"/>
      <c r="C6" s="1661"/>
      <c r="D6" s="1661"/>
      <c r="E6" s="1662"/>
      <c r="F6" s="1016"/>
      <c r="G6" s="1010"/>
      <c r="H6" s="1017" t="s">
        <v>1086</v>
      </c>
      <c r="I6" s="2339" t="str">
        <f>COVER!A17</f>
        <v>Moline-Coal Valley CUSD 40</v>
      </c>
      <c r="J6" s="2340"/>
      <c r="Q6" s="1681"/>
    </row>
    <row r="7" spans="1:17" x14ac:dyDescent="0.2">
      <c r="A7" s="2341" t="s">
        <v>924</v>
      </c>
      <c r="B7" s="2342"/>
      <c r="C7" s="2342"/>
      <c r="D7" s="2342"/>
      <c r="E7" s="2343"/>
      <c r="F7" s="1018"/>
      <c r="G7" s="1010"/>
      <c r="H7" s="1017" t="s">
        <v>390</v>
      </c>
      <c r="I7" s="2344">
        <f>COVER!A13</f>
        <v>49081040022</v>
      </c>
      <c r="J7" s="2344"/>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310638</v>
      </c>
      <c r="F12" s="1040"/>
      <c r="G12" s="1829">
        <f t="shared" ref="G12:G18" si="0">SUM(E12:F12)</f>
        <v>310638</v>
      </c>
      <c r="H12" s="1041">
        <v>322649</v>
      </c>
      <c r="I12" s="1040"/>
      <c r="J12" s="1829">
        <f t="shared" ref="J12:J18" si="1">SUM(H12:I12)</f>
        <v>322649</v>
      </c>
    </row>
    <row r="13" spans="1:17" ht="15" customHeight="1" x14ac:dyDescent="0.2">
      <c r="A13" s="1036">
        <v>2</v>
      </c>
      <c r="B13" s="1037" t="s">
        <v>44</v>
      </c>
      <c r="C13" s="1038"/>
      <c r="D13" s="1039">
        <v>2330</v>
      </c>
      <c r="E13" s="1829">
        <f>'Expenditures 15-22'!K51</f>
        <v>692329</v>
      </c>
      <c r="F13" s="1040"/>
      <c r="G13" s="1829">
        <f t="shared" si="0"/>
        <v>692329</v>
      </c>
      <c r="H13" s="1041">
        <v>751152</v>
      </c>
      <c r="I13" s="1040"/>
      <c r="J13" s="1829">
        <f t="shared" si="1"/>
        <v>751152</v>
      </c>
    </row>
    <row r="14" spans="1:17" ht="15" customHeight="1" x14ac:dyDescent="0.2">
      <c r="A14" s="1036">
        <v>3</v>
      </c>
      <c r="B14" s="1037" t="s">
        <v>45</v>
      </c>
      <c r="C14" s="1038"/>
      <c r="D14" s="1042">
        <v>2490</v>
      </c>
      <c r="E14" s="1829">
        <f>'Expenditures 15-22'!K56</f>
        <v>228450</v>
      </c>
      <c r="F14" s="1040"/>
      <c r="G14" s="1829">
        <f t="shared" si="0"/>
        <v>228450</v>
      </c>
      <c r="H14" s="1041">
        <v>228282</v>
      </c>
      <c r="I14" s="1040"/>
      <c r="J14" s="1829">
        <f t="shared" si="1"/>
        <v>228282</v>
      </c>
    </row>
    <row r="15" spans="1:17" ht="15" customHeight="1" x14ac:dyDescent="0.2">
      <c r="A15" s="1036">
        <v>4</v>
      </c>
      <c r="B15" s="1037" t="s">
        <v>1128</v>
      </c>
      <c r="C15" s="1038"/>
      <c r="D15" s="1039">
        <v>2510</v>
      </c>
      <c r="E15" s="1829">
        <f>'Expenditures 15-22'!K59</f>
        <v>218989</v>
      </c>
      <c r="F15" s="1829">
        <f>'Expenditures 15-22'!K122</f>
        <v>0</v>
      </c>
      <c r="G15" s="1829">
        <f t="shared" si="0"/>
        <v>218989</v>
      </c>
      <c r="H15" s="1041">
        <v>228573</v>
      </c>
      <c r="I15" s="1041">
        <v>0</v>
      </c>
      <c r="J15" s="1829">
        <f t="shared" si="1"/>
        <v>228573</v>
      </c>
    </row>
    <row r="16" spans="1:17" ht="15" customHeight="1" x14ac:dyDescent="0.2">
      <c r="A16" s="1036">
        <v>5</v>
      </c>
      <c r="B16" s="1037" t="s">
        <v>103</v>
      </c>
      <c r="C16" s="1038"/>
      <c r="D16" s="1039">
        <v>2570</v>
      </c>
      <c r="E16" s="1829">
        <f>'Expenditures 15-22'!K64</f>
        <v>0</v>
      </c>
      <c r="F16" s="1040"/>
      <c r="G16" s="1829">
        <f t="shared" si="0"/>
        <v>0</v>
      </c>
      <c r="H16" s="1041">
        <v>0</v>
      </c>
      <c r="I16" s="1040"/>
      <c r="J16" s="1829">
        <f t="shared" si="1"/>
        <v>0</v>
      </c>
    </row>
    <row r="17" spans="1:10" ht="15" customHeight="1" x14ac:dyDescent="0.2">
      <c r="A17" s="1036">
        <v>6</v>
      </c>
      <c r="B17" s="1037" t="s">
        <v>1120</v>
      </c>
      <c r="C17" s="1038"/>
      <c r="D17" s="1039">
        <v>2610</v>
      </c>
      <c r="E17" s="1829">
        <f>'Expenditures 15-22'!K67</f>
        <v>86492</v>
      </c>
      <c r="F17" s="1040"/>
      <c r="G17" s="1829">
        <f t="shared" si="0"/>
        <v>86492</v>
      </c>
      <c r="H17" s="1041">
        <v>0</v>
      </c>
      <c r="I17" s="1040"/>
      <c r="J17" s="1829">
        <f t="shared" si="1"/>
        <v>0</v>
      </c>
    </row>
    <row r="18" spans="1:10" ht="22.5" customHeight="1" x14ac:dyDescent="0.2">
      <c r="A18" s="1043">
        <v>7</v>
      </c>
      <c r="B18" s="2348" t="s">
        <v>7</v>
      </c>
      <c r="C18" s="2349"/>
      <c r="D18" s="2350"/>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1536898</v>
      </c>
      <c r="F19" s="1831">
        <f t="shared" si="2"/>
        <v>0</v>
      </c>
      <c r="G19" s="1831">
        <f t="shared" si="2"/>
        <v>1536898</v>
      </c>
      <c r="H19" s="1831">
        <f t="shared" si="2"/>
        <v>1530656</v>
      </c>
      <c r="I19" s="1831">
        <f t="shared" si="2"/>
        <v>0</v>
      </c>
      <c r="J19" s="1831">
        <f t="shared" si="2"/>
        <v>1530656</v>
      </c>
    </row>
    <row r="20" spans="1:10" ht="13.5" thickTop="1" x14ac:dyDescent="0.2">
      <c r="A20" s="1036">
        <v>9</v>
      </c>
      <c r="B20" s="2351" t="s">
        <v>1703</v>
      </c>
      <c r="C20" s="2351"/>
      <c r="D20" s="2352"/>
      <c r="E20" s="1047"/>
      <c r="F20" s="1047"/>
      <c r="G20" s="1047"/>
      <c r="H20" s="1047"/>
      <c r="I20" s="1047"/>
      <c r="J20" s="1832">
        <f>IF(AND(G19&gt;0,J19&gt;0),(((J19-G19)/G19)),"Enter Budget Data")</f>
        <v>-4.0614276288992507E-3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1941</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4" t="s">
        <v>1877</v>
      </c>
    </row>
    <row r="60" spans="1:3" x14ac:dyDescent="0.2">
      <c r="A60" s="196"/>
      <c r="B60" s="1504"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6"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5"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B63"/>
  <sheetViews>
    <sheetView showGridLines="0" zoomScaleNormal="100" zoomScaleSheetLayoutView="110" workbookViewId="0">
      <selection sqref="A1:M1"/>
    </sheetView>
  </sheetViews>
  <sheetFormatPr defaultRowHeight="12.75" x14ac:dyDescent="0.2"/>
  <cols>
    <col min="1" max="1" width="3" customWidth="1"/>
    <col min="2" max="2" width="109.140625" customWidth="1"/>
    <col min="3" max="3" width="3.140625" customWidth="1"/>
  </cols>
  <sheetData>
    <row r="2" spans="1:2" x14ac:dyDescent="0.2">
      <c r="A2" s="1948" t="s">
        <v>276</v>
      </c>
    </row>
    <row r="3" spans="1:2" x14ac:dyDescent="0.2">
      <c r="A3" t="s">
        <v>277</v>
      </c>
    </row>
    <row r="4" spans="1:2" x14ac:dyDescent="0.2">
      <c r="A4" s="1949" t="s">
        <v>2139</v>
      </c>
      <c r="B4" s="1949"/>
    </row>
    <row r="5" spans="1:2" x14ac:dyDescent="0.2">
      <c r="A5" s="1949">
        <v>1</v>
      </c>
      <c r="B5" s="1949" t="s">
        <v>2140</v>
      </c>
    </row>
    <row r="6" spans="1:2" x14ac:dyDescent="0.2">
      <c r="A6" s="1949">
        <v>2</v>
      </c>
      <c r="B6" s="1949" t="s">
        <v>2141</v>
      </c>
    </row>
    <row r="7" spans="1:2" x14ac:dyDescent="0.2">
      <c r="A7" s="1949">
        <v>3</v>
      </c>
      <c r="B7" s="1949" t="s">
        <v>2142</v>
      </c>
    </row>
    <row r="8" spans="1:2" x14ac:dyDescent="0.2">
      <c r="A8" s="1949">
        <v>4</v>
      </c>
      <c r="B8" s="1949" t="s">
        <v>2143</v>
      </c>
    </row>
    <row r="9" spans="1:2" x14ac:dyDescent="0.2">
      <c r="A9" s="1949">
        <v>5</v>
      </c>
      <c r="B9" s="1949" t="s">
        <v>2149</v>
      </c>
    </row>
    <row r="10" spans="1:2" x14ac:dyDescent="0.2">
      <c r="A10" s="1949">
        <v>6</v>
      </c>
      <c r="B10" s="1949" t="s">
        <v>2292</v>
      </c>
    </row>
    <row r="11" spans="1:2" x14ac:dyDescent="0.2">
      <c r="A11" s="1949">
        <v>7</v>
      </c>
      <c r="B11" s="1949" t="s">
        <v>2144</v>
      </c>
    </row>
    <row r="12" spans="1:2" x14ac:dyDescent="0.2">
      <c r="A12" s="1949">
        <v>8</v>
      </c>
      <c r="B12" s="1949" t="s">
        <v>2145</v>
      </c>
    </row>
    <row r="13" spans="1:2" x14ac:dyDescent="0.2">
      <c r="A13" s="1949"/>
      <c r="B13" s="1949"/>
    </row>
    <row r="14" spans="1:2" x14ac:dyDescent="0.2">
      <c r="A14" s="1949"/>
      <c r="B14" s="1949"/>
    </row>
    <row r="15" spans="1:2" x14ac:dyDescent="0.2">
      <c r="A15" s="1949"/>
      <c r="B15" s="1949"/>
    </row>
    <row r="16" spans="1:2" x14ac:dyDescent="0.2">
      <c r="A16" s="1949" t="s">
        <v>2146</v>
      </c>
      <c r="B16" s="1949"/>
    </row>
    <row r="17" spans="1:2" x14ac:dyDescent="0.2">
      <c r="A17" s="1949">
        <v>1</v>
      </c>
      <c r="B17" s="1949" t="s">
        <v>2147</v>
      </c>
    </row>
    <row r="18" spans="1:2" x14ac:dyDescent="0.2">
      <c r="A18" s="1949">
        <v>2</v>
      </c>
      <c r="B18" s="1949" t="s">
        <v>2148</v>
      </c>
    </row>
    <row r="19" spans="1:2" x14ac:dyDescent="0.2">
      <c r="A19" s="1949">
        <v>3</v>
      </c>
      <c r="B19" s="1962" t="s">
        <v>2294</v>
      </c>
    </row>
    <row r="20" spans="1:2" x14ac:dyDescent="0.2">
      <c r="A20" s="1962">
        <v>4</v>
      </c>
      <c r="B20" s="1949" t="s">
        <v>2293</v>
      </c>
    </row>
    <row r="21" spans="1:2" x14ac:dyDescent="0.2">
      <c r="A21" s="1949"/>
    </row>
    <row r="22" spans="1:2" x14ac:dyDescent="0.2">
      <c r="A22" s="1949"/>
      <c r="B22" s="1949"/>
    </row>
    <row r="23" spans="1:2" x14ac:dyDescent="0.2">
      <c r="A23" s="1949"/>
      <c r="B23" s="1949"/>
    </row>
    <row r="24" spans="1:2" x14ac:dyDescent="0.2">
      <c r="A24" s="1949"/>
      <c r="B24" s="1949"/>
    </row>
    <row r="25" spans="1:2" x14ac:dyDescent="0.2">
      <c r="A25" s="1949"/>
      <c r="B25" s="1949"/>
    </row>
    <row r="26" spans="1:2" x14ac:dyDescent="0.2">
      <c r="A26" s="1949"/>
      <c r="B26" s="1949"/>
    </row>
    <row r="27" spans="1:2" x14ac:dyDescent="0.2">
      <c r="A27" s="1949"/>
      <c r="B27" s="1949"/>
    </row>
    <row r="28" spans="1:2" x14ac:dyDescent="0.2">
      <c r="A28" s="1949"/>
      <c r="B28" s="1949"/>
    </row>
    <row r="29" spans="1:2" x14ac:dyDescent="0.2">
      <c r="A29" s="1949"/>
      <c r="B29" s="1949"/>
    </row>
    <row r="30" spans="1:2" x14ac:dyDescent="0.2">
      <c r="A30" s="1950"/>
    </row>
    <row r="31" spans="1:2" x14ac:dyDescent="0.2">
      <c r="A31" s="1950"/>
    </row>
    <row r="32" spans="1:2" x14ac:dyDescent="0.2">
      <c r="A32" s="1950"/>
    </row>
    <row r="33" spans="1:1" x14ac:dyDescent="0.2">
      <c r="A33" s="1950"/>
    </row>
    <row r="34" spans="1:1" x14ac:dyDescent="0.2">
      <c r="A34" s="1950"/>
    </row>
    <row r="35" spans="1:1" x14ac:dyDescent="0.2">
      <c r="A35" s="1950"/>
    </row>
    <row r="36" spans="1:1" x14ac:dyDescent="0.2">
      <c r="A36" s="1950"/>
    </row>
    <row r="37" spans="1:1" x14ac:dyDescent="0.2">
      <c r="A37" s="1950"/>
    </row>
    <row r="38" spans="1:1" x14ac:dyDescent="0.2">
      <c r="A38" s="1950"/>
    </row>
    <row r="39" spans="1:1" x14ac:dyDescent="0.2">
      <c r="A39" s="1950"/>
    </row>
    <row r="40" spans="1:1" x14ac:dyDescent="0.2">
      <c r="A40" s="1950"/>
    </row>
    <row r="41" spans="1:1" x14ac:dyDescent="0.2">
      <c r="A41" s="1950"/>
    </row>
    <row r="42" spans="1:1" x14ac:dyDescent="0.2">
      <c r="A42" s="1950"/>
    </row>
    <row r="43" spans="1:1" x14ac:dyDescent="0.2">
      <c r="A43" s="1950"/>
    </row>
    <row r="44" spans="1:1" x14ac:dyDescent="0.2">
      <c r="A44" s="1950"/>
    </row>
    <row r="45" spans="1:1" x14ac:dyDescent="0.2">
      <c r="A45" s="1950"/>
    </row>
    <row r="46" spans="1:1" x14ac:dyDescent="0.2">
      <c r="A46" s="1950"/>
    </row>
    <row r="47" spans="1:1" x14ac:dyDescent="0.2">
      <c r="A47" s="1950"/>
    </row>
    <row r="48" spans="1:1" x14ac:dyDescent="0.2">
      <c r="A48" s="1950"/>
    </row>
    <row r="49" spans="1:2" x14ac:dyDescent="0.2">
      <c r="A49" s="1950"/>
    </row>
    <row r="50" spans="1:2" x14ac:dyDescent="0.2">
      <c r="A50" s="1950"/>
    </row>
    <row r="51" spans="1:2" x14ac:dyDescent="0.2">
      <c r="A51" s="1950"/>
    </row>
    <row r="52" spans="1:2" x14ac:dyDescent="0.2">
      <c r="A52" s="1950"/>
    </row>
    <row r="53" spans="1:2" x14ac:dyDescent="0.2">
      <c r="A53" s="1950"/>
    </row>
    <row r="54" spans="1:2" x14ac:dyDescent="0.2">
      <c r="A54" s="1950"/>
    </row>
    <row r="55" spans="1:2" x14ac:dyDescent="0.2">
      <c r="A55" s="1950"/>
    </row>
    <row r="56" spans="1:2" x14ac:dyDescent="0.2">
      <c r="A56" s="1950"/>
    </row>
    <row r="57" spans="1:2" x14ac:dyDescent="0.2">
      <c r="A57" s="1950"/>
    </row>
    <row r="58" spans="1:2" x14ac:dyDescent="0.2">
      <c r="A58" s="1950"/>
    </row>
    <row r="59" spans="1:2" x14ac:dyDescent="0.2">
      <c r="A59" s="1950"/>
    </row>
    <row r="60" spans="1:2" x14ac:dyDescent="0.2">
      <c r="A60" s="1950"/>
    </row>
    <row r="61" spans="1:2" x14ac:dyDescent="0.2">
      <c r="A61" s="1950"/>
    </row>
    <row r="62" spans="1:2" x14ac:dyDescent="0.2">
      <c r="A62" s="1950"/>
      <c r="B62" s="1951" t="str">
        <f>[1]COVER!A17</f>
        <v>Moline-Coal Valley School District No. 40</v>
      </c>
    </row>
    <row r="63" spans="1:2" x14ac:dyDescent="0.2">
      <c r="B63" s="1952" t="str">
        <f>[1]COVER!A13</f>
        <v>49-081-0400-22</v>
      </c>
    </row>
  </sheetData>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M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457200</xdr:colOff>
                <xdr:row>1</xdr:row>
                <xdr:rowOff>28575</xdr:rowOff>
              </from>
              <to>
                <xdr:col>1</xdr:col>
                <xdr:colOff>1371600</xdr:colOff>
                <xdr:row>5</xdr:row>
                <xdr:rowOff>66675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1524000</xdr:colOff>
                <xdr:row>1</xdr:row>
                <xdr:rowOff>19050</xdr:rowOff>
              </from>
              <to>
                <xdr:col>1</xdr:col>
                <xdr:colOff>2438400</xdr:colOff>
                <xdr:row>5</xdr:row>
                <xdr:rowOff>57150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476250</xdr:colOff>
                <xdr:row>6</xdr:row>
                <xdr:rowOff>47625</xdr:rowOff>
              </from>
              <to>
                <xdr:col>1</xdr:col>
                <xdr:colOff>1390650</xdr:colOff>
                <xdr:row>10</xdr:row>
                <xdr:rowOff>85725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1524000</xdr:colOff>
                <xdr:row>6</xdr:row>
                <xdr:rowOff>57150</xdr:rowOff>
              </from>
              <to>
                <xdr:col>1</xdr:col>
                <xdr:colOff>2438400</xdr:colOff>
                <xdr:row>10</xdr:row>
                <xdr:rowOff>95250</xdr:rowOff>
              </to>
            </anchor>
          </objectPr>
        </oleObject>
      </mc:Choice>
      <mc:Fallback>
        <oleObject progId="Acrobat Document" dvAspect="DVASPECT_ICON" shapeId="5120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M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2"/>
      <c r="H2" s="1072"/>
    </row>
    <row r="3" spans="1:8" ht="57" customHeight="1" x14ac:dyDescent="0.2">
      <c r="A3" s="2372" t="s">
        <v>1786</v>
      </c>
      <c r="B3" s="2373"/>
      <c r="C3" s="2373"/>
      <c r="D3" s="2373"/>
      <c r="E3" s="2373"/>
      <c r="F3" s="2374"/>
      <c r="G3" s="1072"/>
      <c r="H3" s="1072"/>
    </row>
    <row r="4" spans="1:8" ht="14.25" customHeight="1" x14ac:dyDescent="0.2">
      <c r="A4" s="2378" t="s">
        <v>2052</v>
      </c>
      <c r="B4" s="2379"/>
      <c r="C4" s="2379"/>
      <c r="D4" s="2379"/>
      <c r="E4" s="2379"/>
      <c r="F4" s="2380"/>
      <c r="G4" s="1072"/>
      <c r="H4" s="1072"/>
    </row>
    <row r="5" spans="1:8" ht="14.25" customHeight="1" x14ac:dyDescent="0.2">
      <c r="A5" s="2381" t="s">
        <v>2053</v>
      </c>
      <c r="B5" s="2382"/>
      <c r="C5" s="2382"/>
      <c r="D5" s="2382"/>
      <c r="E5" s="2382"/>
      <c r="F5" s="2383"/>
      <c r="G5" s="1072"/>
      <c r="H5" s="1072"/>
    </row>
    <row r="6" spans="1:8" s="1073" customFormat="1" ht="41.25" customHeight="1" x14ac:dyDescent="0.2">
      <c r="A6" s="2375" t="s">
        <v>1792</v>
      </c>
      <c r="B6" s="2376"/>
      <c r="C6" s="2376"/>
      <c r="D6" s="2376"/>
      <c r="E6" s="2376"/>
      <c r="F6" s="2377"/>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3">
        <f>'Acct Summary 7-8'!C8</f>
        <v>64870835</v>
      </c>
      <c r="C8" s="1833">
        <f>'Acct Summary 7-8'!D8</f>
        <v>10826927</v>
      </c>
      <c r="D8" s="1833">
        <f>'Acct Summary 7-8'!F8</f>
        <v>1291571</v>
      </c>
      <c r="E8" s="1833">
        <f>'Acct Summary 7-8'!I8</f>
        <v>647104</v>
      </c>
      <c r="F8" s="1833">
        <f>SUM(B8:E8)</f>
        <v>77636437</v>
      </c>
    </row>
    <row r="9" spans="1:8" s="1077" customFormat="1" ht="14.25" customHeight="1" thickBot="1" x14ac:dyDescent="0.25">
      <c r="A9" s="1076" t="s">
        <v>1436</v>
      </c>
      <c r="B9" s="1834">
        <f>'Acct Summary 7-8'!C17</f>
        <v>62141686</v>
      </c>
      <c r="C9" s="1834">
        <f>'Acct Summary 7-8'!D17</f>
        <v>10435022</v>
      </c>
      <c r="D9" s="1834">
        <f>'Acct Summary 7-8'!F17</f>
        <v>999577</v>
      </c>
      <c r="E9" s="1833"/>
      <c r="F9" s="1833">
        <f>SUM(B9:E9)</f>
        <v>73576285</v>
      </c>
    </row>
    <row r="10" spans="1:8" s="1077" customFormat="1" ht="14.25" thickTop="1" thickBot="1" x14ac:dyDescent="0.25">
      <c r="A10" s="1078" t="s">
        <v>1437</v>
      </c>
      <c r="B10" s="1835">
        <f>(B8-B9)</f>
        <v>2729149</v>
      </c>
      <c r="C10" s="1835">
        <f>(C8-C9)</f>
        <v>391905</v>
      </c>
      <c r="D10" s="1835">
        <f>(D8-D9)</f>
        <v>291994</v>
      </c>
      <c r="E10" s="1834">
        <f>(E8-E9)</f>
        <v>647104</v>
      </c>
      <c r="F10" s="1836">
        <f>SUM(F8-F9)</f>
        <v>4060152</v>
      </c>
    </row>
    <row r="11" spans="1:8" s="1077" customFormat="1" ht="14.25" thickTop="1" thickBot="1" x14ac:dyDescent="0.25">
      <c r="A11" s="1079" t="s">
        <v>1785</v>
      </c>
      <c r="B11" s="1837">
        <f>'Acct Summary 7-8'!C81</f>
        <v>32821120</v>
      </c>
      <c r="C11" s="1837">
        <f>'Acct Summary 7-8'!D81</f>
        <v>3920452</v>
      </c>
      <c r="D11" s="1837">
        <f>'Acct Summary 7-8'!F81</f>
        <v>2433603</v>
      </c>
      <c r="E11" s="1837">
        <f>'Acct Summary 7-8'!I81</f>
        <v>12577473</v>
      </c>
      <c r="F11" s="1838">
        <f>SUM(B11:E11)</f>
        <v>51752648</v>
      </c>
    </row>
    <row r="12" spans="1:8" ht="16.5" customHeight="1" thickTop="1" x14ac:dyDescent="0.2">
      <c r="A12" s="1080"/>
      <c r="B12" s="1081"/>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2"/>
      <c r="B13" s="1083"/>
      <c r="C13" s="2363"/>
      <c r="D13" s="2364"/>
      <c r="E13" s="2364"/>
      <c r="F13" s="2365"/>
      <c r="H13" s="1072"/>
    </row>
    <row r="14" spans="1:8" ht="19.5" customHeight="1" x14ac:dyDescent="0.2">
      <c r="A14" s="1082"/>
      <c r="B14" s="1083"/>
      <c r="C14" s="2363"/>
      <c r="D14" s="2364"/>
      <c r="E14" s="2364"/>
      <c r="F14" s="2365"/>
      <c r="H14" s="1072"/>
    </row>
    <row r="15" spans="1:8" ht="17.25" customHeight="1" x14ac:dyDescent="0.2">
      <c r="A15" s="1082"/>
      <c r="B15" s="1083"/>
      <c r="C15" s="2366"/>
      <c r="D15" s="2367"/>
      <c r="E15" s="2367"/>
      <c r="F15" s="2368"/>
      <c r="H15" s="1072"/>
    </row>
    <row r="16" spans="1:8" s="310" customFormat="1" ht="51.75" hidden="1" customHeight="1" x14ac:dyDescent="0.2">
      <c r="A16" s="2362" t="s">
        <v>1787</v>
      </c>
      <c r="B16" s="2362"/>
      <c r="C16" s="2362"/>
      <c r="D16" s="2362"/>
      <c r="E16" s="2362"/>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zoomScaleSheetLayoutView="10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4"/>
      <c r="B2" s="1915"/>
      <c r="C2" s="1916"/>
      <c r="D2" s="1917"/>
    </row>
    <row r="3" spans="1:4" ht="36" customHeight="1" x14ac:dyDescent="0.2">
      <c r="A3" s="2384" t="s">
        <v>686</v>
      </c>
      <c r="B3" s="2385"/>
      <c r="C3" s="2385"/>
      <c r="D3" s="2386"/>
    </row>
    <row r="4" spans="1:4" x14ac:dyDescent="0.2">
      <c r="A4" s="1150" t="s">
        <v>1793</v>
      </c>
      <c r="B4" s="1151"/>
      <c r="C4" s="1152"/>
      <c r="D4" s="1153"/>
    </row>
    <row r="5" spans="1:4" ht="21" customHeight="1" x14ac:dyDescent="0.2">
      <c r="A5" s="1146"/>
      <c r="B5" s="1147">
        <v>1</v>
      </c>
      <c r="C5" s="1148" t="s">
        <v>1943</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395" t="s">
        <v>1584</v>
      </c>
      <c r="D7" s="2396"/>
    </row>
    <row r="8" spans="1:4" s="669" customFormat="1" ht="12.75" x14ac:dyDescent="0.2">
      <c r="A8" s="1136"/>
      <c r="B8" s="1091"/>
      <c r="C8" s="1094" t="s">
        <v>1583</v>
      </c>
      <c r="D8" s="1095"/>
    </row>
    <row r="9" spans="1:4" s="669" customFormat="1" ht="14.25" customHeight="1" x14ac:dyDescent="0.2">
      <c r="A9" s="1136"/>
      <c r="B9" s="1091">
        <f>B7+1</f>
        <v>4</v>
      </c>
      <c r="C9" s="1092" t="s">
        <v>2045</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9" t="s">
        <v>332</v>
      </c>
      <c r="D21" s="2400"/>
    </row>
    <row r="22" spans="1:10" ht="12.75" x14ac:dyDescent="0.2">
      <c r="A22" s="1137"/>
      <c r="B22" s="1138">
        <v>2</v>
      </c>
      <c r="C22" s="2397" t="s">
        <v>1605</v>
      </c>
      <c r="D22" s="2398"/>
    </row>
    <row r="23" spans="1:10" ht="12.2" customHeight="1" x14ac:dyDescent="0.2">
      <c r="A23" s="1137"/>
      <c r="B23" s="1138"/>
      <c r="C23" s="1139" t="s">
        <v>1011</v>
      </c>
      <c r="D23" s="1140" t="str">
        <f>IF(COVER!O11="X","CASH",IF(COVER!O12="X","ACCRUAL ","PLEASE CHECK AN ACCOUNTING BASIS."))</f>
        <v xml:space="preserve">ACCRUAL </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01" t="s">
        <v>557</v>
      </c>
      <c r="D43" s="2402"/>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3" t="s">
        <v>817</v>
      </c>
      <c r="D56" s="2394"/>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1079</v>
      </c>
      <c r="D67" s="1123"/>
    </row>
    <row r="68" spans="1:4" x14ac:dyDescent="0.2">
      <c r="A68" s="1098"/>
      <c r="B68" s="1108"/>
      <c r="C68" s="1100" t="s">
        <v>2047</v>
      </c>
      <c r="D68" s="1122" t="str">
        <f>IF('Short-Term Long-Term Debt 24'!F49=SUM(,'Acct Summary 7-8'!C33:K33),"OK","ERROR!")</f>
        <v>OK</v>
      </c>
    </row>
    <row r="69" spans="1:4" x14ac:dyDescent="0.2">
      <c r="A69" s="1098"/>
      <c r="B69" s="1108"/>
      <c r="C69" s="1100" t="s">
        <v>2048</v>
      </c>
      <c r="D69" s="1122" t="str">
        <f>IF('Expenditures 15-22'!H170&lt;&gt;'Short-Term Long-Term Debt 24'!H49,"ERROR!","OK")</f>
        <v>OK</v>
      </c>
    </row>
    <row r="70" spans="1:4" x14ac:dyDescent="0.2">
      <c r="A70" s="1096"/>
      <c r="B70" s="1118">
        <f>B66+1</f>
        <v>9</v>
      </c>
      <c r="C70" s="2393" t="s">
        <v>1797</v>
      </c>
      <c r="D70" s="2394"/>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2050</v>
      </c>
      <c r="D78" s="1122" t="str">
        <f>IF(ISNUMBER('Acct Summary 7-8'!C9),"OK","ENTRY IS REQUIRED!")</f>
        <v>OK</v>
      </c>
    </row>
    <row r="79" spans="1:4" x14ac:dyDescent="0.2">
      <c r="A79" s="1117"/>
      <c r="B79" s="1118">
        <f>B74+1+1</f>
        <v>12</v>
      </c>
      <c r="C79" s="1128" t="s">
        <v>2016</v>
      </c>
      <c r="D79" s="1129" t="str">
        <f>IF(OR(COVER!$B$6="X",'PCTC-OEPP 27-28'!F78&gt;0),"OK","PLEASE ENTER 9 MO ADA.")</f>
        <v>OK</v>
      </c>
    </row>
    <row r="80" spans="1:4" x14ac:dyDescent="0.2">
      <c r="A80" s="1096"/>
      <c r="B80" s="1118">
        <v>13</v>
      </c>
      <c r="C80" s="1128" t="s">
        <v>2051</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49081040022</v>
      </c>
    </row>
    <row r="3" spans="1:2" x14ac:dyDescent="0.2">
      <c r="A3" t="s">
        <v>1013</v>
      </c>
      <c r="B3" s="138" t="str">
        <f>COVER!A15</f>
        <v>Rock Island</v>
      </c>
    </row>
    <row r="4" spans="1:2" x14ac:dyDescent="0.2">
      <c r="A4" t="s">
        <v>1064</v>
      </c>
      <c r="B4" s="138" t="str">
        <f>COVER!A17</f>
        <v>Moline-Coal Valley CUSD 40</v>
      </c>
    </row>
    <row r="5" spans="1:2" x14ac:dyDescent="0.2">
      <c r="A5" t="s">
        <v>728</v>
      </c>
      <c r="B5" s="138" t="str">
        <f>COVER!A38</f>
        <v>Lanty McGuire, Superintendent of Schools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066-003346</v>
      </c>
    </row>
    <row r="16" spans="1:2" x14ac:dyDescent="0.2">
      <c r="A16" t="s">
        <v>442</v>
      </c>
      <c r="B16" s="138" t="str">
        <f>COVER!T13</f>
        <v>RSM US LLP</v>
      </c>
    </row>
    <row r="17" spans="1:2" x14ac:dyDescent="0.2">
      <c r="A17" t="s">
        <v>939</v>
      </c>
      <c r="B17" s="138" t="str">
        <f>COVER!T15</f>
        <v>Heidi Hobkirk</v>
      </c>
    </row>
    <row r="18" spans="1:2" x14ac:dyDescent="0.2">
      <c r="A18" t="s">
        <v>1212</v>
      </c>
      <c r="B18" s="138" t="str">
        <f>COVER!T17</f>
        <v>201 N. Harrison Street</v>
      </c>
    </row>
    <row r="19" spans="1:2" x14ac:dyDescent="0.2">
      <c r="A19" t="s">
        <v>941</v>
      </c>
      <c r="B19" s="138" t="str">
        <f>COVER!T25</f>
        <v>heidi.hobkirk@rsmus.com</v>
      </c>
    </row>
    <row r="20" spans="1:2" x14ac:dyDescent="0.2">
      <c r="A20" t="s">
        <v>942</v>
      </c>
      <c r="B20" s="138" t="str">
        <f>COVER!T19</f>
        <v>Davenport</v>
      </c>
    </row>
    <row r="21" spans="1:2" x14ac:dyDescent="0.2">
      <c r="A21" t="s">
        <v>500</v>
      </c>
      <c r="B21" s="138" t="str">
        <f>COVER!X19</f>
        <v>IA</v>
      </c>
    </row>
    <row r="22" spans="1:2" x14ac:dyDescent="0.2">
      <c r="A22" t="s">
        <v>943</v>
      </c>
      <c r="B22" s="138">
        <f>COVER!Z19</f>
        <v>52801</v>
      </c>
    </row>
    <row r="23" spans="1:2" x14ac:dyDescent="0.2">
      <c r="A23" t="s">
        <v>1214</v>
      </c>
      <c r="B23" s="138" t="str">
        <f>COVER!T21</f>
        <v>563-888-4000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34081201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29372</v>
      </c>
      <c r="D72" s="2" t="str">
        <f t="shared" si="0"/>
        <v>Error?</v>
      </c>
    </row>
    <row r="73" spans="1:4" x14ac:dyDescent="0.2">
      <c r="A73" s="5">
        <v>12</v>
      </c>
      <c r="B73" s="138">
        <f>'Assets-Liab 5-6'!C5</f>
        <v>24780043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70000773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23595</v>
      </c>
      <c r="D86" s="2" t="str">
        <f t="shared" si="0"/>
        <v>Error?</v>
      </c>
    </row>
    <row r="87" spans="1:4" x14ac:dyDescent="0.2">
      <c r="A87" s="10">
        <v>26</v>
      </c>
      <c r="D87" s="2" t="str">
        <f t="shared" si="0"/>
        <v>OK</v>
      </c>
    </row>
    <row r="88" spans="1:4" x14ac:dyDescent="0.2">
      <c r="A88" s="5">
        <v>27</v>
      </c>
      <c r="B88" s="138">
        <f>'Assets-Liab 5-6'!C32</f>
        <v>27703830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37179653</v>
      </c>
      <c r="C91" s="2" t="s">
        <v>594</v>
      </c>
      <c r="D91" s="2" t="str">
        <f t="shared" si="0"/>
        <v>Error?</v>
      </c>
    </row>
    <row r="92" spans="1:4" x14ac:dyDescent="0.2">
      <c r="A92" s="5">
        <v>31</v>
      </c>
      <c r="B92" s="138">
        <f>'Assets-Liab 5-6'!C39</f>
        <v>27841015</v>
      </c>
      <c r="D92" s="2" t="str">
        <f t="shared" si="0"/>
        <v>Error?</v>
      </c>
    </row>
    <row r="93" spans="1:4" x14ac:dyDescent="0.2">
      <c r="A93" s="5">
        <v>32</v>
      </c>
      <c r="B93" s="138">
        <f>'Assets-Liab 5-6'!C41</f>
        <v>70000773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7445061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3294381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10741603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6024571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6821151</v>
      </c>
      <c r="C122" s="2" t="s">
        <v>594</v>
      </c>
      <c r="D122" s="2" t="str">
        <f t="shared" si="0"/>
        <v>Error?</v>
      </c>
    </row>
    <row r="123" spans="1:4" x14ac:dyDescent="0.2">
      <c r="A123" s="5">
        <v>62</v>
      </c>
      <c r="B123" s="138">
        <f>'Assets-Liab 5-6'!D39</f>
        <v>3233385</v>
      </c>
      <c r="D123" s="2" t="str">
        <f t="shared" si="0"/>
        <v>Error?</v>
      </c>
    </row>
    <row r="124" spans="1:4" x14ac:dyDescent="0.2">
      <c r="A124" s="5">
        <v>63</v>
      </c>
      <c r="B124" s="138">
        <f>'Assets-Liab 5-6'!D41</f>
        <v>10741603</v>
      </c>
      <c r="C124" s="2" t="s">
        <v>594</v>
      </c>
      <c r="D124" s="2" t="str">
        <f t="shared" si="0"/>
        <v>Error?</v>
      </c>
    </row>
    <row r="125" spans="1:4" x14ac:dyDescent="0.2">
      <c r="A125" s="10">
        <v>64</v>
      </c>
      <c r="D125" s="2" t="str">
        <f t="shared" si="0"/>
        <v>OK</v>
      </c>
    </row>
    <row r="126" spans="1:4" x14ac:dyDescent="0.2">
      <c r="A126" s="5">
        <v>65</v>
      </c>
      <c r="B126" s="138">
        <f>'Assets-Liab 5-6'!E6</f>
        <v>4445196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2313144</v>
      </c>
      <c r="D129" s="2" t="str">
        <f t="shared" si="1"/>
        <v>Error?</v>
      </c>
    </row>
    <row r="130" spans="1:4" x14ac:dyDescent="0.2">
      <c r="A130" s="5">
        <v>69</v>
      </c>
      <c r="B130" s="138">
        <f>'Assets-Liab 5-6'!E12</f>
        <v>0</v>
      </c>
      <c r="D130" s="2" t="str">
        <f t="shared" si="1"/>
        <v>Error?</v>
      </c>
    </row>
    <row r="131" spans="1:4" x14ac:dyDescent="0.2">
      <c r="A131" s="5">
        <v>70</v>
      </c>
      <c r="B131" s="138">
        <f>'Assets-Liab 5-6'!E13</f>
        <v>6758340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3597070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3597070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6758340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873554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2146300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3585740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1150148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1152137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3585740</v>
      </c>
      <c r="C171" s="2" t="s">
        <v>594</v>
      </c>
      <c r="D171" s="2" t="str">
        <f t="shared" si="1"/>
        <v>Error?</v>
      </c>
    </row>
    <row r="172" spans="1:4" x14ac:dyDescent="0.2">
      <c r="A172" s="10">
        <v>111</v>
      </c>
      <c r="D172" s="2" t="str">
        <f t="shared" si="1"/>
        <v>OK</v>
      </c>
    </row>
    <row r="173" spans="1:4" x14ac:dyDescent="0.2">
      <c r="A173" s="5">
        <v>112</v>
      </c>
      <c r="B173" s="138">
        <f>'Assets-Liab 5-6'!G6</f>
        <v>2283152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3337363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5621508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1847536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2089280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5621508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22922866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27577417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1895451</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27577417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1139143</v>
      </c>
      <c r="D273" s="2" t="str">
        <f t="shared" si="3"/>
        <v>Error?</v>
      </c>
    </row>
    <row r="274" spans="1:4" x14ac:dyDescent="0.2">
      <c r="A274" s="5">
        <v>213</v>
      </c>
      <c r="B274" s="138">
        <f>'Assets-Liab 5-6'!M17</f>
        <v>110943415</v>
      </c>
      <c r="D274" s="2" t="str">
        <f t="shared" si="3"/>
        <v>Error?</v>
      </c>
    </row>
    <row r="275" spans="1:4" x14ac:dyDescent="0.2">
      <c r="A275" s="5">
        <v>214</v>
      </c>
      <c r="B275" s="138">
        <f>'Assets-Liab 5-6'!M18</f>
        <v>8619398</v>
      </c>
      <c r="D275" s="2" t="str">
        <f t="shared" si="3"/>
        <v>Error?</v>
      </c>
    </row>
    <row r="276" spans="1:4" x14ac:dyDescent="0.2">
      <c r="A276" s="5">
        <v>215</v>
      </c>
      <c r="B276" s="138">
        <f>'Assets-Liab 5-6'!M19</f>
        <v>5050682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137094296</v>
      </c>
      <c r="C279" s="2" t="s">
        <v>594</v>
      </c>
      <c r="D279" s="2" t="str">
        <f t="shared" si="3"/>
        <v>Error?</v>
      </c>
    </row>
    <row r="280" spans="1:4" x14ac:dyDescent="0.2">
      <c r="A280" s="5">
        <v>219</v>
      </c>
      <c r="B280" s="138">
        <f>'Assets-Liab 5-6'!M40</f>
        <v>137094296</v>
      </c>
      <c r="D280" s="2" t="str">
        <f t="shared" si="3"/>
        <v>Error?</v>
      </c>
    </row>
    <row r="281" spans="1:4" x14ac:dyDescent="0.2">
      <c r="A281" s="5">
        <v>220</v>
      </c>
      <c r="B281" s="138">
        <f>'Assets-Liab 5-6'!M41</f>
        <v>137094296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39801552</v>
      </c>
      <c r="D283" s="2" t="str">
        <f t="shared" si="3"/>
        <v>Error?</v>
      </c>
    </row>
    <row r="284" spans="1:4" x14ac:dyDescent="0.2">
      <c r="A284" s="5">
        <v>223</v>
      </c>
      <c r="B284" s="138">
        <f>'Assets-Liab 5-6'!N23</f>
        <v>39801552</v>
      </c>
      <c r="C284" s="2" t="s">
        <v>594</v>
      </c>
      <c r="D284" s="2" t="str">
        <f t="shared" si="3"/>
        <v>Error?</v>
      </c>
    </row>
    <row r="285" spans="1:4" x14ac:dyDescent="0.2">
      <c r="A285" s="5">
        <v>224</v>
      </c>
      <c r="B285" s="138">
        <f>'Assets-Liab 5-6'!N36</f>
        <v>39801552</v>
      </c>
      <c r="D285" s="2" t="str">
        <f t="shared" si="3"/>
        <v>Error?</v>
      </c>
    </row>
    <row r="286" spans="1:4" x14ac:dyDescent="0.2">
      <c r="A286" s="10">
        <v>225</v>
      </c>
      <c r="D286" s="2" t="str">
        <f t="shared" si="3"/>
        <v>OK</v>
      </c>
    </row>
    <row r="287" spans="1:4" x14ac:dyDescent="0.2">
      <c r="A287" s="5">
        <v>226</v>
      </c>
      <c r="B287" s="138">
        <f>'Assets-Liab 5-6'!N37</f>
        <v>39801552</v>
      </c>
      <c r="C287" s="2" t="s">
        <v>594</v>
      </c>
      <c r="D287" s="2" t="str">
        <f t="shared" si="3"/>
        <v>Error?</v>
      </c>
    </row>
    <row r="288" spans="1:4" x14ac:dyDescent="0.2">
      <c r="A288" s="5">
        <v>227</v>
      </c>
      <c r="B288" s="138">
        <f>'Assets-Liab 5-6'!N41</f>
        <v>39801552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21925000</v>
      </c>
      <c r="D618" s="2" t="str">
        <f t="shared" si="8"/>
        <v>Error?</v>
      </c>
    </row>
    <row r="619" spans="1:4" x14ac:dyDescent="0.2">
      <c r="A619" s="5">
        <v>558</v>
      </c>
      <c r="B619" s="138">
        <f>'Acct Summary 7-8'!H34</f>
        <v>498557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23515033</v>
      </c>
      <c r="D705" s="2" t="str">
        <f t="shared" si="10"/>
        <v>Error?</v>
      </c>
    </row>
    <row r="706" spans="1:4" x14ac:dyDescent="0.2">
      <c r="A706" s="5">
        <v>645</v>
      </c>
      <c r="B706" s="138">
        <f>'Expenditures 15-22'!C16</f>
        <v>489293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966212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638191</v>
      </c>
      <c r="D718" s="2" t="str">
        <f t="shared" si="10"/>
        <v>Error?</v>
      </c>
    </row>
    <row r="719" spans="1:4" x14ac:dyDescent="0.2">
      <c r="A719" s="5">
        <v>658</v>
      </c>
      <c r="B719" s="138">
        <f>'Expenditures 15-22'!C15</f>
        <v>81095</v>
      </c>
      <c r="D719" s="2" t="str">
        <f t="shared" si="10"/>
        <v>Error?</v>
      </c>
    </row>
    <row r="720" spans="1:4" x14ac:dyDescent="0.2">
      <c r="A720" s="5">
        <v>659</v>
      </c>
      <c r="B720" s="138">
        <f>'Expenditures 15-22'!C33</f>
        <v>32229735</v>
      </c>
      <c r="C720" s="2" t="s">
        <v>594</v>
      </c>
      <c r="D720" s="2" t="str">
        <f t="shared" si="10"/>
        <v>Error?</v>
      </c>
    </row>
    <row r="721" spans="1:4" x14ac:dyDescent="0.2">
      <c r="A721" s="5">
        <v>660</v>
      </c>
      <c r="B721" s="138">
        <f>'Expenditures 15-22'!C36</f>
        <v>481326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619218</v>
      </c>
      <c r="D723" s="2" t="str">
        <f t="shared" si="10"/>
        <v>Error?</v>
      </c>
    </row>
    <row r="724" spans="1:4" x14ac:dyDescent="0.2">
      <c r="A724" s="5">
        <v>663</v>
      </c>
      <c r="B724" s="138">
        <f>'Expenditures 15-22'!C39</f>
        <v>258366</v>
      </c>
      <c r="D724" s="2" t="str">
        <f t="shared" si="10"/>
        <v>Error?</v>
      </c>
    </row>
    <row r="725" spans="1:4" x14ac:dyDescent="0.2">
      <c r="A725" s="5">
        <v>664</v>
      </c>
      <c r="B725" s="138">
        <f>'Expenditures 15-22'!C40</f>
        <v>838857</v>
      </c>
      <c r="D725" s="2" t="str">
        <f t="shared" si="10"/>
        <v>Error?</v>
      </c>
    </row>
    <row r="726" spans="1:4" x14ac:dyDescent="0.2">
      <c r="A726" s="5">
        <v>665</v>
      </c>
      <c r="B726" s="138">
        <f>'Expenditures 15-22'!C41</f>
        <v>11908</v>
      </c>
      <c r="D726" s="2" t="str">
        <f t="shared" si="10"/>
        <v>Error?</v>
      </c>
    </row>
    <row r="727" spans="1:4" x14ac:dyDescent="0.2">
      <c r="A727" s="5">
        <v>666</v>
      </c>
      <c r="B727" s="138">
        <f>'Expenditures 15-22'!C42</f>
        <v>2209675</v>
      </c>
      <c r="C727" s="2" t="s">
        <v>594</v>
      </c>
      <c r="D727" s="2" t="str">
        <f t="shared" si="10"/>
        <v>Error?</v>
      </c>
    </row>
    <row r="728" spans="1:4" x14ac:dyDescent="0.2">
      <c r="A728" s="5">
        <v>667</v>
      </c>
      <c r="B728" s="138">
        <f>'Expenditures 15-22'!C44</f>
        <v>316565</v>
      </c>
      <c r="D728" s="2" t="str">
        <f t="shared" si="10"/>
        <v>Error?</v>
      </c>
    </row>
    <row r="729" spans="1:4" x14ac:dyDescent="0.2">
      <c r="A729" s="5">
        <v>668</v>
      </c>
      <c r="B729" s="138">
        <f>'Expenditures 15-22'!C45</f>
        <v>595766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912331</v>
      </c>
      <c r="C731" s="2" t="s">
        <v>594</v>
      </c>
      <c r="D731" s="2" t="str">
        <f t="shared" si="10"/>
        <v>Error?</v>
      </c>
    </row>
    <row r="732" spans="1:4" x14ac:dyDescent="0.2">
      <c r="A732" s="5">
        <v>671</v>
      </c>
      <c r="B732" s="138">
        <f>'Expenditures 15-22'!C49</f>
        <v>22859</v>
      </c>
      <c r="D732" s="2" t="str">
        <f t="shared" si="10"/>
        <v>Error?</v>
      </c>
    </row>
    <row r="733" spans="1:4" x14ac:dyDescent="0.2">
      <c r="A733" s="5">
        <v>672</v>
      </c>
      <c r="B733" s="138">
        <f>'Expenditures 15-22'!C50</f>
        <v>237348</v>
      </c>
      <c r="D733" s="2" t="str">
        <f t="shared" si="10"/>
        <v>Error?</v>
      </c>
    </row>
    <row r="734" spans="1:4" x14ac:dyDescent="0.2">
      <c r="A734" s="5">
        <v>673</v>
      </c>
      <c r="B734" s="138">
        <f>'Expenditures 15-22'!C53</f>
        <v>802612</v>
      </c>
      <c r="C734" s="2" t="s">
        <v>594</v>
      </c>
      <c r="D734" s="2" t="str">
        <f t="shared" si="10"/>
        <v>Error?</v>
      </c>
    </row>
    <row r="735" spans="1:4" x14ac:dyDescent="0.2">
      <c r="A735" s="5">
        <v>674</v>
      </c>
      <c r="B735" s="138">
        <f>'Expenditures 15-22'!C55</f>
        <v>3383299</v>
      </c>
      <c r="D735" s="2" t="str">
        <f t="shared" si="10"/>
        <v>Error?</v>
      </c>
    </row>
    <row r="736" spans="1:4" x14ac:dyDescent="0.2">
      <c r="A736" s="5">
        <v>675</v>
      </c>
      <c r="B736" s="138">
        <f>'Expenditures 15-22'!C56</f>
        <v>184039</v>
      </c>
      <c r="D736" s="2" t="str">
        <f t="shared" si="10"/>
        <v>Error?</v>
      </c>
    </row>
    <row r="737" spans="1:4" x14ac:dyDescent="0.2">
      <c r="A737" s="5">
        <v>676</v>
      </c>
      <c r="B737" s="138">
        <f>'Expenditures 15-22'!C57</f>
        <v>3567338</v>
      </c>
      <c r="C737" s="2" t="s">
        <v>594</v>
      </c>
      <c r="D737" s="2" t="str">
        <f t="shared" si="10"/>
        <v>Error?</v>
      </c>
    </row>
    <row r="738" spans="1:4" x14ac:dyDescent="0.2">
      <c r="A738" s="5">
        <v>677</v>
      </c>
      <c r="B738" s="138">
        <f>'Expenditures 15-22'!C59</f>
        <v>196125</v>
      </c>
      <c r="D738" s="2" t="str">
        <f t="shared" si="10"/>
        <v>Error?</v>
      </c>
    </row>
    <row r="739" spans="1:4" x14ac:dyDescent="0.2">
      <c r="A739" s="5">
        <v>678</v>
      </c>
      <c r="B739" s="138">
        <f>'Expenditures 15-22'!C60</f>
        <v>353617</v>
      </c>
      <c r="D739" s="2" t="str">
        <f t="shared" si="10"/>
        <v>Error?</v>
      </c>
    </row>
    <row r="740" spans="1:4" x14ac:dyDescent="0.2">
      <c r="A740" s="5">
        <v>679</v>
      </c>
      <c r="B740" s="138">
        <f>'Expenditures 15-22'!C61</f>
        <v>165564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569186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1284492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322305</v>
      </c>
      <c r="D749" s="2" t="str">
        <f t="shared" si="10"/>
        <v>Error?</v>
      </c>
    </row>
    <row r="750" spans="1:4" x14ac:dyDescent="0.2">
      <c r="A750" s="10">
        <v>689</v>
      </c>
      <c r="D750" s="2" t="str">
        <f t="shared" si="10"/>
        <v>OK</v>
      </c>
    </row>
    <row r="751" spans="1:4" x14ac:dyDescent="0.2">
      <c r="A751" s="5">
        <v>690</v>
      </c>
      <c r="B751" s="138">
        <f>'Expenditures 15-22'!C71</f>
        <v>799117</v>
      </c>
      <c r="D751" s="2" t="str">
        <f t="shared" si="10"/>
        <v>Error?</v>
      </c>
    </row>
    <row r="752" spans="1:4" x14ac:dyDescent="0.2">
      <c r="A752" s="10">
        <v>691</v>
      </c>
      <c r="D752" s="2" t="str">
        <f t="shared" si="10"/>
        <v>OK</v>
      </c>
    </row>
    <row r="753" spans="1:4" x14ac:dyDescent="0.2">
      <c r="A753" s="5">
        <v>692</v>
      </c>
      <c r="B753" s="138">
        <f>'Expenditures 15-22'!C72</f>
        <v>1121422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9897870</v>
      </c>
      <c r="C755" s="2" t="s">
        <v>594</v>
      </c>
      <c r="D755" s="2" t="str">
        <f t="shared" si="10"/>
        <v>Error?</v>
      </c>
    </row>
    <row r="756" spans="1:4" x14ac:dyDescent="0.2">
      <c r="A756" s="5">
        <v>695</v>
      </c>
      <c r="B756" s="138">
        <f>'Expenditures 15-22'!C75</f>
        <v>126688</v>
      </c>
      <c r="D756" s="2" t="str">
        <f t="shared" si="10"/>
        <v>Error?</v>
      </c>
    </row>
    <row r="757" spans="1:4" x14ac:dyDescent="0.2">
      <c r="A757" s="5">
        <v>696</v>
      </c>
      <c r="B757" s="138">
        <f>'Expenditures 15-22'!C114</f>
        <v>42254293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7455523</v>
      </c>
      <c r="D763" s="2" t="str">
        <f t="shared" si="10"/>
        <v>Error?</v>
      </c>
    </row>
    <row r="764" spans="1:4" x14ac:dyDescent="0.2">
      <c r="A764" s="5">
        <v>703</v>
      </c>
      <c r="B764" s="138">
        <f>'Expenditures 15-22'!D16</f>
        <v>160125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281932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78117</v>
      </c>
      <c r="D776" s="2" t="str">
        <f t="shared" si="11"/>
        <v>Error?</v>
      </c>
    </row>
    <row r="777" spans="1:4" x14ac:dyDescent="0.2">
      <c r="A777" s="5">
        <v>716</v>
      </c>
      <c r="B777" s="138">
        <f>'Expenditures 15-22'!D15</f>
        <v>9501</v>
      </c>
      <c r="D777" s="2" t="str">
        <f t="shared" si="11"/>
        <v>Error?</v>
      </c>
    </row>
    <row r="778" spans="1:4" x14ac:dyDescent="0.2">
      <c r="A778" s="5">
        <v>717</v>
      </c>
      <c r="B778" s="138">
        <f>'Expenditures 15-22'!D33</f>
        <v>9831765</v>
      </c>
      <c r="C778" s="2" t="s">
        <v>594</v>
      </c>
      <c r="D778" s="2" t="str">
        <f t="shared" si="11"/>
        <v>Error?</v>
      </c>
    </row>
    <row r="779" spans="1:4" x14ac:dyDescent="0.2">
      <c r="A779" s="5">
        <v>718</v>
      </c>
      <c r="B779" s="138">
        <f>'Expenditures 15-22'!D36</f>
        <v>121753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62930</v>
      </c>
      <c r="D781" s="2" t="str">
        <f t="shared" si="11"/>
        <v>Error?</v>
      </c>
    </row>
    <row r="782" spans="1:4" x14ac:dyDescent="0.2">
      <c r="A782" s="5">
        <v>721</v>
      </c>
      <c r="B782" s="138">
        <f>'Expenditures 15-22'!D39</f>
        <v>91667</v>
      </c>
      <c r="D782" s="2" t="str">
        <f t="shared" si="11"/>
        <v>Error?</v>
      </c>
    </row>
    <row r="783" spans="1:4" x14ac:dyDescent="0.2">
      <c r="A783" s="5">
        <v>722</v>
      </c>
      <c r="B783" s="138">
        <f>'Expenditures 15-22'!D40</f>
        <v>265150</v>
      </c>
      <c r="D783" s="2" t="str">
        <f t="shared" si="11"/>
        <v>Error?</v>
      </c>
    </row>
    <row r="784" spans="1:4" x14ac:dyDescent="0.2">
      <c r="A784" s="5">
        <v>723</v>
      </c>
      <c r="B784" s="138">
        <f>'Expenditures 15-22'!D41</f>
        <v>29</v>
      </c>
      <c r="D784" s="2" t="str">
        <f t="shared" si="11"/>
        <v>Error?</v>
      </c>
    </row>
    <row r="785" spans="1:4" x14ac:dyDescent="0.2">
      <c r="A785" s="5">
        <v>724</v>
      </c>
      <c r="B785" s="138">
        <f>'Expenditures 15-22'!D42</f>
        <v>541529</v>
      </c>
      <c r="C785" s="2" t="s">
        <v>594</v>
      </c>
      <c r="D785" s="2" t="str">
        <f t="shared" si="11"/>
        <v>Error?</v>
      </c>
    </row>
    <row r="786" spans="1:4" x14ac:dyDescent="0.2">
      <c r="A786" s="5">
        <v>725</v>
      </c>
      <c r="B786" s="138">
        <f>'Expenditures 15-22'!D44</f>
        <v>53411</v>
      </c>
      <c r="D786" s="2" t="str">
        <f t="shared" si="11"/>
        <v>Error?</v>
      </c>
    </row>
    <row r="787" spans="1:4" x14ac:dyDescent="0.2">
      <c r="A787" s="5">
        <v>726</v>
      </c>
      <c r="B787" s="138">
        <f>'Expenditures 15-22'!D45</f>
        <v>178036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231447</v>
      </c>
      <c r="C789" s="2" t="s">
        <v>594</v>
      </c>
      <c r="D789" s="2" t="str">
        <f t="shared" si="11"/>
        <v>Error?</v>
      </c>
    </row>
    <row r="790" spans="1:4" x14ac:dyDescent="0.2">
      <c r="A790" s="5">
        <v>729</v>
      </c>
      <c r="B790" s="138">
        <f>'Expenditures 15-22'!D49</f>
        <v>8269</v>
      </c>
      <c r="D790" s="2" t="str">
        <f t="shared" si="11"/>
        <v>Error?</v>
      </c>
    </row>
    <row r="791" spans="1:4" x14ac:dyDescent="0.2">
      <c r="A791" s="5">
        <v>730</v>
      </c>
      <c r="B791" s="138">
        <f>'Expenditures 15-22'!D50</f>
        <v>59204</v>
      </c>
      <c r="D791" s="2" t="str">
        <f t="shared" si="11"/>
        <v>Error?</v>
      </c>
    </row>
    <row r="792" spans="1:4" x14ac:dyDescent="0.2">
      <c r="A792" s="5">
        <v>731</v>
      </c>
      <c r="B792" s="138">
        <f>'Expenditures 15-22'!D53</f>
        <v>215516</v>
      </c>
      <c r="C792" s="2" t="s">
        <v>594</v>
      </c>
      <c r="D792" s="2" t="str">
        <f t="shared" si="11"/>
        <v>Error?</v>
      </c>
    </row>
    <row r="793" spans="1:4" x14ac:dyDescent="0.2">
      <c r="A793" s="5">
        <v>732</v>
      </c>
      <c r="B793" s="138">
        <f>'Expenditures 15-22'!D55</f>
        <v>952883</v>
      </c>
      <c r="D793" s="2" t="str">
        <f t="shared" si="11"/>
        <v>Error?</v>
      </c>
    </row>
    <row r="794" spans="1:4" x14ac:dyDescent="0.2">
      <c r="A794" s="5">
        <v>733</v>
      </c>
      <c r="B794" s="138">
        <f>'Expenditures 15-22'!D56</f>
        <v>43617</v>
      </c>
      <c r="D794" s="2" t="str">
        <f t="shared" si="11"/>
        <v>Error?</v>
      </c>
    </row>
    <row r="795" spans="1:4" x14ac:dyDescent="0.2">
      <c r="A795" s="5">
        <v>734</v>
      </c>
      <c r="B795" s="138">
        <f>'Expenditures 15-22'!D57</f>
        <v>996500</v>
      </c>
      <c r="C795" s="2" t="s">
        <v>594</v>
      </c>
      <c r="D795" s="2" t="str">
        <f t="shared" si="11"/>
        <v>Error?</v>
      </c>
    </row>
    <row r="796" spans="1:4" x14ac:dyDescent="0.2">
      <c r="A796" s="5">
        <v>735</v>
      </c>
      <c r="B796" s="138">
        <f>'Expenditures 15-22'!D59</f>
        <v>21922</v>
      </c>
      <c r="D796" s="2" t="str">
        <f t="shared" si="11"/>
        <v>Error?</v>
      </c>
    </row>
    <row r="797" spans="1:4" x14ac:dyDescent="0.2">
      <c r="A797" s="5">
        <v>736</v>
      </c>
      <c r="B797" s="138">
        <f>'Expenditures 15-22'!D60</f>
        <v>59882</v>
      </c>
      <c r="D797" s="2" t="str">
        <f t="shared" si="11"/>
        <v>Error?</v>
      </c>
    </row>
    <row r="798" spans="1:4" x14ac:dyDescent="0.2">
      <c r="A798" s="5">
        <v>737</v>
      </c>
      <c r="B798" s="138">
        <f>'Expenditures 15-22'!D61</f>
        <v>50727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134185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51704</v>
      </c>
      <c r="D807" s="2" t="str">
        <f t="shared" si="11"/>
        <v>Error?</v>
      </c>
    </row>
    <row r="808" spans="1:4" x14ac:dyDescent="0.2">
      <c r="A808" s="10">
        <v>747</v>
      </c>
      <c r="D808" s="2" t="str">
        <f t="shared" si="11"/>
        <v>OK</v>
      </c>
    </row>
    <row r="809" spans="1:4" x14ac:dyDescent="0.2">
      <c r="A809" s="5">
        <v>748</v>
      </c>
      <c r="B809" s="138">
        <f>'Expenditures 15-22'!D71</f>
        <v>111147</v>
      </c>
      <c r="D809" s="2" t="str">
        <f t="shared" si="11"/>
        <v>Error?</v>
      </c>
    </row>
    <row r="810" spans="1:4" x14ac:dyDescent="0.2">
      <c r="A810" s="10">
        <v>749</v>
      </c>
      <c r="D810" s="2" t="str">
        <f t="shared" si="11"/>
        <v>OK</v>
      </c>
    </row>
    <row r="811" spans="1:4" x14ac:dyDescent="0.2">
      <c r="A811" s="5">
        <v>750</v>
      </c>
      <c r="B811" s="138">
        <f>'Expenditures 15-22'!D72</f>
        <v>162851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2282028</v>
      </c>
      <c r="C813" s="2" t="s">
        <v>594</v>
      </c>
      <c r="D813" s="2" t="str">
        <f t="shared" si="11"/>
        <v>Error?</v>
      </c>
    </row>
    <row r="814" spans="1:4" x14ac:dyDescent="0.2">
      <c r="A814" s="5">
        <v>753</v>
      </c>
      <c r="B814" s="138">
        <f>'Expenditures 15-22'!D75</f>
        <v>33043</v>
      </c>
      <c r="D814" s="2" t="str">
        <f t="shared" si="11"/>
        <v>Error?</v>
      </c>
    </row>
    <row r="815" spans="1:4" x14ac:dyDescent="0.2">
      <c r="A815" s="5">
        <v>754</v>
      </c>
      <c r="B815" s="138">
        <f>'Expenditures 15-22'!D114</f>
        <v>12146836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169006</v>
      </c>
      <c r="D821" s="2" t="str">
        <f t="shared" si="11"/>
        <v>Error?</v>
      </c>
    </row>
    <row r="822" spans="1:4" x14ac:dyDescent="0.2">
      <c r="A822" s="5">
        <v>761</v>
      </c>
      <c r="B822" s="138">
        <f>'Expenditures 15-22'!E16</f>
        <v>586</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436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59200</v>
      </c>
      <c r="D833" s="2" t="str">
        <f t="shared" si="12"/>
        <v>Error?</v>
      </c>
    </row>
    <row r="834" spans="1:4" x14ac:dyDescent="0.2">
      <c r="A834" s="5">
        <v>773</v>
      </c>
      <c r="B834" s="138">
        <f>'Expenditures 15-22'!E14</f>
        <v>89518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1504430</v>
      </c>
      <c r="C836" s="2" t="s">
        <v>594</v>
      </c>
      <c r="D836" s="2" t="str">
        <f t="shared" si="12"/>
        <v>Error?</v>
      </c>
    </row>
    <row r="837" spans="1:4" x14ac:dyDescent="0.2">
      <c r="A837" s="5">
        <v>776</v>
      </c>
      <c r="B837" s="138">
        <f>'Expenditures 15-22'!E36</f>
        <v>1395</v>
      </c>
      <c r="D837" s="2" t="str">
        <f t="shared" si="12"/>
        <v>Error?</v>
      </c>
    </row>
    <row r="838" spans="1:4" x14ac:dyDescent="0.2">
      <c r="A838" s="5">
        <v>777</v>
      </c>
      <c r="B838" s="138">
        <f>'Expenditures 15-22'!E37</f>
        <v>12431</v>
      </c>
      <c r="D838" s="2" t="str">
        <f t="shared" si="12"/>
        <v>Error?</v>
      </c>
    </row>
    <row r="839" spans="1:4" x14ac:dyDescent="0.2">
      <c r="A839" s="5">
        <v>778</v>
      </c>
      <c r="B839" s="138">
        <f>'Expenditures 15-22'!E38</f>
        <v>9514</v>
      </c>
      <c r="D839" s="2" t="str">
        <f t="shared" si="12"/>
        <v>Error?</v>
      </c>
    </row>
    <row r="840" spans="1:4" x14ac:dyDescent="0.2">
      <c r="A840" s="5">
        <v>779</v>
      </c>
      <c r="B840" s="138">
        <f>'Expenditures 15-22'!E39</f>
        <v>1448</v>
      </c>
      <c r="D840" s="2" t="str">
        <f t="shared" si="12"/>
        <v>Error?</v>
      </c>
    </row>
    <row r="841" spans="1:4" x14ac:dyDescent="0.2">
      <c r="A841" s="5">
        <v>780</v>
      </c>
      <c r="B841" s="138">
        <f>'Expenditures 15-22'!E40</f>
        <v>6607</v>
      </c>
      <c r="D841" s="2" t="str">
        <f t="shared" si="12"/>
        <v>Error?</v>
      </c>
    </row>
    <row r="842" spans="1:4" x14ac:dyDescent="0.2">
      <c r="A842" s="5">
        <v>781</v>
      </c>
      <c r="B842" s="138">
        <f>'Expenditures 15-22'!E41</f>
        <v>2232</v>
      </c>
      <c r="D842" s="2" t="str">
        <f t="shared" si="12"/>
        <v>Error?</v>
      </c>
    </row>
    <row r="843" spans="1:4" x14ac:dyDescent="0.2">
      <c r="A843" s="5">
        <v>782</v>
      </c>
      <c r="B843" s="138">
        <f>'Expenditures 15-22'!E42</f>
        <v>33627</v>
      </c>
      <c r="C843" s="2" t="s">
        <v>594</v>
      </c>
      <c r="D843" s="2" t="str">
        <f t="shared" si="12"/>
        <v>Error?</v>
      </c>
    </row>
    <row r="844" spans="1:4" x14ac:dyDescent="0.2">
      <c r="A844" s="5">
        <v>783</v>
      </c>
      <c r="B844" s="138">
        <f>'Expenditures 15-22'!E44</f>
        <v>223641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5724</v>
      </c>
      <c r="D846" s="2" t="str">
        <f t="shared" si="12"/>
        <v>Error?</v>
      </c>
    </row>
    <row r="847" spans="1:4" x14ac:dyDescent="0.2">
      <c r="A847" s="5">
        <v>786</v>
      </c>
      <c r="B847" s="138">
        <f>'Expenditures 15-22'!E47</f>
        <v>229365</v>
      </c>
      <c r="C847" s="2" t="s">
        <v>594</v>
      </c>
      <c r="D847" s="2" t="str">
        <f t="shared" si="12"/>
        <v>Error?</v>
      </c>
    </row>
    <row r="848" spans="1:4" x14ac:dyDescent="0.2">
      <c r="A848" s="5">
        <v>787</v>
      </c>
      <c r="B848" s="138">
        <f>'Expenditures 15-22'!E49</f>
        <v>56048</v>
      </c>
      <c r="D848" s="2" t="str">
        <f t="shared" si="12"/>
        <v>Error?</v>
      </c>
    </row>
    <row r="849" spans="1:4" x14ac:dyDescent="0.2">
      <c r="A849" s="5">
        <v>788</v>
      </c>
      <c r="B849" s="138">
        <f>'Expenditures 15-22'!E50</f>
        <v>14086</v>
      </c>
      <c r="D849" s="2" t="str">
        <f t="shared" si="12"/>
        <v>Error?</v>
      </c>
    </row>
    <row r="850" spans="1:4" x14ac:dyDescent="0.2">
      <c r="A850" s="5">
        <v>789</v>
      </c>
      <c r="B850" s="138">
        <f>'Expenditures 15-22'!E53</f>
        <v>71074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794</v>
      </c>
      <c r="D852" s="2" t="str">
        <f t="shared" si="12"/>
        <v>Error?</v>
      </c>
    </row>
    <row r="853" spans="1:4" x14ac:dyDescent="0.2">
      <c r="A853" s="5">
        <v>792</v>
      </c>
      <c r="B853" s="138">
        <f>'Expenditures 15-22'!E57</f>
        <v>794</v>
      </c>
      <c r="C853" s="2" t="s">
        <v>594</v>
      </c>
      <c r="D853" s="2" t="str">
        <f t="shared" si="12"/>
        <v>Error?</v>
      </c>
    </row>
    <row r="854" spans="1:4" x14ac:dyDescent="0.2">
      <c r="A854" s="5">
        <v>793</v>
      </c>
      <c r="B854" s="138">
        <f>'Expenditures 15-22'!E59</f>
        <v>942</v>
      </c>
      <c r="D854" s="2" t="str">
        <f t="shared" si="12"/>
        <v>Error?</v>
      </c>
    </row>
    <row r="855" spans="1:4" x14ac:dyDescent="0.2">
      <c r="A855" s="5">
        <v>794</v>
      </c>
      <c r="B855" s="138">
        <f>'Expenditures 15-22'!E60</f>
        <v>200</v>
      </c>
      <c r="D855" s="2" t="str">
        <f t="shared" si="12"/>
        <v>Error?</v>
      </c>
    </row>
    <row r="856" spans="1:4" x14ac:dyDescent="0.2">
      <c r="A856" s="5">
        <v>795</v>
      </c>
      <c r="B856" s="138">
        <f>'Expenditures 15-22'!E61</f>
        <v>225575</v>
      </c>
      <c r="D856" s="2" t="str">
        <f t="shared" si="12"/>
        <v>Error?</v>
      </c>
    </row>
    <row r="857" spans="1:4" x14ac:dyDescent="0.2">
      <c r="A857" s="5">
        <v>796</v>
      </c>
      <c r="B857" s="138">
        <f>'Expenditures 15-22'!E62</f>
        <v>426701</v>
      </c>
      <c r="D857" s="2" t="str">
        <f t="shared" si="12"/>
        <v>Error?</v>
      </c>
    </row>
    <row r="858" spans="1:4" x14ac:dyDescent="0.2">
      <c r="A858" s="5">
        <v>797</v>
      </c>
      <c r="B858" s="138">
        <f>'Expenditures 15-22'!E63</f>
        <v>1923537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2576955</v>
      </c>
      <c r="C861" s="2" t="s">
        <v>594</v>
      </c>
      <c r="D861" s="2" t="str">
        <f t="shared" si="12"/>
        <v>Error?</v>
      </c>
    </row>
    <row r="862" spans="1:4" x14ac:dyDescent="0.2">
      <c r="A862" s="5">
        <v>801</v>
      </c>
      <c r="B862" s="138">
        <f>'Expenditures 15-22'!E67</f>
        <v>18539</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8661</v>
      </c>
      <c r="D865" s="2" t="str">
        <f t="shared" si="12"/>
        <v>Error?</v>
      </c>
    </row>
    <row r="866" spans="1:4" x14ac:dyDescent="0.2">
      <c r="A866" s="10">
        <v>805</v>
      </c>
      <c r="D866" s="2" t="str">
        <f t="shared" si="12"/>
        <v>OK</v>
      </c>
    </row>
    <row r="867" spans="1:4" x14ac:dyDescent="0.2">
      <c r="A867" s="5">
        <v>806</v>
      </c>
      <c r="B867" s="138">
        <f>'Expenditures 15-22'!E71</f>
        <v>375188</v>
      </c>
      <c r="D867" s="2" t="str">
        <f t="shared" si="12"/>
        <v>Error?</v>
      </c>
    </row>
    <row r="868" spans="1:4" x14ac:dyDescent="0.2">
      <c r="A868" s="10">
        <v>807</v>
      </c>
      <c r="D868" s="2" t="str">
        <f t="shared" si="12"/>
        <v>OK</v>
      </c>
    </row>
    <row r="869" spans="1:4" x14ac:dyDescent="0.2">
      <c r="A869" s="5">
        <v>808</v>
      </c>
      <c r="B869" s="138">
        <f>'Expenditures 15-22'!E72</f>
        <v>402388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3314203</v>
      </c>
      <c r="C871" s="2" t="s">
        <v>594</v>
      </c>
      <c r="D871" s="2" t="str">
        <f t="shared" si="12"/>
        <v>Error?</v>
      </c>
    </row>
    <row r="872" spans="1:4" x14ac:dyDescent="0.2">
      <c r="A872" s="5">
        <v>811</v>
      </c>
      <c r="B872" s="138">
        <f>'Expenditures 15-22'!E75</f>
        <v>54025</v>
      </c>
      <c r="D872" s="2" t="str">
        <f t="shared" si="12"/>
        <v>Error?</v>
      </c>
    </row>
    <row r="873" spans="1:4" x14ac:dyDescent="0.2">
      <c r="A873" s="5">
        <v>812</v>
      </c>
      <c r="B873" s="138">
        <f>'Expenditures 15-22'!E114</f>
        <v>4906206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451018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4781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51585</v>
      </c>
      <c r="D892" s="2" t="str">
        <f t="shared" si="12"/>
        <v>Error?</v>
      </c>
    </row>
    <row r="893" spans="1:4" x14ac:dyDescent="0.2">
      <c r="A893" s="5">
        <v>832</v>
      </c>
      <c r="B893" s="138">
        <f>'Expenditures 15-22'!F15</f>
        <v>330</v>
      </c>
      <c r="D893" s="2" t="str">
        <f t="shared" si="12"/>
        <v>Error?</v>
      </c>
    </row>
    <row r="894" spans="1:4" x14ac:dyDescent="0.2">
      <c r="A894" s="5">
        <v>833</v>
      </c>
      <c r="B894" s="138">
        <f>'Expenditures 15-22'!F33</f>
        <v>1165124</v>
      </c>
      <c r="C894" s="2" t="s">
        <v>594</v>
      </c>
      <c r="D894" s="2" t="str">
        <f t="shared" si="12"/>
        <v>Error?</v>
      </c>
    </row>
    <row r="895" spans="1:4" x14ac:dyDescent="0.2">
      <c r="A895" s="5">
        <v>834</v>
      </c>
      <c r="B895" s="138">
        <f>'Expenditures 15-22'!F36</f>
        <v>624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9988</v>
      </c>
      <c r="D897" s="2" t="str">
        <f t="shared" si="13"/>
        <v>Error?</v>
      </c>
    </row>
    <row r="898" spans="1:4" x14ac:dyDescent="0.2">
      <c r="A898" s="5">
        <v>837</v>
      </c>
      <c r="B898" s="138">
        <f>'Expenditures 15-22'!F39</f>
        <v>1115</v>
      </c>
      <c r="D898" s="2" t="str">
        <f t="shared" si="13"/>
        <v>Error?</v>
      </c>
    </row>
    <row r="899" spans="1:4" x14ac:dyDescent="0.2">
      <c r="A899" s="5">
        <v>838</v>
      </c>
      <c r="B899" s="138">
        <f>'Expenditures 15-22'!F40</f>
        <v>708</v>
      </c>
      <c r="D899" s="2" t="str">
        <f t="shared" si="13"/>
        <v>Error?</v>
      </c>
    </row>
    <row r="900" spans="1:4" x14ac:dyDescent="0.2">
      <c r="A900" s="5">
        <v>839</v>
      </c>
      <c r="B900" s="138">
        <f>'Expenditures 15-22'!F41</f>
        <v>2905</v>
      </c>
      <c r="D900" s="2" t="str">
        <f t="shared" si="13"/>
        <v>Error?</v>
      </c>
    </row>
    <row r="901" spans="1:4" x14ac:dyDescent="0.2">
      <c r="A901" s="5">
        <v>840</v>
      </c>
      <c r="B901" s="138">
        <f>'Expenditures 15-22'!F42</f>
        <v>15340</v>
      </c>
      <c r="C901" s="2" t="s">
        <v>594</v>
      </c>
      <c r="D901" s="2" t="str">
        <f t="shared" si="13"/>
        <v>Error?</v>
      </c>
    </row>
    <row r="902" spans="1:4" x14ac:dyDescent="0.2">
      <c r="A902" s="5">
        <v>841</v>
      </c>
      <c r="B902" s="138">
        <f>'Expenditures 15-22'!F44</f>
        <v>276942</v>
      </c>
      <c r="D902" s="2" t="str">
        <f t="shared" si="13"/>
        <v>Error?</v>
      </c>
    </row>
    <row r="903" spans="1:4" x14ac:dyDescent="0.2">
      <c r="A903" s="5">
        <v>842</v>
      </c>
      <c r="B903" s="138">
        <f>'Expenditures 15-22'!F45</f>
        <v>5348</v>
      </c>
      <c r="D903" s="2" t="str">
        <f t="shared" si="13"/>
        <v>Error?</v>
      </c>
    </row>
    <row r="904" spans="1:4" x14ac:dyDescent="0.2">
      <c r="A904" s="5">
        <v>843</v>
      </c>
      <c r="B904" s="138">
        <f>'Expenditures 15-22'!F46</f>
        <v>675</v>
      </c>
      <c r="D904" s="2" t="str">
        <f t="shared" si="13"/>
        <v>Error?</v>
      </c>
    </row>
    <row r="905" spans="1:4" x14ac:dyDescent="0.2">
      <c r="A905" s="5">
        <v>844</v>
      </c>
      <c r="B905" s="138">
        <f>'Expenditures 15-22'!F47</f>
        <v>282965</v>
      </c>
      <c r="C905" s="2" t="s">
        <v>594</v>
      </c>
      <c r="D905" s="2" t="str">
        <f t="shared" si="13"/>
        <v>Error?</v>
      </c>
    </row>
    <row r="906" spans="1:4" x14ac:dyDescent="0.2">
      <c r="A906" s="5">
        <v>845</v>
      </c>
      <c r="B906" s="138">
        <f>'Expenditures 15-22'!F49</f>
        <v>16773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17714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6676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15992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22668</v>
      </c>
      <c r="C919" s="2" t="s">
        <v>594</v>
      </c>
      <c r="D919" s="2" t="str">
        <f t="shared" si="13"/>
        <v>Error?</v>
      </c>
    </row>
    <row r="920" spans="1:4" x14ac:dyDescent="0.2">
      <c r="A920" s="5">
        <v>859</v>
      </c>
      <c r="B920" s="138">
        <f>'Expenditures 15-22'!F67</f>
        <v>67953</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1107</v>
      </c>
      <c r="D923" s="2" t="str">
        <f t="shared" si="13"/>
        <v>Error?</v>
      </c>
    </row>
    <row r="924" spans="1:4" x14ac:dyDescent="0.2">
      <c r="A924" s="10">
        <v>863</v>
      </c>
      <c r="D924" s="2" t="str">
        <f t="shared" si="13"/>
        <v>OK</v>
      </c>
    </row>
    <row r="925" spans="1:4" x14ac:dyDescent="0.2">
      <c r="A925" s="5">
        <v>864</v>
      </c>
      <c r="B925" s="138">
        <f>'Expenditures 15-22'!F71</f>
        <v>21976</v>
      </c>
      <c r="D925" s="2" t="str">
        <f t="shared" si="13"/>
        <v>Error?</v>
      </c>
    </row>
    <row r="926" spans="1:4" x14ac:dyDescent="0.2">
      <c r="A926" s="10">
        <v>865</v>
      </c>
      <c r="D926" s="2" t="str">
        <f t="shared" si="13"/>
        <v>OK</v>
      </c>
    </row>
    <row r="927" spans="1:4" x14ac:dyDescent="0.2">
      <c r="A927" s="5">
        <v>866</v>
      </c>
      <c r="B927" s="138">
        <f>'Expenditures 15-22'!F72</f>
        <v>91036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429723</v>
      </c>
      <c r="C929" s="2" t="s">
        <v>594</v>
      </c>
      <c r="D929" s="2" t="str">
        <f t="shared" si="13"/>
        <v>Error?</v>
      </c>
    </row>
    <row r="930" spans="1:4" x14ac:dyDescent="0.2">
      <c r="A930" s="5">
        <v>869</v>
      </c>
      <c r="B930" s="138">
        <f>'Expenditures 15-22'!F75</f>
        <v>134557</v>
      </c>
      <c r="D930" s="2" t="str">
        <f t="shared" si="13"/>
        <v>Error?</v>
      </c>
    </row>
    <row r="931" spans="1:4" x14ac:dyDescent="0.2">
      <c r="A931" s="5">
        <v>870</v>
      </c>
      <c r="B931" s="138">
        <f>'Expenditures 15-22'!F114</f>
        <v>1729404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415868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573552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550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34372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70772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105144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174349</v>
      </c>
      <c r="D983" s="2" t="str">
        <f t="shared" si="14"/>
        <v>Error?</v>
      </c>
    </row>
    <row r="984" spans="1:4" x14ac:dyDescent="0.2">
      <c r="A984" s="10">
        <v>923</v>
      </c>
      <c r="D984" s="2" t="str">
        <f t="shared" si="14"/>
        <v>OK</v>
      </c>
    </row>
    <row r="985" spans="1:4" x14ac:dyDescent="0.2">
      <c r="A985" s="5">
        <v>924</v>
      </c>
      <c r="B985" s="138">
        <f>'Expenditures 15-22'!G72</f>
        <v>174349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280043</v>
      </c>
      <c r="C987" s="2" t="s">
        <v>594</v>
      </c>
      <c r="D987" s="2" t="str">
        <f t="shared" si="14"/>
        <v>Error?</v>
      </c>
    </row>
    <row r="988" spans="1:4" x14ac:dyDescent="0.2">
      <c r="A988" s="5">
        <v>927</v>
      </c>
      <c r="B988" s="138">
        <f>'Expenditures 15-22'!G75</f>
        <v>2687</v>
      </c>
      <c r="D988" s="2" t="str">
        <f t="shared" si="14"/>
        <v>Error?</v>
      </c>
    </row>
    <row r="989" spans="1:4" x14ac:dyDescent="0.2">
      <c r="A989" s="5">
        <v>928</v>
      </c>
      <c r="B989" s="138">
        <f>'Expenditures 15-22'!G114</f>
        <v>856282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4913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4913</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4913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243752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248665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32006448</v>
      </c>
      <c r="C1093" s="2" t="s">
        <v>594</v>
      </c>
      <c r="D1093" s="2" t="str">
        <f t="shared" si="16"/>
        <v>Error?</v>
      </c>
    </row>
    <row r="1094" spans="1:4" x14ac:dyDescent="0.2">
      <c r="A1094" s="5">
        <v>1033</v>
      </c>
      <c r="B1094" s="138">
        <f>'Expenditures 15-22'!K16</f>
        <v>650004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1253361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59200</v>
      </c>
      <c r="C1105" s="2" t="s">
        <v>594</v>
      </c>
      <c r="D1105" s="2" t="str">
        <f t="shared" si="16"/>
        <v>Error?</v>
      </c>
    </row>
    <row r="1106" spans="1:4" x14ac:dyDescent="0.2">
      <c r="A1106" s="5">
        <v>1045</v>
      </c>
      <c r="B1106" s="138">
        <f>'Expenditures 15-22'!K14</f>
        <v>857411</v>
      </c>
      <c r="C1106" s="2" t="s">
        <v>594</v>
      </c>
      <c r="D1106" s="2" t="str">
        <f t="shared" si="16"/>
        <v>Error?</v>
      </c>
    </row>
    <row r="1107" spans="1:4" x14ac:dyDescent="0.2">
      <c r="A1107" s="5">
        <v>1046</v>
      </c>
      <c r="B1107" s="138">
        <f>'Expenditures 15-22'!K15</f>
        <v>90926</v>
      </c>
      <c r="C1107" s="2" t="s">
        <v>594</v>
      </c>
      <c r="D1107" s="2" t="str">
        <f t="shared" si="16"/>
        <v>Error?</v>
      </c>
    </row>
    <row r="1108" spans="1:4" x14ac:dyDescent="0.2">
      <c r="A1108" s="5">
        <v>1047</v>
      </c>
      <c r="B1108" s="138">
        <f>'Expenditures 15-22'!K33</f>
        <v>45304606</v>
      </c>
      <c r="C1108" s="2" t="s">
        <v>594</v>
      </c>
      <c r="D1108" s="2" t="str">
        <f t="shared" si="16"/>
        <v>Error?</v>
      </c>
    </row>
    <row r="1109" spans="1:4" x14ac:dyDescent="0.2">
      <c r="A1109" s="5">
        <v>1048</v>
      </c>
      <c r="B1109" s="138">
        <f>'Expenditures 15-22'!K36</f>
        <v>605098</v>
      </c>
      <c r="C1109" s="2" t="s">
        <v>594</v>
      </c>
      <c r="D1109" s="2" t="str">
        <f t="shared" si="16"/>
        <v>Error?</v>
      </c>
    </row>
    <row r="1110" spans="1:4" x14ac:dyDescent="0.2">
      <c r="A1110" s="5">
        <v>1049</v>
      </c>
      <c r="B1110" s="138">
        <f>'Expenditures 15-22'!K37</f>
        <v>12431</v>
      </c>
      <c r="C1110" s="2" t="s">
        <v>594</v>
      </c>
      <c r="D1110" s="2" t="str">
        <f t="shared" si="16"/>
        <v>Error?</v>
      </c>
    </row>
    <row r="1111" spans="1:4" x14ac:dyDescent="0.2">
      <c r="A1111" s="5">
        <v>1050</v>
      </c>
      <c r="B1111" s="138">
        <f>'Expenditures 15-22'!K38</f>
        <v>701650</v>
      </c>
      <c r="C1111" s="2" t="s">
        <v>594</v>
      </c>
      <c r="D1111" s="2" t="str">
        <f t="shared" si="16"/>
        <v>Error?</v>
      </c>
    </row>
    <row r="1112" spans="1:4" x14ac:dyDescent="0.2">
      <c r="A1112" s="5">
        <v>1051</v>
      </c>
      <c r="B1112" s="138">
        <f>'Expenditures 15-22'!K39</f>
        <v>352596</v>
      </c>
      <c r="C1112" s="2" t="s">
        <v>594</v>
      </c>
      <c r="D1112" s="2" t="str">
        <f t="shared" si="16"/>
        <v>Error?</v>
      </c>
    </row>
    <row r="1113" spans="1:4" x14ac:dyDescent="0.2">
      <c r="A1113" s="5">
        <v>1052</v>
      </c>
      <c r="B1113" s="138">
        <f>'Expenditures 15-22'!K40</f>
        <v>1111322</v>
      </c>
      <c r="C1113" s="2" t="s">
        <v>594</v>
      </c>
      <c r="D1113" s="2" t="str">
        <f t="shared" si="16"/>
        <v>Error?</v>
      </c>
    </row>
    <row r="1114" spans="1:4" x14ac:dyDescent="0.2">
      <c r="A1114" s="5">
        <v>1053</v>
      </c>
      <c r="B1114" s="138">
        <f>'Expenditures 15-22'!K41</f>
        <v>17074</v>
      </c>
      <c r="C1114" s="2" t="s">
        <v>594</v>
      </c>
      <c r="D1114" s="2" t="str">
        <f t="shared" si="16"/>
        <v>Error?</v>
      </c>
    </row>
    <row r="1115" spans="1:4" x14ac:dyDescent="0.2">
      <c r="A1115" s="5">
        <v>1054</v>
      </c>
      <c r="B1115" s="138">
        <f>'Expenditures 15-22'!K42</f>
        <v>2800171</v>
      </c>
      <c r="C1115" s="2" t="s">
        <v>594</v>
      </c>
      <c r="D1115" s="2" t="str">
        <f t="shared" si="16"/>
        <v>Error?</v>
      </c>
    </row>
    <row r="1116" spans="1:4" x14ac:dyDescent="0.2">
      <c r="A1116" s="5">
        <v>1055</v>
      </c>
      <c r="B1116" s="138">
        <f>'Expenditures 15-22'!K44</f>
        <v>876022</v>
      </c>
      <c r="C1116" s="2" t="s">
        <v>594</v>
      </c>
      <c r="D1116" s="2" t="str">
        <f t="shared" si="16"/>
        <v>Error?</v>
      </c>
    </row>
    <row r="1117" spans="1:4" x14ac:dyDescent="0.2">
      <c r="A1117" s="5">
        <v>1056</v>
      </c>
      <c r="B1117" s="138">
        <f>'Expenditures 15-22'!K45</f>
        <v>779150</v>
      </c>
      <c r="C1117" s="2" t="s">
        <v>594</v>
      </c>
      <c r="D1117" s="2" t="str">
        <f t="shared" si="16"/>
        <v>Error?</v>
      </c>
    </row>
    <row r="1118" spans="1:4" x14ac:dyDescent="0.2">
      <c r="A1118" s="5">
        <v>1057</v>
      </c>
      <c r="B1118" s="138">
        <f>'Expenditures 15-22'!K46</f>
        <v>6399</v>
      </c>
      <c r="C1118" s="2" t="s">
        <v>594</v>
      </c>
      <c r="D1118" s="2" t="str">
        <f t="shared" si="16"/>
        <v>Error?</v>
      </c>
    </row>
    <row r="1119" spans="1:4" x14ac:dyDescent="0.2">
      <c r="A1119" s="5">
        <v>1058</v>
      </c>
      <c r="B1119" s="138">
        <f>'Expenditures 15-22'!K47</f>
        <v>1661571</v>
      </c>
      <c r="C1119" s="2" t="s">
        <v>594</v>
      </c>
      <c r="D1119" s="2" t="str">
        <f t="shared" si="16"/>
        <v>Error?</v>
      </c>
    </row>
    <row r="1120" spans="1:4" x14ac:dyDescent="0.2">
      <c r="A1120" s="5">
        <v>1059</v>
      </c>
      <c r="B1120" s="138">
        <f>'Expenditures 15-22'!K49</f>
        <v>103949</v>
      </c>
      <c r="C1120" s="2" t="s">
        <v>594</v>
      </c>
      <c r="D1120" s="2" t="str">
        <f t="shared" si="16"/>
        <v>Error?</v>
      </c>
    </row>
    <row r="1121" spans="1:4" x14ac:dyDescent="0.2">
      <c r="A1121" s="5">
        <v>1060</v>
      </c>
      <c r="B1121" s="138">
        <f>'Expenditures 15-22'!K50</f>
        <v>310638</v>
      </c>
      <c r="C1121" s="2" t="s">
        <v>594</v>
      </c>
      <c r="D1121" s="2" t="str">
        <f t="shared" si="16"/>
        <v>Error?</v>
      </c>
    </row>
    <row r="1122" spans="1:4" x14ac:dyDescent="0.2">
      <c r="A1122" s="5">
        <v>1061</v>
      </c>
      <c r="B1122" s="138">
        <f>'Expenditures 15-22'!K53</f>
        <v>1106916</v>
      </c>
      <c r="C1122" s="2" t="s">
        <v>594</v>
      </c>
      <c r="D1122" s="2" t="str">
        <f t="shared" si="16"/>
        <v>Error?</v>
      </c>
    </row>
    <row r="1123" spans="1:4" x14ac:dyDescent="0.2">
      <c r="A1123" s="5">
        <v>1062</v>
      </c>
      <c r="B1123" s="138">
        <f>'Expenditures 15-22'!K55</f>
        <v>4336182</v>
      </c>
      <c r="C1123" s="2" t="s">
        <v>594</v>
      </c>
      <c r="D1123" s="2" t="str">
        <f t="shared" si="16"/>
        <v>Error?</v>
      </c>
    </row>
    <row r="1124" spans="1:4" x14ac:dyDescent="0.2">
      <c r="A1124" s="5">
        <v>1063</v>
      </c>
      <c r="B1124" s="138">
        <f>'Expenditures 15-22'!K56</f>
        <v>228450</v>
      </c>
      <c r="C1124" s="2" t="s">
        <v>594</v>
      </c>
      <c r="D1124" s="2" t="str">
        <f t="shared" si="16"/>
        <v>Error?</v>
      </c>
    </row>
    <row r="1125" spans="1:4" x14ac:dyDescent="0.2">
      <c r="A1125" s="5">
        <v>1064</v>
      </c>
      <c r="B1125" s="138">
        <f>'Expenditures 15-22'!K57</f>
        <v>4564632</v>
      </c>
      <c r="C1125" s="2" t="s">
        <v>594</v>
      </c>
      <c r="D1125" s="2" t="str">
        <f t="shared" si="16"/>
        <v>Error?</v>
      </c>
    </row>
    <row r="1126" spans="1:4" x14ac:dyDescent="0.2">
      <c r="A1126" s="5">
        <v>1065</v>
      </c>
      <c r="B1126" s="138">
        <f>'Expenditures 15-22'!K59</f>
        <v>218989</v>
      </c>
      <c r="C1126" s="2" t="s">
        <v>594</v>
      </c>
      <c r="D1126" s="2" t="str">
        <f t="shared" si="16"/>
        <v>Error?</v>
      </c>
    </row>
    <row r="1127" spans="1:4" x14ac:dyDescent="0.2">
      <c r="A1127" s="5">
        <v>1066</v>
      </c>
      <c r="B1127" s="138">
        <f>'Expenditures 15-22'!K60</f>
        <v>413699</v>
      </c>
      <c r="C1127" s="2" t="s">
        <v>594</v>
      </c>
      <c r="D1127" s="2" t="str">
        <f t="shared" si="16"/>
        <v>Error?</v>
      </c>
    </row>
    <row r="1128" spans="1:4" x14ac:dyDescent="0.2">
      <c r="A1128" s="5">
        <v>1067</v>
      </c>
      <c r="B1128" s="138">
        <f>'Expenditures 15-22'!K61</f>
        <v>482914</v>
      </c>
      <c r="C1128" s="2" t="s">
        <v>594</v>
      </c>
      <c r="D1128" s="2" t="str">
        <f t="shared" si="16"/>
        <v>Error?</v>
      </c>
    </row>
    <row r="1129" spans="1:4" x14ac:dyDescent="0.2">
      <c r="A1129" s="5">
        <v>1068</v>
      </c>
      <c r="B1129" s="138">
        <f>'Expenditures 15-22'!K62</f>
        <v>426701</v>
      </c>
      <c r="C1129" s="2" t="s">
        <v>594</v>
      </c>
      <c r="D1129" s="2" t="str">
        <f t="shared" si="16"/>
        <v>Error?</v>
      </c>
    </row>
    <row r="1130" spans="1:4" x14ac:dyDescent="0.2">
      <c r="A1130" s="5">
        <v>1069</v>
      </c>
      <c r="B1130" s="138">
        <f>'Expenditures 15-22'!K63</f>
        <v>2581141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4123444</v>
      </c>
      <c r="C1133" s="2" t="s">
        <v>594</v>
      </c>
      <c r="D1133" s="2" t="str">
        <f t="shared" si="16"/>
        <v>Error?</v>
      </c>
    </row>
    <row r="1134" spans="1:4" x14ac:dyDescent="0.2">
      <c r="A1134" s="5">
        <v>1073</v>
      </c>
      <c r="B1134" s="138">
        <f>'Expenditures 15-22'!K67</f>
        <v>86492</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383777</v>
      </c>
      <c r="C1137" s="2" t="s">
        <v>594</v>
      </c>
      <c r="D1137" s="2" t="str">
        <f t="shared" si="16"/>
        <v>Error?</v>
      </c>
    </row>
    <row r="1138" spans="1:4" x14ac:dyDescent="0.2">
      <c r="A1138" s="10">
        <v>1077</v>
      </c>
      <c r="D1138" s="2" t="str">
        <f t="shared" si="16"/>
        <v>OK</v>
      </c>
    </row>
    <row r="1139" spans="1:4" x14ac:dyDescent="0.2">
      <c r="A1139" s="5">
        <v>1078</v>
      </c>
      <c r="B1139" s="138">
        <f>'Expenditures 15-22'!K71</f>
        <v>1481777</v>
      </c>
      <c r="C1139" s="2" t="s">
        <v>594</v>
      </c>
      <c r="D1139" s="2" t="str">
        <f t="shared" si="16"/>
        <v>Error?</v>
      </c>
    </row>
    <row r="1140" spans="1:4" x14ac:dyDescent="0.2">
      <c r="A1140" s="10">
        <v>1079</v>
      </c>
      <c r="D1140" s="2" t="str">
        <f t="shared" si="16"/>
        <v>OK</v>
      </c>
    </row>
    <row r="1141" spans="1:4" x14ac:dyDescent="0.2">
      <c r="A1141" s="5">
        <v>1080</v>
      </c>
      <c r="B1141" s="138">
        <f>'Expenditures 15-22'!K72</f>
        <v>1952046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16208780</v>
      </c>
      <c r="C1143" s="2" t="s">
        <v>594</v>
      </c>
      <c r="D1143" s="2" t="str">
        <f t="shared" si="16"/>
        <v>Error?</v>
      </c>
    </row>
    <row r="1144" spans="1:4" x14ac:dyDescent="0.2">
      <c r="A1144" s="5">
        <v>1083</v>
      </c>
      <c r="B1144" s="138">
        <f>'Expenditures 15-22'!K75</f>
        <v>351000</v>
      </c>
      <c r="C1144" s="2" t="s">
        <v>594</v>
      </c>
      <c r="D1144" s="2" t="str">
        <f t="shared" si="16"/>
        <v>Error?</v>
      </c>
    </row>
    <row r="1145" spans="1:4" x14ac:dyDescent="0.2">
      <c r="A1145" s="5">
        <v>1084</v>
      </c>
      <c r="B1145" s="138">
        <f>'Expenditures 15-22'!K102</f>
        <v>277300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62141686</v>
      </c>
      <c r="C1152" s="2" t="s">
        <v>594</v>
      </c>
      <c r="D1152" s="2" t="str">
        <f t="shared" si="17"/>
        <v>Error?</v>
      </c>
    </row>
    <row r="1153" spans="1:4" x14ac:dyDescent="0.2">
      <c r="A1153" s="5">
        <v>1092</v>
      </c>
      <c r="B1153" s="138">
        <f>'Expenditures 15-22'!K115</f>
        <v>2729149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3112142</v>
      </c>
      <c r="D1221" s="2" t="str">
        <f t="shared" si="18"/>
        <v>Error?</v>
      </c>
    </row>
    <row r="1222" spans="1:4" x14ac:dyDescent="0.2">
      <c r="A1222" s="10">
        <v>1161</v>
      </c>
      <c r="D1222" s="2" t="str">
        <f t="shared" si="18"/>
        <v>OK</v>
      </c>
    </row>
    <row r="1223" spans="1:4" x14ac:dyDescent="0.2">
      <c r="A1223" s="5">
        <v>1162</v>
      </c>
      <c r="B1223" s="138">
        <f>'Expenditures 15-22'!C127</f>
        <v>3112142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3112142</v>
      </c>
      <c r="C1225" s="2" t="s">
        <v>594</v>
      </c>
      <c r="D1225" s="2" t="str">
        <f t="shared" si="18"/>
        <v>Error?</v>
      </c>
    </row>
    <row r="1226" spans="1:4" x14ac:dyDescent="0.2">
      <c r="A1226" s="5">
        <v>1165</v>
      </c>
      <c r="B1226" s="138">
        <f>'Expenditures 15-22'!C151</f>
        <v>3112142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604361</v>
      </c>
      <c r="D1229" s="2" t="str">
        <f t="shared" si="18"/>
        <v>Error?</v>
      </c>
    </row>
    <row r="1230" spans="1:4" x14ac:dyDescent="0.2">
      <c r="A1230" s="10">
        <v>1169</v>
      </c>
      <c r="D1230" s="2" t="str">
        <f t="shared" si="18"/>
        <v>OK</v>
      </c>
    </row>
    <row r="1231" spans="1:4" x14ac:dyDescent="0.2">
      <c r="A1231" s="5">
        <v>1170</v>
      </c>
      <c r="B1231" s="138">
        <f>'Expenditures 15-22'!D127</f>
        <v>604361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604361</v>
      </c>
      <c r="C1233" s="2" t="s">
        <v>594</v>
      </c>
      <c r="D1233" s="2" t="str">
        <f t="shared" si="18"/>
        <v>Error?</v>
      </c>
    </row>
    <row r="1234" spans="1:4" x14ac:dyDescent="0.2">
      <c r="A1234" s="5">
        <v>1173</v>
      </c>
      <c r="B1234" s="138">
        <f>'Expenditures 15-22'!D151</f>
        <v>604361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879937</v>
      </c>
      <c r="D1237" s="2" t="str">
        <f t="shared" si="18"/>
        <v>Error?</v>
      </c>
    </row>
    <row r="1238" spans="1:4" x14ac:dyDescent="0.2">
      <c r="A1238" s="10">
        <v>1177</v>
      </c>
      <c r="D1238" s="2" t="str">
        <f t="shared" si="18"/>
        <v>OK</v>
      </c>
    </row>
    <row r="1239" spans="1:4" x14ac:dyDescent="0.2">
      <c r="A1239" s="5">
        <v>1178</v>
      </c>
      <c r="B1239" s="138">
        <f>'Expenditures 15-22'!E127</f>
        <v>879937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879937</v>
      </c>
      <c r="C1241" s="2" t="s">
        <v>594</v>
      </c>
      <c r="D1241" s="2" t="str">
        <f t="shared" si="18"/>
        <v>Error?</v>
      </c>
    </row>
    <row r="1242" spans="1:4" x14ac:dyDescent="0.2">
      <c r="A1242" s="5">
        <v>1181</v>
      </c>
      <c r="B1242" s="138">
        <f>'Expenditures 15-22'!E151</f>
        <v>879937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1430972</v>
      </c>
      <c r="D1245" s="2" t="str">
        <f t="shared" si="18"/>
        <v>Error?</v>
      </c>
    </row>
    <row r="1246" spans="1:4" x14ac:dyDescent="0.2">
      <c r="A1246" s="10">
        <v>1185</v>
      </c>
      <c r="D1246" s="2" t="str">
        <f t="shared" si="18"/>
        <v>OK</v>
      </c>
    </row>
    <row r="1247" spans="1:4" x14ac:dyDescent="0.2">
      <c r="A1247" s="5">
        <v>1186</v>
      </c>
      <c r="B1247" s="138">
        <f>'Expenditures 15-22'!F127</f>
        <v>1430972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1430972</v>
      </c>
      <c r="C1249" s="2" t="s">
        <v>594</v>
      </c>
      <c r="D1249" s="2" t="str">
        <f t="shared" si="18"/>
        <v>Error?</v>
      </c>
    </row>
    <row r="1250" spans="1:4" x14ac:dyDescent="0.2">
      <c r="A1250" s="5">
        <v>1189</v>
      </c>
      <c r="B1250" s="138">
        <f>'Expenditures 15-22'!F151</f>
        <v>1430972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4407610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4407610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4407610</v>
      </c>
      <c r="C1258" s="2" t="s">
        <v>594</v>
      </c>
      <c r="D1258" s="2" t="str">
        <f t="shared" si="18"/>
        <v>Error?</v>
      </c>
    </row>
    <row r="1259" spans="1:4" x14ac:dyDescent="0.2">
      <c r="A1259" s="5">
        <v>1198</v>
      </c>
      <c r="B1259" s="138">
        <f>'Expenditures 15-22'!G151</f>
        <v>4407610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10435022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10435022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10435022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10435022</v>
      </c>
      <c r="C1288" s="2" t="s">
        <v>594</v>
      </c>
      <c r="D1288" s="2" t="str">
        <f t="shared" si="19"/>
        <v>Error?</v>
      </c>
    </row>
    <row r="1289" spans="1:4" x14ac:dyDescent="0.2">
      <c r="A1289" s="5">
        <v>1228</v>
      </c>
      <c r="B1289" s="138">
        <f>'Expenditures 15-22'!K152</f>
        <v>391905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935651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6064100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6999751</v>
      </c>
      <c r="C1317" s="2" t="s">
        <v>594</v>
      </c>
      <c r="D1317" s="2" t="str">
        <f t="shared" si="19"/>
        <v>Error?</v>
      </c>
    </row>
    <row r="1318" spans="1:4" x14ac:dyDescent="0.2">
      <c r="A1318" s="5">
        <v>1257</v>
      </c>
      <c r="B1318" s="138">
        <f>'Expenditures 15-22'!H174</f>
        <v>6999751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935651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6064100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6999751</v>
      </c>
      <c r="C1331" s="2" t="s">
        <v>594</v>
      </c>
      <c r="D1331" s="2" t="str">
        <f t="shared" si="19"/>
        <v>Error?</v>
      </c>
    </row>
    <row r="1332" spans="1:4" x14ac:dyDescent="0.2">
      <c r="A1332" s="5">
        <v>1271</v>
      </c>
      <c r="B1332" s="138">
        <f>'Expenditures 15-22'!K174</f>
        <v>6999751</v>
      </c>
      <c r="C1332" s="2" t="s">
        <v>594</v>
      </c>
      <c r="D1332" s="2" t="str">
        <f t="shared" si="19"/>
        <v>Error?</v>
      </c>
    </row>
    <row r="1333" spans="1:4" x14ac:dyDescent="0.2">
      <c r="A1333" s="5">
        <v>1272</v>
      </c>
      <c r="B1333" s="138">
        <f>'Expenditures 15-22'!K175</f>
        <v>-2985448</v>
      </c>
      <c r="C1333" s="2" t="s">
        <v>594</v>
      </c>
      <c r="D1333" s="2" t="str">
        <f t="shared" si="19"/>
        <v>Error?</v>
      </c>
    </row>
    <row r="1334" spans="1:4" x14ac:dyDescent="0.2">
      <c r="A1334" s="10">
        <v>1273</v>
      </c>
      <c r="D1334" s="2" t="str">
        <f t="shared" si="19"/>
        <v>OK</v>
      </c>
    </row>
    <row r="1335" spans="1:4" x14ac:dyDescent="0.2">
      <c r="A1335" s="5">
        <v>1274</v>
      </c>
      <c r="B1335" s="138">
        <f>'Expenditures 15-22'!C182</f>
        <v>2229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2229</v>
      </c>
      <c r="C1339" s="2" t="s">
        <v>594</v>
      </c>
      <c r="D1339" s="2" t="str">
        <f t="shared" si="19"/>
        <v>Error?</v>
      </c>
    </row>
    <row r="1340" spans="1:4" x14ac:dyDescent="0.2">
      <c r="A1340" s="5">
        <v>1279</v>
      </c>
      <c r="B1340" s="138">
        <f>'Expenditures 15-22'!C210</f>
        <v>2229</v>
      </c>
      <c r="C1340" s="2" t="s">
        <v>594</v>
      </c>
      <c r="D1340" s="2" t="str">
        <f t="shared" si="19"/>
        <v>Error?</v>
      </c>
    </row>
    <row r="1341" spans="1:4" x14ac:dyDescent="0.2">
      <c r="A1341" s="5">
        <v>1280</v>
      </c>
      <c r="B1341" s="138">
        <f>'Expenditures 15-22'!D182</f>
        <v>422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422</v>
      </c>
      <c r="C1345" s="2" t="s">
        <v>594</v>
      </c>
      <c r="D1345" s="2" t="str">
        <f t="shared" si="20"/>
        <v>Error?</v>
      </c>
    </row>
    <row r="1346" spans="1:4" x14ac:dyDescent="0.2">
      <c r="A1346" s="5">
        <v>1285</v>
      </c>
      <c r="B1346" s="138">
        <f>'Expenditures 15-22'!D210</f>
        <v>422</v>
      </c>
      <c r="C1346" s="2" t="s">
        <v>594</v>
      </c>
      <c r="D1346" s="2" t="str">
        <f t="shared" si="20"/>
        <v>Error?</v>
      </c>
    </row>
    <row r="1347" spans="1:4" x14ac:dyDescent="0.2">
      <c r="A1347" s="5">
        <v>1286</v>
      </c>
      <c r="B1347" s="138">
        <f>'Expenditures 15-22'!E182</f>
        <v>977018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977018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977018</v>
      </c>
      <c r="C1353" s="2" t="s">
        <v>594</v>
      </c>
      <c r="D1353" s="2" t="str">
        <f t="shared" si="20"/>
        <v>Error?</v>
      </c>
    </row>
    <row r="1354" spans="1:4" x14ac:dyDescent="0.2">
      <c r="A1354" s="5">
        <v>1293</v>
      </c>
      <c r="B1354" s="138">
        <f>'Expenditures 15-22'!F182</f>
        <v>12369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12369</v>
      </c>
      <c r="C1358" s="2" t="s">
        <v>594</v>
      </c>
      <c r="D1358" s="2" t="str">
        <f t="shared" si="20"/>
        <v>Error?</v>
      </c>
    </row>
    <row r="1359" spans="1:4" x14ac:dyDescent="0.2">
      <c r="A1359" s="5">
        <v>1298</v>
      </c>
      <c r="B1359" s="138">
        <f>'Expenditures 15-22'!F210</f>
        <v>12369</v>
      </c>
      <c r="C1359" s="2" t="s">
        <v>594</v>
      </c>
      <c r="D1359" s="2" t="str">
        <f t="shared" si="20"/>
        <v>Error?</v>
      </c>
    </row>
    <row r="1360" spans="1:4" x14ac:dyDescent="0.2">
      <c r="A1360" s="5">
        <v>1299</v>
      </c>
      <c r="B1360" s="138">
        <f>'Expenditures 15-22'!G182</f>
        <v>7539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7539</v>
      </c>
      <c r="C1364" s="2" t="s">
        <v>594</v>
      </c>
      <c r="D1364" s="2" t="str">
        <f t="shared" si="20"/>
        <v>Error?</v>
      </c>
    </row>
    <row r="1365" spans="1:4" x14ac:dyDescent="0.2">
      <c r="A1365" s="5">
        <v>1304</v>
      </c>
      <c r="B1365" s="138">
        <f>'Expenditures 15-22'!G210</f>
        <v>7539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999577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999577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999577</v>
      </c>
      <c r="C1388" s="2" t="s">
        <v>594</v>
      </c>
      <c r="D1388" s="2" t="str">
        <f t="shared" si="20"/>
        <v>Error?</v>
      </c>
    </row>
    <row r="1389" spans="1:4" x14ac:dyDescent="0.2">
      <c r="A1389" s="5">
        <v>1328</v>
      </c>
      <c r="B1389" s="138">
        <f>'Expenditures 15-22'!K211</f>
        <v>291994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6867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12678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37893</v>
      </c>
      <c r="D1408" s="2" t="str">
        <f t="shared" si="21"/>
        <v>Error?</v>
      </c>
    </row>
    <row r="1409" spans="1:4" x14ac:dyDescent="0.2">
      <c r="A1409" s="5">
        <v>1348</v>
      </c>
      <c r="B1409" s="138">
        <f>'Expenditures 15-22'!D224</f>
        <v>3594</v>
      </c>
      <c r="D1409" s="2" t="str">
        <f t="shared" si="21"/>
        <v>Error?</v>
      </c>
    </row>
    <row r="1410" spans="1:4" x14ac:dyDescent="0.2">
      <c r="A1410" s="5">
        <v>1349</v>
      </c>
      <c r="B1410" s="138">
        <f>'Expenditures 15-22'!D229</f>
        <v>796191</v>
      </c>
      <c r="C1410" s="2" t="s">
        <v>594</v>
      </c>
      <c r="D1410" s="2" t="str">
        <f t="shared" si="21"/>
        <v>Error?</v>
      </c>
    </row>
    <row r="1411" spans="1:4" x14ac:dyDescent="0.2">
      <c r="A1411" s="5">
        <v>1350</v>
      </c>
      <c r="B1411" s="138">
        <f>'Expenditures 15-22'!D232</f>
        <v>14258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124201</v>
      </c>
      <c r="D1413" s="2" t="str">
        <f t="shared" si="21"/>
        <v>Error?</v>
      </c>
    </row>
    <row r="1414" spans="1:4" x14ac:dyDescent="0.2">
      <c r="A1414" s="5">
        <v>1353</v>
      </c>
      <c r="B1414" s="138">
        <f>'Expenditures 15-22'!D235</f>
        <v>3560</v>
      </c>
      <c r="D1414" s="2" t="str">
        <f t="shared" si="21"/>
        <v>Error?</v>
      </c>
    </row>
    <row r="1415" spans="1:4" x14ac:dyDescent="0.2">
      <c r="A1415" s="5">
        <v>1354</v>
      </c>
      <c r="B1415" s="138">
        <f>'Expenditures 15-22'!D236</f>
        <v>11818</v>
      </c>
      <c r="D1415" s="2" t="str">
        <f t="shared" si="21"/>
        <v>Error?</v>
      </c>
    </row>
    <row r="1416" spans="1:4" x14ac:dyDescent="0.2">
      <c r="A1416" s="5">
        <v>1355</v>
      </c>
      <c r="B1416" s="138">
        <f>'Expenditures 15-22'!D237</f>
        <v>2267</v>
      </c>
      <c r="D1416" s="2" t="str">
        <f t="shared" si="21"/>
        <v>Error?</v>
      </c>
    </row>
    <row r="1417" spans="1:4" x14ac:dyDescent="0.2">
      <c r="A1417" s="5">
        <v>1356</v>
      </c>
      <c r="B1417" s="138">
        <f>'Expenditures 15-22'!D238</f>
        <v>156104</v>
      </c>
      <c r="C1417" s="2" t="s">
        <v>594</v>
      </c>
      <c r="D1417" s="2" t="str">
        <f t="shared" si="21"/>
        <v>Error?</v>
      </c>
    </row>
    <row r="1418" spans="1:4" x14ac:dyDescent="0.2">
      <c r="A1418" s="5">
        <v>1357</v>
      </c>
      <c r="B1418" s="138">
        <f>'Expenditures 15-22'!D240</f>
        <v>17163</v>
      </c>
      <c r="D1418" s="2" t="str">
        <f t="shared" si="21"/>
        <v>Error?</v>
      </c>
    </row>
    <row r="1419" spans="1:4" x14ac:dyDescent="0.2">
      <c r="A1419" s="5">
        <v>1358</v>
      </c>
      <c r="B1419" s="138">
        <f>'Expenditures 15-22'!D241</f>
        <v>29550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46713</v>
      </c>
      <c r="C1421" s="2" t="s">
        <v>594</v>
      </c>
      <c r="D1421" s="2" t="str">
        <f t="shared" si="21"/>
        <v>Error?</v>
      </c>
    </row>
    <row r="1422" spans="1:4" x14ac:dyDescent="0.2">
      <c r="A1422" s="5">
        <v>1361</v>
      </c>
      <c r="B1422" s="138">
        <f>'Expenditures 15-22'!D245</f>
        <v>4613</v>
      </c>
      <c r="D1422" s="2" t="str">
        <f t="shared" si="21"/>
        <v>Error?</v>
      </c>
    </row>
    <row r="1423" spans="1:4" x14ac:dyDescent="0.2">
      <c r="A1423" s="5">
        <v>1362</v>
      </c>
      <c r="B1423" s="138">
        <f>'Expenditures 15-22'!D246</f>
        <v>17431</v>
      </c>
      <c r="D1423" s="2" t="str">
        <f t="shared" si="21"/>
        <v>Error?</v>
      </c>
    </row>
    <row r="1424" spans="1:4" x14ac:dyDescent="0.2">
      <c r="A1424" s="5">
        <v>1363</v>
      </c>
      <c r="B1424" s="138">
        <f>'Expenditures 15-22'!D257</f>
        <v>47886</v>
      </c>
      <c r="C1424" s="2" t="s">
        <v>594</v>
      </c>
      <c r="D1424" s="2" t="str">
        <f t="shared" si="21"/>
        <v>Error?</v>
      </c>
    </row>
    <row r="1425" spans="1:4" x14ac:dyDescent="0.2">
      <c r="A1425" s="5">
        <v>1364</v>
      </c>
      <c r="B1425" s="138">
        <f>'Expenditures 15-22'!D259</f>
        <v>229438</v>
      </c>
      <c r="D1425" s="2" t="str">
        <f t="shared" si="21"/>
        <v>Error?</v>
      </c>
    </row>
    <row r="1426" spans="1:4" x14ac:dyDescent="0.2">
      <c r="A1426" s="5">
        <v>1365</v>
      </c>
      <c r="B1426" s="138">
        <f>'Expenditures 15-22'!D260</f>
        <v>15140</v>
      </c>
      <c r="D1426" s="2" t="str">
        <f t="shared" si="21"/>
        <v>Error?</v>
      </c>
    </row>
    <row r="1427" spans="1:4" x14ac:dyDescent="0.2">
      <c r="A1427" s="5">
        <v>1366</v>
      </c>
      <c r="B1427" s="138">
        <f>'Expenditures 15-22'!D261</f>
        <v>244578</v>
      </c>
      <c r="C1427" s="2" t="s">
        <v>594</v>
      </c>
      <c r="D1427" s="2" t="str">
        <f t="shared" si="21"/>
        <v>Error?</v>
      </c>
    </row>
    <row r="1428" spans="1:4" x14ac:dyDescent="0.2">
      <c r="A1428" s="5">
        <v>1367</v>
      </c>
      <c r="B1428" s="138">
        <f>'Expenditures 15-22'!D263</f>
        <v>39346</v>
      </c>
      <c r="D1428" s="2" t="str">
        <f t="shared" si="21"/>
        <v>Error?</v>
      </c>
    </row>
    <row r="1429" spans="1:4" x14ac:dyDescent="0.2">
      <c r="A1429" s="5">
        <v>1368</v>
      </c>
      <c r="B1429" s="138">
        <f>'Expenditures 15-22'!D264</f>
        <v>72597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725801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23104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860848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66103</v>
      </c>
      <c r="D1440" s="2" t="str">
        <f t="shared" si="21"/>
        <v>Error?</v>
      </c>
    </row>
    <row r="1441" spans="1:4" x14ac:dyDescent="0.2">
      <c r="A1441" s="10">
        <v>1380</v>
      </c>
      <c r="D1441" s="2" t="str">
        <f t="shared" si="21"/>
        <v>OK</v>
      </c>
    </row>
    <row r="1442" spans="1:4" x14ac:dyDescent="0.2">
      <c r="A1442" s="5">
        <v>1381</v>
      </c>
      <c r="B1442" s="138">
        <f>'Expenditures 15-22'!D276</f>
        <v>164286</v>
      </c>
      <c r="D1442" s="2" t="str">
        <f t="shared" si="21"/>
        <v>Error?</v>
      </c>
    </row>
    <row r="1443" spans="1:4" x14ac:dyDescent="0.2">
      <c r="A1443" s="10">
        <v>1382</v>
      </c>
      <c r="D1443" s="2" t="str">
        <f t="shared" si="21"/>
        <v>OK</v>
      </c>
    </row>
    <row r="1444" spans="1:4" x14ac:dyDescent="0.2">
      <c r="A1444" s="5">
        <v>1383</v>
      </c>
      <c r="B1444" s="138">
        <f>'Expenditures 15-22'!D277</f>
        <v>230389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1586518</v>
      </c>
      <c r="C1446" s="2" t="s">
        <v>594</v>
      </c>
      <c r="D1446" s="2" t="str">
        <f t="shared" si="21"/>
        <v>Error?</v>
      </c>
    </row>
    <row r="1447" spans="1:4" x14ac:dyDescent="0.2">
      <c r="A1447" s="5">
        <v>1386</v>
      </c>
      <c r="B1447" s="138">
        <f>'Expenditures 15-22'!D280</f>
        <v>752</v>
      </c>
      <c r="D1447" s="2" t="str">
        <f t="shared" si="21"/>
        <v>Error?</v>
      </c>
    </row>
    <row r="1448" spans="1:4" x14ac:dyDescent="0.2">
      <c r="A1448" s="5">
        <v>1387</v>
      </c>
      <c r="B1448" s="138">
        <f>'Expenditures 15-22'!D295</f>
        <v>2383461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6867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12678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37893</v>
      </c>
      <c r="C1472" s="2" t="s">
        <v>594</v>
      </c>
      <c r="D1472" s="2" t="str">
        <f t="shared" si="22"/>
        <v>Error?</v>
      </c>
    </row>
    <row r="1473" spans="1:4" x14ac:dyDescent="0.2">
      <c r="A1473" s="5">
        <v>1412</v>
      </c>
      <c r="B1473" s="138">
        <f>'Expenditures 15-22'!K224</f>
        <v>3594</v>
      </c>
      <c r="C1473" s="2" t="s">
        <v>594</v>
      </c>
      <c r="D1473" s="2" t="str">
        <f t="shared" si="22"/>
        <v>Error?</v>
      </c>
    </row>
    <row r="1474" spans="1:4" x14ac:dyDescent="0.2">
      <c r="A1474" s="5">
        <v>1413</v>
      </c>
      <c r="B1474" s="138">
        <f>'Expenditures 15-22'!K229</f>
        <v>796191</v>
      </c>
      <c r="C1474" s="2" t="s">
        <v>594</v>
      </c>
      <c r="D1474" s="2" t="str">
        <f t="shared" si="22"/>
        <v>Error?</v>
      </c>
    </row>
    <row r="1475" spans="1:4" x14ac:dyDescent="0.2">
      <c r="A1475" s="5">
        <v>1414</v>
      </c>
      <c r="B1475" s="138">
        <f>'Expenditures 15-22'!K232</f>
        <v>14258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124201</v>
      </c>
      <c r="C1477" s="2" t="s">
        <v>594</v>
      </c>
      <c r="D1477" s="2" t="str">
        <f t="shared" si="22"/>
        <v>Error?</v>
      </c>
    </row>
    <row r="1478" spans="1:4" x14ac:dyDescent="0.2">
      <c r="A1478" s="5">
        <v>1417</v>
      </c>
      <c r="B1478" s="138">
        <f>'Expenditures 15-22'!K235</f>
        <v>3560</v>
      </c>
      <c r="C1478" s="2" t="s">
        <v>594</v>
      </c>
      <c r="D1478" s="2" t="str">
        <f t="shared" si="22"/>
        <v>Error?</v>
      </c>
    </row>
    <row r="1479" spans="1:4" x14ac:dyDescent="0.2">
      <c r="A1479" s="5">
        <v>1418</v>
      </c>
      <c r="B1479" s="138">
        <f>'Expenditures 15-22'!K236</f>
        <v>11818</v>
      </c>
      <c r="C1479" s="2" t="s">
        <v>594</v>
      </c>
      <c r="D1479" s="2" t="str">
        <f t="shared" si="22"/>
        <v>Error?</v>
      </c>
    </row>
    <row r="1480" spans="1:4" x14ac:dyDescent="0.2">
      <c r="A1480" s="5">
        <v>1419</v>
      </c>
      <c r="B1480" s="138">
        <f>'Expenditures 15-22'!K237</f>
        <v>2267</v>
      </c>
      <c r="C1480" s="2" t="s">
        <v>594</v>
      </c>
      <c r="D1480" s="2" t="str">
        <f t="shared" si="22"/>
        <v>Error?</v>
      </c>
    </row>
    <row r="1481" spans="1:4" x14ac:dyDescent="0.2">
      <c r="A1481" s="5">
        <v>1420</v>
      </c>
      <c r="B1481" s="138">
        <f>'Expenditures 15-22'!K238</f>
        <v>156104</v>
      </c>
      <c r="C1481" s="2" t="s">
        <v>594</v>
      </c>
      <c r="D1481" s="2" t="str">
        <f t="shared" si="22"/>
        <v>Error?</v>
      </c>
    </row>
    <row r="1482" spans="1:4" x14ac:dyDescent="0.2">
      <c r="A1482" s="5">
        <v>1421</v>
      </c>
      <c r="B1482" s="138">
        <f>'Expenditures 15-22'!K240</f>
        <v>17163</v>
      </c>
      <c r="C1482" s="2" t="s">
        <v>594</v>
      </c>
      <c r="D1482" s="2" t="str">
        <f t="shared" si="22"/>
        <v>Error?</v>
      </c>
    </row>
    <row r="1483" spans="1:4" x14ac:dyDescent="0.2">
      <c r="A1483" s="5">
        <v>1422</v>
      </c>
      <c r="B1483" s="138">
        <f>'Expenditures 15-22'!K241</f>
        <v>29550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46713</v>
      </c>
      <c r="C1485" s="2" t="s">
        <v>594</v>
      </c>
      <c r="D1485" s="2" t="str">
        <f t="shared" si="22"/>
        <v>Error?</v>
      </c>
    </row>
    <row r="1486" spans="1:4" x14ac:dyDescent="0.2">
      <c r="A1486" s="5">
        <v>1425</v>
      </c>
      <c r="B1486" s="138">
        <f>'Expenditures 15-22'!K245</f>
        <v>4613</v>
      </c>
      <c r="C1486" s="2" t="s">
        <v>594</v>
      </c>
      <c r="D1486" s="2" t="str">
        <f t="shared" si="22"/>
        <v>Error?</v>
      </c>
    </row>
    <row r="1487" spans="1:4" x14ac:dyDescent="0.2">
      <c r="A1487" s="5">
        <v>1426</v>
      </c>
      <c r="B1487" s="138">
        <f>'Expenditures 15-22'!K246</f>
        <v>17431</v>
      </c>
      <c r="C1487" s="2" t="s">
        <v>594</v>
      </c>
      <c r="D1487" s="2" t="str">
        <f t="shared" si="22"/>
        <v>Error?</v>
      </c>
    </row>
    <row r="1488" spans="1:4" x14ac:dyDescent="0.2">
      <c r="A1488" s="5">
        <v>1427</v>
      </c>
      <c r="B1488" s="138">
        <f>'Expenditures 15-22'!K257</f>
        <v>47886</v>
      </c>
      <c r="C1488" s="2" t="s">
        <v>594</v>
      </c>
      <c r="D1488" s="2" t="str">
        <f t="shared" si="22"/>
        <v>Error?</v>
      </c>
    </row>
    <row r="1489" spans="1:4" x14ac:dyDescent="0.2">
      <c r="A1489" s="5">
        <v>1428</v>
      </c>
      <c r="B1489" s="138">
        <f>'Expenditures 15-22'!K259</f>
        <v>229438</v>
      </c>
      <c r="C1489" s="2" t="s">
        <v>594</v>
      </c>
      <c r="D1489" s="2" t="str">
        <f t="shared" si="22"/>
        <v>Error?</v>
      </c>
    </row>
    <row r="1490" spans="1:4" x14ac:dyDescent="0.2">
      <c r="A1490" s="5">
        <v>1429</v>
      </c>
      <c r="B1490" s="138">
        <f>'Expenditures 15-22'!K260</f>
        <v>15140</v>
      </c>
      <c r="C1490" s="2" t="s">
        <v>594</v>
      </c>
      <c r="D1490" s="2" t="str">
        <f t="shared" si="22"/>
        <v>Error?</v>
      </c>
    </row>
    <row r="1491" spans="1:4" x14ac:dyDescent="0.2">
      <c r="A1491" s="5">
        <v>1430</v>
      </c>
      <c r="B1491" s="138">
        <f>'Expenditures 15-22'!K261</f>
        <v>244578</v>
      </c>
      <c r="C1491" s="2" t="s">
        <v>594</v>
      </c>
      <c r="D1491" s="2" t="str">
        <f t="shared" si="22"/>
        <v>Error?</v>
      </c>
    </row>
    <row r="1492" spans="1:4" x14ac:dyDescent="0.2">
      <c r="A1492" s="5">
        <v>1431</v>
      </c>
      <c r="B1492" s="138">
        <f>'Expenditures 15-22'!K263</f>
        <v>39346</v>
      </c>
      <c r="C1492" s="2" t="s">
        <v>594</v>
      </c>
      <c r="D1492" s="2" t="str">
        <f t="shared" si="22"/>
        <v>Error?</v>
      </c>
    </row>
    <row r="1493" spans="1:4" x14ac:dyDescent="0.2">
      <c r="A1493" s="5">
        <v>1432</v>
      </c>
      <c r="B1493" s="138">
        <f>'Expenditures 15-22'!K264</f>
        <v>72597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725801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23104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860848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66103</v>
      </c>
      <c r="C1504" s="2" t="s">
        <v>594</v>
      </c>
      <c r="D1504" s="2" t="str">
        <f t="shared" si="22"/>
        <v>Error?</v>
      </c>
    </row>
    <row r="1505" spans="1:4" x14ac:dyDescent="0.2">
      <c r="A1505" s="10">
        <v>1444</v>
      </c>
      <c r="D1505" s="2" t="str">
        <f t="shared" si="22"/>
        <v>OK</v>
      </c>
    </row>
    <row r="1506" spans="1:4" x14ac:dyDescent="0.2">
      <c r="A1506" s="5">
        <v>1445</v>
      </c>
      <c r="B1506" s="138">
        <f>'Expenditures 15-22'!K276</f>
        <v>164286</v>
      </c>
      <c r="C1506" s="2" t="s">
        <v>594</v>
      </c>
      <c r="D1506" s="2" t="str">
        <f t="shared" si="22"/>
        <v>Error?</v>
      </c>
    </row>
    <row r="1507" spans="1:4" x14ac:dyDescent="0.2">
      <c r="A1507" s="10">
        <v>1446</v>
      </c>
      <c r="D1507" s="2" t="str">
        <f t="shared" si="22"/>
        <v>OK</v>
      </c>
    </row>
    <row r="1508" spans="1:4" x14ac:dyDescent="0.2">
      <c r="A1508" s="5">
        <v>1447</v>
      </c>
      <c r="B1508" s="138">
        <f>'Expenditures 15-22'!K277</f>
        <v>230389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1586518</v>
      </c>
      <c r="C1510" s="2" t="s">
        <v>594</v>
      </c>
      <c r="D1510" s="2" t="str">
        <f t="shared" si="22"/>
        <v>Error?</v>
      </c>
    </row>
    <row r="1511" spans="1:4" x14ac:dyDescent="0.2">
      <c r="A1511" s="5">
        <v>1450</v>
      </c>
      <c r="B1511" s="138">
        <f>'Expenditures 15-22'!K280</f>
        <v>752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2383461</v>
      </c>
      <c r="C1517" s="2" t="s">
        <v>594</v>
      </c>
      <c r="D1517" s="2" t="str">
        <f t="shared" si="22"/>
        <v>Error?</v>
      </c>
    </row>
    <row r="1518" spans="1:4" x14ac:dyDescent="0.2">
      <c r="A1518" s="5">
        <v>1457</v>
      </c>
      <c r="B1518" s="138">
        <f>'Expenditures 15-22'!K296</f>
        <v>72395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6165393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6165393</v>
      </c>
      <c r="C1547" s="2" t="s">
        <v>594</v>
      </c>
      <c r="D1547" s="2" t="str">
        <f t="shared" si="23"/>
        <v>Error?</v>
      </c>
    </row>
    <row r="1548" spans="1:4" x14ac:dyDescent="0.2">
      <c r="A1548" s="5">
        <v>1487</v>
      </c>
      <c r="B1548" s="138">
        <f>'Expenditures 15-22'!G312</f>
        <v>6165393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6165393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6165393</v>
      </c>
      <c r="C1559" s="2" t="s">
        <v>594</v>
      </c>
      <c r="D1559" s="2" t="str">
        <f t="shared" si="23"/>
        <v>Error?</v>
      </c>
    </row>
    <row r="1560" spans="1:4" x14ac:dyDescent="0.2">
      <c r="A1560" s="5">
        <v>1499</v>
      </c>
      <c r="B1560" s="138">
        <f>'Expenditures 15-22'!K312</f>
        <v>6165393</v>
      </c>
      <c r="C1560" s="2" t="s">
        <v>594</v>
      </c>
      <c r="D1560" s="2" t="str">
        <f t="shared" si="23"/>
        <v>Error?</v>
      </c>
    </row>
    <row r="1561" spans="1:4" x14ac:dyDescent="0.2">
      <c r="A1561" s="5">
        <v>1500</v>
      </c>
      <c r="B1561" s="138">
        <f>'Expenditures 15-22'!K313</f>
        <v>2131001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30091971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32821120</v>
      </c>
      <c r="C1630" s="2" t="s">
        <v>594</v>
      </c>
      <c r="D1630" s="2" t="str">
        <f t="shared" si="24"/>
        <v>Error?</v>
      </c>
    </row>
    <row r="1631" spans="1:4" x14ac:dyDescent="0.2">
      <c r="A1631" s="5">
        <v>1570</v>
      </c>
      <c r="B1631" s="138">
        <f>'Acct Summary 7-8'!D79</f>
        <v>3528547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3920452</v>
      </c>
      <c r="C1644" s="2" t="s">
        <v>594</v>
      </c>
      <c r="D1644" s="2" t="str">
        <f t="shared" si="24"/>
        <v>Error?</v>
      </c>
    </row>
    <row r="1645" spans="1:4" x14ac:dyDescent="0.2">
      <c r="A1645" s="5">
        <v>1584</v>
      </c>
      <c r="B1645" s="138">
        <f>'Acct Summary 7-8'!E79</f>
        <v>3070718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3161270</v>
      </c>
      <c r="C1658" s="2" t="s">
        <v>594</v>
      </c>
      <c r="D1658" s="2" t="str">
        <f t="shared" si="24"/>
        <v>Error?</v>
      </c>
    </row>
    <row r="1659" spans="1:4" x14ac:dyDescent="0.2">
      <c r="A1659" s="5">
        <v>1598</v>
      </c>
      <c r="B1659" s="138">
        <f>'Acct Summary 7-8'!F79</f>
        <v>2141609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2433603</v>
      </c>
      <c r="C1672" s="2" t="s">
        <v>594</v>
      </c>
      <c r="D1672" s="2" t="str">
        <f t="shared" si="25"/>
        <v>Error?</v>
      </c>
    </row>
    <row r="1673" spans="1:4" x14ac:dyDescent="0.2">
      <c r="A1673" s="5">
        <v>1612</v>
      </c>
      <c r="B1673" s="138">
        <f>'Acct Summary 7-8'!G79</f>
        <v>3459833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3532228</v>
      </c>
      <c r="C1686" s="2" t="s">
        <v>594</v>
      </c>
      <c r="D1686" s="2" t="str">
        <f t="shared" si="25"/>
        <v>Error?</v>
      </c>
    </row>
    <row r="1687" spans="1:4" x14ac:dyDescent="0.2">
      <c r="A1687" s="5">
        <v>1626</v>
      </c>
      <c r="B1687" s="138">
        <f>'Acct Summary 7-8'!H79</f>
        <v>1347538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25681966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27888405</v>
      </c>
      <c r="C1744" s="2" t="s">
        <v>594</v>
      </c>
      <c r="D1744" s="2" t="str">
        <f t="shared" si="26"/>
        <v>Error?</v>
      </c>
    </row>
    <row r="1745" spans="1:5" x14ac:dyDescent="0.2">
      <c r="A1745" s="5">
        <v>1684</v>
      </c>
      <c r="B1745" s="138">
        <f>'Tax Sched 23'!B5</f>
        <v>6396424</v>
      </c>
      <c r="C1745" s="2" t="s">
        <v>594</v>
      </c>
      <c r="D1745" s="2" t="str">
        <f t="shared" si="26"/>
        <v>Error?</v>
      </c>
    </row>
    <row r="1746" spans="1:5" x14ac:dyDescent="0.2">
      <c r="A1746" s="5">
        <v>1685</v>
      </c>
      <c r="B1746" s="138">
        <f>'Tax Sched 23'!B6</f>
        <v>3845831</v>
      </c>
      <c r="C1746" s="2" t="s">
        <v>594</v>
      </c>
      <c r="D1746" s="2" t="str">
        <f t="shared" si="26"/>
        <v>Error?</v>
      </c>
    </row>
    <row r="1747" spans="1:5" x14ac:dyDescent="0.2">
      <c r="A1747" s="5">
        <v>1686</v>
      </c>
      <c r="B1747" s="138">
        <f>'Tax Sched 23'!B7</f>
        <v>911719</v>
      </c>
      <c r="C1747" s="2" t="s">
        <v>594</v>
      </c>
      <c r="D1747" s="2" t="str">
        <f t="shared" si="26"/>
        <v>Error?</v>
      </c>
    </row>
    <row r="1748" spans="1:5" x14ac:dyDescent="0.2">
      <c r="A1748" s="5">
        <v>1687</v>
      </c>
      <c r="B1748" s="138">
        <f>'Tax Sched 23'!B8</f>
        <v>965221</v>
      </c>
      <c r="C1748" s="2" t="s">
        <v>594</v>
      </c>
      <c r="D1748" s="2" t="str">
        <f t="shared" si="26"/>
        <v>Error?</v>
      </c>
    </row>
    <row r="1749" spans="1:5" x14ac:dyDescent="0.2">
      <c r="A1749" s="5">
        <v>1688</v>
      </c>
      <c r="B1749" s="138">
        <f>'Tax Sched 23'!B10</f>
        <v>426429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1140180</v>
      </c>
      <c r="C1752" s="2" t="s">
        <v>594</v>
      </c>
      <c r="D1752" s="2" t="str">
        <f t="shared" si="26"/>
        <v>Error?</v>
      </c>
    </row>
    <row r="1753" spans="1:5" x14ac:dyDescent="0.2">
      <c r="A1753" s="5">
        <v>1692</v>
      </c>
      <c r="B1753" s="138">
        <f>'Tax Sched 23'!B12</f>
        <v>426428</v>
      </c>
      <c r="C1753" s="2" t="s">
        <v>594</v>
      </c>
      <c r="D1753" s="2" t="str">
        <f t="shared" si="26"/>
        <v>Error?</v>
      </c>
    </row>
    <row r="1754" spans="1:5" x14ac:dyDescent="0.2">
      <c r="A1754" s="5">
        <v>1693</v>
      </c>
      <c r="B1754" s="138">
        <f>'Tax Sched 23'!B14</f>
        <v>341143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43730177</v>
      </c>
      <c r="C1759" s="2" t="s">
        <v>594</v>
      </c>
      <c r="D1759" s="2" t="str">
        <f t="shared" si="26"/>
        <v>Error?</v>
      </c>
    </row>
    <row r="1760" spans="1:5" x14ac:dyDescent="0.2">
      <c r="A1760" s="5">
        <v>1699</v>
      </c>
      <c r="B1760" s="138">
        <f>'Tax Sched 23'!D4</f>
        <v>18684861</v>
      </c>
      <c r="C1760" s="2" t="s">
        <v>594</v>
      </c>
      <c r="D1760" s="2" t="str">
        <f t="shared" si="26"/>
        <v>Error?</v>
      </c>
    </row>
    <row r="1761" spans="1:5" x14ac:dyDescent="0.2">
      <c r="A1761" s="5">
        <v>1700</v>
      </c>
      <c r="B1761" s="138">
        <f>'Tax Sched 23'!D5</f>
        <v>4285519</v>
      </c>
      <c r="C1761" s="2" t="s">
        <v>594</v>
      </c>
      <c r="D1761" s="2" t="str">
        <f t="shared" si="26"/>
        <v>Error?</v>
      </c>
    </row>
    <row r="1762" spans="1:5" s="8" customFormat="1" x14ac:dyDescent="0.2">
      <c r="A1762" s="5">
        <v>1701</v>
      </c>
      <c r="B1762" s="138">
        <f>'Tax Sched 23'!D6</f>
        <v>2585480</v>
      </c>
      <c r="C1762" s="2" t="s">
        <v>594</v>
      </c>
      <c r="D1762" s="2" t="str">
        <f t="shared" si="26"/>
        <v>Error?</v>
      </c>
      <c r="E1762" s="9"/>
    </row>
    <row r="1763" spans="1:5" x14ac:dyDescent="0.2">
      <c r="A1763" s="5">
        <v>1702</v>
      </c>
      <c r="B1763" s="138">
        <f>'Tax Sched 23'!D7</f>
        <v>664040</v>
      </c>
      <c r="C1763" s="2" t="s">
        <v>594</v>
      </c>
      <c r="D1763" s="2" t="str">
        <f t="shared" si="26"/>
        <v>Error?</v>
      </c>
    </row>
    <row r="1764" spans="1:5" x14ac:dyDescent="0.2">
      <c r="A1764" s="5">
        <v>1703</v>
      </c>
      <c r="B1764" s="138">
        <f>'Tax Sched 23'!D8</f>
        <v>637609</v>
      </c>
      <c r="C1764" s="2" t="s">
        <v>594</v>
      </c>
      <c r="D1764" s="2" t="str">
        <f t="shared" si="26"/>
        <v>Error?</v>
      </c>
    </row>
    <row r="1765" spans="1:5" x14ac:dyDescent="0.2">
      <c r="A1765" s="5">
        <v>1704</v>
      </c>
      <c r="B1765" s="138">
        <f>'Tax Sched 23'!D10</f>
        <v>285702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764158</v>
      </c>
      <c r="C1768" s="2" t="s">
        <v>594</v>
      </c>
      <c r="D1768" s="2" t="str">
        <f t="shared" si="26"/>
        <v>Error?</v>
      </c>
    </row>
    <row r="1769" spans="1:5" x14ac:dyDescent="0.2">
      <c r="A1769" s="5">
        <v>1708</v>
      </c>
      <c r="B1769" s="138">
        <f>'Tax Sched 23'!D12</f>
        <v>285701</v>
      </c>
      <c r="C1769" s="2" t="s">
        <v>594</v>
      </c>
      <c r="D1769" s="2" t="str">
        <f t="shared" si="26"/>
        <v>Error?</v>
      </c>
    </row>
    <row r="1770" spans="1:5" x14ac:dyDescent="0.2">
      <c r="A1770" s="5">
        <v>1709</v>
      </c>
      <c r="B1770" s="138">
        <f>'Tax Sched 23'!D14</f>
        <v>228561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29349569</v>
      </c>
      <c r="C1775" s="2" t="s">
        <v>594</v>
      </c>
      <c r="D1775" s="2" t="str">
        <f t="shared" si="26"/>
        <v>Error?</v>
      </c>
    </row>
    <row r="1776" spans="1:5" x14ac:dyDescent="0.2">
      <c r="A1776" s="5">
        <v>1715</v>
      </c>
      <c r="B1776" s="138">
        <f>'Tax Sched 23'!C4</f>
        <v>9203544</v>
      </c>
      <c r="D1776" s="2" t="str">
        <f t="shared" si="26"/>
        <v>Error?</v>
      </c>
    </row>
    <row r="1777" spans="1:4" x14ac:dyDescent="0.2">
      <c r="A1777" s="5">
        <v>1716</v>
      </c>
      <c r="B1777" s="138">
        <f>'Tax Sched 23'!C5</f>
        <v>2110905</v>
      </c>
      <c r="D1777" s="2" t="str">
        <f t="shared" si="26"/>
        <v>Error?</v>
      </c>
    </row>
    <row r="1778" spans="1:4" x14ac:dyDescent="0.2">
      <c r="A1778" s="5">
        <v>1717</v>
      </c>
      <c r="B1778" s="138">
        <f>'Tax Sched 23'!C6</f>
        <v>1260351</v>
      </c>
      <c r="D1778" s="2" t="str">
        <f t="shared" si="26"/>
        <v>Error?</v>
      </c>
    </row>
    <row r="1779" spans="1:4" x14ac:dyDescent="0.2">
      <c r="A1779" s="5">
        <v>1718</v>
      </c>
      <c r="B1779" s="138">
        <f>'Tax Sched 23'!C7</f>
        <v>247679</v>
      </c>
      <c r="D1779" s="2" t="str">
        <f t="shared" si="26"/>
        <v>Error?</v>
      </c>
    </row>
    <row r="1780" spans="1:4" x14ac:dyDescent="0.2">
      <c r="A1780" s="5">
        <v>1719</v>
      </c>
      <c r="B1780" s="138">
        <f>'Tax Sched 23'!C8</f>
        <v>327612</v>
      </c>
      <c r="D1780" s="2" t="str">
        <f t="shared" si="26"/>
        <v>Error?</v>
      </c>
    </row>
    <row r="1781" spans="1:4" x14ac:dyDescent="0.2">
      <c r="A1781" s="5">
        <v>1720</v>
      </c>
      <c r="B1781" s="138">
        <f>'Tax Sched 23'!C10</f>
        <v>140727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376022</v>
      </c>
      <c r="D1784" s="2" t="str">
        <f t="shared" si="26"/>
        <v>Error?</v>
      </c>
    </row>
    <row r="1785" spans="1:4" x14ac:dyDescent="0.2">
      <c r="A1785" s="5">
        <v>1724</v>
      </c>
      <c r="B1785" s="138">
        <f>'Tax Sched 23'!C12</f>
        <v>140727</v>
      </c>
      <c r="D1785" s="2" t="str">
        <f t="shared" si="26"/>
        <v>Error?</v>
      </c>
    </row>
    <row r="1786" spans="1:4" x14ac:dyDescent="0.2">
      <c r="A1786" s="5">
        <v>1725</v>
      </c>
      <c r="B1786" s="138">
        <f>'Tax Sched 23'!C14</f>
        <v>112582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14380608</v>
      </c>
      <c r="C1791" s="2" t="s">
        <v>594</v>
      </c>
      <c r="D1791" s="2" t="str">
        <f t="shared" ref="D1791:D1854" si="27">IF(ISBLANK(B1791),"OK",IF(A1791-B1791=0,"OK","Error?"))</f>
        <v>Error?</v>
      </c>
    </row>
    <row r="1792" spans="1:4" x14ac:dyDescent="0.2">
      <c r="A1792" s="5">
        <v>1731</v>
      </c>
      <c r="B1792" s="138">
        <f>'Tax Sched 23'!F4</f>
        <v>18748555</v>
      </c>
      <c r="C1792" s="2" t="s">
        <v>594</v>
      </c>
      <c r="D1792" s="2" t="str">
        <f t="shared" si="27"/>
        <v>Error?</v>
      </c>
    </row>
    <row r="1793" spans="1:4" x14ac:dyDescent="0.2">
      <c r="A1793" s="5">
        <v>1732</v>
      </c>
      <c r="B1793" s="138">
        <f>'Tax Sched 23'!F5</f>
        <v>4300127</v>
      </c>
      <c r="C1793" s="2" t="s">
        <v>594</v>
      </c>
      <c r="D1793" s="2" t="str">
        <f t="shared" si="27"/>
        <v>Error?</v>
      </c>
    </row>
    <row r="1794" spans="1:4" x14ac:dyDescent="0.2">
      <c r="A1794" s="5">
        <v>1733</v>
      </c>
      <c r="B1794" s="138">
        <f>'Tax Sched 23'!F6</f>
        <v>2567462</v>
      </c>
      <c r="C1794" s="2" t="s">
        <v>594</v>
      </c>
      <c r="D1794" s="2" t="str">
        <f t="shared" si="27"/>
        <v>Error?</v>
      </c>
    </row>
    <row r="1795" spans="1:4" x14ac:dyDescent="0.2">
      <c r="A1795" s="5">
        <v>1734</v>
      </c>
      <c r="B1795" s="138">
        <f>'Tax Sched 23'!F7</f>
        <v>504549</v>
      </c>
      <c r="C1795" s="2" t="s">
        <v>594</v>
      </c>
      <c r="D1795" s="2" t="str">
        <f t="shared" si="27"/>
        <v>Error?</v>
      </c>
    </row>
    <row r="1796" spans="1:4" x14ac:dyDescent="0.2">
      <c r="A1796" s="5">
        <v>1735</v>
      </c>
      <c r="B1796" s="138">
        <f>'Tax Sched 23'!F8</f>
        <v>667380</v>
      </c>
      <c r="C1796" s="2" t="s">
        <v>594</v>
      </c>
      <c r="D1796" s="2" t="str">
        <f t="shared" si="27"/>
        <v>Error?</v>
      </c>
    </row>
    <row r="1797" spans="1:4" x14ac:dyDescent="0.2">
      <c r="A1797" s="5">
        <v>1736</v>
      </c>
      <c r="B1797" s="138">
        <f>'Tax Sched 23'!F10</f>
        <v>286675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765996</v>
      </c>
      <c r="C1800" s="2" t="s">
        <v>594</v>
      </c>
      <c r="D1800" s="2" t="str">
        <f t="shared" si="27"/>
        <v>Error?</v>
      </c>
    </row>
    <row r="1801" spans="1:4" x14ac:dyDescent="0.2">
      <c r="A1801" s="5">
        <v>1740</v>
      </c>
      <c r="B1801" s="138">
        <f>'Tax Sched 23'!F12</f>
        <v>286675</v>
      </c>
      <c r="C1801" s="2" t="s">
        <v>594</v>
      </c>
      <c r="D1801" s="2" t="str">
        <f t="shared" si="27"/>
        <v>Error?</v>
      </c>
    </row>
    <row r="1802" spans="1:4" x14ac:dyDescent="0.2">
      <c r="A1802" s="5">
        <v>1741</v>
      </c>
      <c r="B1802" s="138">
        <f>'Tax Sched 23'!F14</f>
        <v>229340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29294760</v>
      </c>
      <c r="C1807" s="2" t="s">
        <v>594</v>
      </c>
      <c r="D1807" s="2" t="str">
        <f t="shared" si="27"/>
        <v>Error?</v>
      </c>
    </row>
    <row r="1808" spans="1:4" x14ac:dyDescent="0.2">
      <c r="A1808" s="5">
        <v>1747</v>
      </c>
      <c r="B1808" s="138">
        <f>'Tax Sched 23'!E4</f>
        <v>27952099</v>
      </c>
      <c r="D1808" s="2" t="str">
        <f t="shared" si="27"/>
        <v>Error?</v>
      </c>
    </row>
    <row r="1809" spans="1:4" x14ac:dyDescent="0.2">
      <c r="A1809" s="5">
        <v>1748</v>
      </c>
      <c r="B1809" s="138">
        <f>'Tax Sched 23'!E5</f>
        <v>6411032</v>
      </c>
      <c r="D1809" s="2" t="str">
        <f t="shared" si="27"/>
        <v>Error?</v>
      </c>
    </row>
    <row r="1810" spans="1:4" x14ac:dyDescent="0.2">
      <c r="A1810" s="5">
        <v>1749</v>
      </c>
      <c r="B1810" s="138">
        <f>'Tax Sched 23'!E6</f>
        <v>3827813</v>
      </c>
      <c r="D1810" s="2" t="str">
        <f t="shared" si="27"/>
        <v>Error?</v>
      </c>
    </row>
    <row r="1811" spans="1:4" x14ac:dyDescent="0.2">
      <c r="A1811" s="5">
        <v>1750</v>
      </c>
      <c r="B1811" s="138">
        <f>'Tax Sched 23'!E7</f>
        <v>752228</v>
      </c>
      <c r="D1811" s="2" t="str">
        <f t="shared" si="27"/>
        <v>Error?</v>
      </c>
    </row>
    <row r="1812" spans="1:4" x14ac:dyDescent="0.2">
      <c r="A1812" s="5">
        <v>1751</v>
      </c>
      <c r="B1812" s="138">
        <f>'Tax Sched 23'!E8</f>
        <v>994992</v>
      </c>
      <c r="D1812" s="2" t="str">
        <f t="shared" si="27"/>
        <v>Error?</v>
      </c>
    </row>
    <row r="1813" spans="1:4" x14ac:dyDescent="0.2">
      <c r="A1813" s="5">
        <v>1752</v>
      </c>
      <c r="B1813" s="138">
        <f>'Tax Sched 23'!E10</f>
        <v>427402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1142018</v>
      </c>
      <c r="D1816" s="2" t="str">
        <f t="shared" si="27"/>
        <v>Error?</v>
      </c>
    </row>
    <row r="1817" spans="1:4" x14ac:dyDescent="0.2">
      <c r="A1817" s="5">
        <v>1756</v>
      </c>
      <c r="B1817" s="138">
        <f>'Tax Sched 23'!E12</f>
        <v>427402</v>
      </c>
      <c r="D1817" s="2" t="str">
        <f t="shared" si="27"/>
        <v>Error?</v>
      </c>
    </row>
    <row r="1818" spans="1:4" x14ac:dyDescent="0.2">
      <c r="A1818" s="5">
        <v>1757</v>
      </c>
      <c r="B1818" s="138">
        <f>'Tax Sched 23'!E14</f>
        <v>341922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43675368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20864652</v>
      </c>
      <c r="C1939" s="2" t="s">
        <v>594</v>
      </c>
      <c r="D1939" s="2" t="str">
        <f t="shared" si="29"/>
        <v>Error?</v>
      </c>
    </row>
    <row r="1940" spans="1:5" x14ac:dyDescent="0.2">
      <c r="A1940" s="5">
        <v>1879</v>
      </c>
      <c r="B1940" s="138">
        <f>'Short-Term Long-Term Debt 24'!F49</f>
        <v>25001000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1135499</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8531064</v>
      </c>
      <c r="D2010" s="2" t="str">
        <f t="shared" si="30"/>
        <v>Error?</v>
      </c>
    </row>
    <row r="2011" spans="1:4" x14ac:dyDescent="0.2">
      <c r="A2011" s="5">
        <v>1950</v>
      </c>
      <c r="B2011" s="138">
        <f>'Cap Outlay Deprec 26'!C12</f>
        <v>2676614</v>
      </c>
      <c r="D2011" s="2" t="str">
        <f t="shared" si="30"/>
        <v>Error?</v>
      </c>
    </row>
    <row r="2012" spans="1:4" x14ac:dyDescent="0.2">
      <c r="A2012" s="5">
        <v>1951</v>
      </c>
      <c r="B2012" s="138">
        <f>'Cap Outlay Deprec 26'!C13</f>
        <v>2506080</v>
      </c>
      <c r="D2012" s="2" t="str">
        <f t="shared" si="30"/>
        <v>Error?</v>
      </c>
    </row>
    <row r="2013" spans="1:4" x14ac:dyDescent="0.2">
      <c r="A2013" s="5">
        <v>1952</v>
      </c>
      <c r="B2013" s="138">
        <f>'Cap Outlay Deprec 26'!C16</f>
        <v>125751222</v>
      </c>
      <c r="C2013" s="2" t="s">
        <v>594</v>
      </c>
      <c r="D2013" s="2" t="str">
        <f t="shared" si="30"/>
        <v>Error?</v>
      </c>
    </row>
    <row r="2014" spans="1:4" x14ac:dyDescent="0.2">
      <c r="A2014" s="5">
        <v>1953</v>
      </c>
      <c r="B2014" s="138">
        <f>'Cap Outlay Deprec 26'!D5</f>
        <v>3644</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88334</v>
      </c>
      <c r="D2016" s="2" t="str">
        <f t="shared" si="30"/>
        <v>Error?</v>
      </c>
    </row>
    <row r="2017" spans="1:4" x14ac:dyDescent="0.2">
      <c r="A2017" s="5">
        <v>1956</v>
      </c>
      <c r="B2017" s="138">
        <f>'Cap Outlay Deprec 26'!D12</f>
        <v>50412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11776204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31087</v>
      </c>
      <c r="D2023" s="2" t="str">
        <f t="shared" si="30"/>
        <v>Error?</v>
      </c>
    </row>
    <row r="2024" spans="1:4" x14ac:dyDescent="0.2">
      <c r="A2024" s="5">
        <v>1963</v>
      </c>
      <c r="B2024" s="138">
        <f>'Cap Outlay Deprec 26'!E13</f>
        <v>151337</v>
      </c>
      <c r="D2024" s="2" t="str">
        <f t="shared" si="30"/>
        <v>Error?</v>
      </c>
    </row>
    <row r="2025" spans="1:4" x14ac:dyDescent="0.2">
      <c r="A2025" s="5">
        <v>1964</v>
      </c>
      <c r="B2025" s="138">
        <f>'Cap Outlay Deprec 26'!E16</f>
        <v>433130</v>
      </c>
      <c r="C2025" s="2" t="s">
        <v>594</v>
      </c>
      <c r="D2025" s="2" t="str">
        <f t="shared" si="30"/>
        <v>Error?</v>
      </c>
    </row>
    <row r="2026" spans="1:4" x14ac:dyDescent="0.2">
      <c r="A2026" s="5">
        <v>1965</v>
      </c>
      <c r="B2026" s="138">
        <f>'Cap Outlay Deprec 26'!F5</f>
        <v>1139143</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8619398</v>
      </c>
      <c r="C2028" s="2" t="s">
        <v>594</v>
      </c>
      <c r="D2028" s="2" t="str">
        <f t="shared" si="30"/>
        <v>Error?</v>
      </c>
    </row>
    <row r="2029" spans="1:4" x14ac:dyDescent="0.2">
      <c r="A2029" s="5">
        <v>1968</v>
      </c>
      <c r="B2029" s="138">
        <f>'Cap Outlay Deprec 26'!F12</f>
        <v>2695939</v>
      </c>
      <c r="C2029" s="2" t="s">
        <v>594</v>
      </c>
      <c r="D2029" s="2" t="str">
        <f t="shared" si="30"/>
        <v>Error?</v>
      </c>
    </row>
    <row r="2030" spans="1:4" x14ac:dyDescent="0.2">
      <c r="A2030" s="5">
        <v>1969</v>
      </c>
      <c r="B2030" s="138">
        <f>'Cap Outlay Deprec 26'!F13</f>
        <v>2354743</v>
      </c>
      <c r="C2030" s="2" t="s">
        <v>594</v>
      </c>
      <c r="D2030" s="2" t="str">
        <f t="shared" si="30"/>
        <v>Error?</v>
      </c>
    </row>
    <row r="2031" spans="1:4" x14ac:dyDescent="0.2">
      <c r="A2031" s="5">
        <v>1970</v>
      </c>
      <c r="B2031" s="138">
        <f>'Cap Outlay Deprec 26'!F16</f>
        <v>137094296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5889602</v>
      </c>
      <c r="D2034" s="2" t="str">
        <f t="shared" si="30"/>
        <v>Error?</v>
      </c>
    </row>
    <row r="2035" spans="1:4" x14ac:dyDescent="0.2">
      <c r="A2035" s="5">
        <v>1974</v>
      </c>
      <c r="B2035" s="138">
        <f>'Cap Outlay Deprec 26'!H12</f>
        <v>2315960</v>
      </c>
      <c r="D2035" s="2" t="str">
        <f t="shared" si="30"/>
        <v>Error?</v>
      </c>
    </row>
    <row r="2036" spans="1:4" x14ac:dyDescent="0.2">
      <c r="A2036" s="5">
        <v>1975</v>
      </c>
      <c r="B2036" s="138">
        <f>'Cap Outlay Deprec 26'!H13</f>
        <v>2192315</v>
      </c>
      <c r="D2036" s="2" t="str">
        <f t="shared" si="30"/>
        <v>Error?</v>
      </c>
    </row>
    <row r="2037" spans="1:4" x14ac:dyDescent="0.2">
      <c r="A2037" s="5">
        <v>1976</v>
      </c>
      <c r="B2037" s="138">
        <f>'Cap Outlay Deprec 26'!H16</f>
        <v>44588464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312287</v>
      </c>
      <c r="D2040" s="2" t="str">
        <f t="shared" si="30"/>
        <v>Error?</v>
      </c>
    </row>
    <row r="2041" spans="1:4" x14ac:dyDescent="0.2">
      <c r="A2041" s="5">
        <v>1980</v>
      </c>
      <c r="B2041" s="138">
        <f>'Cap Outlay Deprec 26'!I12</f>
        <v>160735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2688121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31087</v>
      </c>
      <c r="D2047" s="2" t="str">
        <f t="shared" ref="D2047:D2110" si="31">IF(ISBLANK(B2047),"OK",IF(A2047-B2047=0,"OK","Error?"))</f>
        <v>Error?</v>
      </c>
    </row>
    <row r="2048" spans="1:4" x14ac:dyDescent="0.2">
      <c r="A2048" s="5">
        <v>1987</v>
      </c>
      <c r="B2048" s="138">
        <f>'Cap Outlay Deprec 26'!J13</f>
        <v>24401</v>
      </c>
      <c r="D2048" s="2" t="str">
        <f t="shared" si="31"/>
        <v>Error?</v>
      </c>
    </row>
    <row r="2049" spans="1:4" x14ac:dyDescent="0.2">
      <c r="A2049" s="5">
        <v>1988</v>
      </c>
      <c r="B2049" s="138">
        <f>'Cap Outlay Deprec 26'!J16</f>
        <v>55488</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6201889</v>
      </c>
      <c r="C2052" s="2" t="s">
        <v>594</v>
      </c>
      <c r="D2052" s="2" t="str">
        <f t="shared" si="31"/>
        <v>Error?</v>
      </c>
    </row>
    <row r="2053" spans="1:4" x14ac:dyDescent="0.2">
      <c r="A2053" s="5">
        <v>1992</v>
      </c>
      <c r="B2053" s="138">
        <f>'Cap Outlay Deprec 26'!K12</f>
        <v>2445608</v>
      </c>
      <c r="C2053" s="2" t="s">
        <v>594</v>
      </c>
      <c r="D2053" s="2" t="str">
        <f t="shared" si="31"/>
        <v>Error?</v>
      </c>
    </row>
    <row r="2054" spans="1:4" x14ac:dyDescent="0.2">
      <c r="A2054" s="5">
        <v>1993</v>
      </c>
      <c r="B2054" s="138">
        <f>'Cap Outlay Deprec 26'!K13</f>
        <v>2167914</v>
      </c>
      <c r="C2054" s="2" t="s">
        <v>594</v>
      </c>
      <c r="D2054" s="2" t="str">
        <f t="shared" si="31"/>
        <v>Error?</v>
      </c>
    </row>
    <row r="2055" spans="1:4" x14ac:dyDescent="0.2">
      <c r="A2055" s="5">
        <v>1994</v>
      </c>
      <c r="B2055" s="138">
        <f>'Cap Outlay Deprec 26'!K16</f>
        <v>47221097</v>
      </c>
      <c r="C2055" s="2" t="s">
        <v>594</v>
      </c>
      <c r="D2055" s="2" t="str">
        <f t="shared" si="31"/>
        <v>Error?</v>
      </c>
    </row>
    <row r="2056" spans="1:4" x14ac:dyDescent="0.2">
      <c r="A2056" s="5">
        <v>1995</v>
      </c>
      <c r="B2056" s="138">
        <f>'Cap Outlay Deprec 26'!L5</f>
        <v>1139143</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2417509</v>
      </c>
      <c r="C2058" s="2" t="s">
        <v>594</v>
      </c>
      <c r="D2058" s="2" t="str">
        <f t="shared" si="31"/>
        <v>Error?</v>
      </c>
    </row>
    <row r="2059" spans="1:4" x14ac:dyDescent="0.2">
      <c r="A2059" s="5">
        <v>1998</v>
      </c>
      <c r="B2059" s="138">
        <f>'Cap Outlay Deprec 26'!L12</f>
        <v>250331</v>
      </c>
      <c r="C2059" s="2" t="s">
        <v>594</v>
      </c>
      <c r="D2059" s="2" t="str">
        <f t="shared" si="31"/>
        <v>Error?</v>
      </c>
    </row>
    <row r="2060" spans="1:4" x14ac:dyDescent="0.2">
      <c r="A2060" s="5">
        <v>1999</v>
      </c>
      <c r="B2060" s="138">
        <f>'Cap Outlay Deprec 26'!L13</f>
        <v>186829</v>
      </c>
      <c r="C2060" s="2" t="s">
        <v>594</v>
      </c>
      <c r="D2060" s="2" t="str">
        <f t="shared" si="31"/>
        <v>Error?</v>
      </c>
    </row>
    <row r="2061" spans="1:4" x14ac:dyDescent="0.2">
      <c r="A2061" s="5">
        <v>2000</v>
      </c>
      <c r="B2061" s="138">
        <f>'Cap Outlay Deprec 26'!L16</f>
        <v>89873199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109147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142695</v>
      </c>
      <c r="C2088" s="2" t="s">
        <v>594</v>
      </c>
      <c r="D2088" s="2" t="str">
        <f t="shared" si="31"/>
        <v>Error?</v>
      </c>
    </row>
    <row r="2089" spans="1:4" x14ac:dyDescent="0.2">
      <c r="A2089" s="5">
        <v>2028</v>
      </c>
      <c r="B2089" s="138">
        <f>'Expenditures 15-22'!K92</f>
        <v>134605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4980105</v>
      </c>
      <c r="D2435" s="2" t="str">
        <f t="shared" si="37"/>
        <v>Error?</v>
      </c>
    </row>
    <row r="2436" spans="1:4" x14ac:dyDescent="0.2">
      <c r="A2436" s="10">
        <v>2375</v>
      </c>
      <c r="D2436" s="2" t="str">
        <f t="shared" si="37"/>
        <v>OK</v>
      </c>
    </row>
    <row r="2437" spans="1:4" x14ac:dyDescent="0.2">
      <c r="A2437" s="5">
        <v>2376</v>
      </c>
      <c r="B2437" s="138">
        <f>'Assets-Liab 5-6'!D38</f>
        <v>687067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2433603</v>
      </c>
      <c r="D2475" s="2" t="str">
        <f t="shared" si="37"/>
        <v>Error?</v>
      </c>
    </row>
    <row r="2476" spans="1:4" x14ac:dyDescent="0.2">
      <c r="A2476" s="10">
        <v>2415</v>
      </c>
      <c r="D2476" s="2" t="str">
        <f t="shared" si="37"/>
        <v>OK</v>
      </c>
    </row>
    <row r="2477" spans="1:4" x14ac:dyDescent="0.2">
      <c r="A2477" s="5">
        <v>2416</v>
      </c>
      <c r="B2477" s="138">
        <f>'Assets-Liab 5-6'!G38</f>
        <v>3532228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3161270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25681966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36089981</v>
      </c>
      <c r="C2551" s="2" t="s">
        <v>594</v>
      </c>
      <c r="D2551" s="2" t="str">
        <f t="shared" si="38"/>
        <v>Error?</v>
      </c>
    </row>
    <row r="2552" spans="1:4" x14ac:dyDescent="0.2">
      <c r="A2552" s="10">
        <v>2491</v>
      </c>
      <c r="D2552" s="2" t="str">
        <f t="shared" si="38"/>
        <v>OK</v>
      </c>
    </row>
    <row r="2553" spans="1:4" x14ac:dyDescent="0.2">
      <c r="A2553" s="5">
        <v>2492</v>
      </c>
      <c r="B2553" s="138">
        <f>'Acct Summary 7-8'!C6</f>
        <v>22309426</v>
      </c>
      <c r="C2553" s="2" t="s">
        <v>594</v>
      </c>
      <c r="D2553" s="2" t="str">
        <f t="shared" si="38"/>
        <v>Error?</v>
      </c>
    </row>
    <row r="2554" spans="1:4" x14ac:dyDescent="0.2">
      <c r="A2554" s="5">
        <v>2493</v>
      </c>
      <c r="B2554" s="138">
        <f>'Acct Summary 7-8'!C7</f>
        <v>6471428</v>
      </c>
      <c r="C2554" s="2" t="s">
        <v>594</v>
      </c>
      <c r="D2554" s="2" t="str">
        <f t="shared" si="38"/>
        <v>Error?</v>
      </c>
    </row>
    <row r="2555" spans="1:4" x14ac:dyDescent="0.2">
      <c r="A2555" s="5">
        <v>2494</v>
      </c>
      <c r="B2555" s="138">
        <f>'Acct Summary 7-8'!C8</f>
        <v>64870835</v>
      </c>
      <c r="C2555" s="2" t="s">
        <v>594</v>
      </c>
      <c r="D2555" s="2" t="str">
        <f t="shared" si="38"/>
        <v>Error?</v>
      </c>
    </row>
    <row r="2556" spans="1:4" x14ac:dyDescent="0.2">
      <c r="A2556" s="5">
        <v>2495</v>
      </c>
      <c r="B2556" s="138">
        <f>'Acct Summary 7-8'!C12</f>
        <v>45304606</v>
      </c>
      <c r="C2556" s="2" t="s">
        <v>594</v>
      </c>
      <c r="D2556" s="2" t="str">
        <f t="shared" si="38"/>
        <v>Error?</v>
      </c>
    </row>
    <row r="2557" spans="1:4" x14ac:dyDescent="0.2">
      <c r="A2557" s="5">
        <v>2496</v>
      </c>
      <c r="B2557" s="138">
        <f>'Acct Summary 7-8'!C13</f>
        <v>16208780</v>
      </c>
      <c r="C2557" s="2" t="s">
        <v>594</v>
      </c>
      <c r="D2557" s="2" t="str">
        <f t="shared" si="38"/>
        <v>Error?</v>
      </c>
    </row>
    <row r="2558" spans="1:4" x14ac:dyDescent="0.2">
      <c r="A2558" s="5">
        <v>2497</v>
      </c>
      <c r="B2558" s="138">
        <f>'Acct Summary 7-8'!C14</f>
        <v>351000</v>
      </c>
      <c r="C2558" s="2" t="s">
        <v>594</v>
      </c>
      <c r="D2558" s="2" t="str">
        <f t="shared" si="38"/>
        <v>Error?</v>
      </c>
    </row>
    <row r="2559" spans="1:4" x14ac:dyDescent="0.2">
      <c r="A2559" s="5">
        <v>2498</v>
      </c>
      <c r="B2559" s="138">
        <f>'Acct Summary 7-8'!C15</f>
        <v>277300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62141686</v>
      </c>
      <c r="C2561" s="2" t="s">
        <v>594</v>
      </c>
      <c r="D2561" s="2" t="str">
        <f t="shared" si="39"/>
        <v>Error?</v>
      </c>
    </row>
    <row r="2562" spans="1:4" x14ac:dyDescent="0.2">
      <c r="A2562" s="5">
        <v>2501</v>
      </c>
      <c r="B2562" s="138">
        <f>'Acct Summary 7-8'!C20</f>
        <v>2729149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10826927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10826927</v>
      </c>
      <c r="C2568" s="2" t="s">
        <v>594</v>
      </c>
      <c r="D2568" s="2" t="str">
        <f t="shared" si="39"/>
        <v>Error?</v>
      </c>
    </row>
    <row r="2569" spans="1:4" x14ac:dyDescent="0.2">
      <c r="A2569" s="5">
        <v>2508</v>
      </c>
      <c r="B2569" s="138">
        <f>'Acct Summary 7-8'!D13</f>
        <v>10435022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10435022</v>
      </c>
      <c r="C2573" s="2" t="s">
        <v>594</v>
      </c>
      <c r="D2573" s="2" t="str">
        <f t="shared" si="39"/>
        <v>Error?</v>
      </c>
    </row>
    <row r="2574" spans="1:4" x14ac:dyDescent="0.2">
      <c r="A2574" s="5">
        <v>2513</v>
      </c>
      <c r="B2574" s="138">
        <f>'Acct Summary 7-8'!D20</f>
        <v>391905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925730</v>
      </c>
      <c r="C2591" s="2" t="s">
        <v>594</v>
      </c>
      <c r="D2591" s="2" t="str">
        <f t="shared" si="39"/>
        <v>Error?</v>
      </c>
    </row>
    <row r="2592" spans="1:4" x14ac:dyDescent="0.2">
      <c r="A2592" s="10">
        <v>2531</v>
      </c>
      <c r="D2592" s="2" t="str">
        <f t="shared" si="39"/>
        <v>OK</v>
      </c>
    </row>
    <row r="2593" spans="1:4" x14ac:dyDescent="0.2">
      <c r="A2593" s="5">
        <v>2532</v>
      </c>
      <c r="B2593" s="138">
        <f>'Acct Summary 7-8'!F6</f>
        <v>365841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1291571</v>
      </c>
      <c r="C2595" s="2" t="s">
        <v>594</v>
      </c>
      <c r="D2595" s="2" t="str">
        <f t="shared" si="39"/>
        <v>Error?</v>
      </c>
    </row>
    <row r="2596" spans="1:4" x14ac:dyDescent="0.2">
      <c r="A2596" s="5">
        <v>2535</v>
      </c>
      <c r="B2596" s="138">
        <f>'Acct Summary 7-8'!F13</f>
        <v>999577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999577</v>
      </c>
      <c r="C2600" s="2" t="s">
        <v>594</v>
      </c>
      <c r="D2600" s="2" t="str">
        <f t="shared" si="39"/>
        <v>Error?</v>
      </c>
    </row>
    <row r="2601" spans="1:4" x14ac:dyDescent="0.2">
      <c r="A2601" s="5">
        <v>2540</v>
      </c>
      <c r="B2601" s="138">
        <f>'Acct Summary 7-8'!F20</f>
        <v>291994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2455856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2455856</v>
      </c>
      <c r="C2606" s="2" t="s">
        <v>594</v>
      </c>
      <c r="D2606" s="2" t="str">
        <f t="shared" si="39"/>
        <v>Error?</v>
      </c>
    </row>
    <row r="2607" spans="1:4" x14ac:dyDescent="0.2">
      <c r="A2607" s="5">
        <v>2546</v>
      </c>
      <c r="B2607" s="138">
        <f>'Acct Summary 7-8'!G12</f>
        <v>796191</v>
      </c>
      <c r="C2607" s="2" t="s">
        <v>594</v>
      </c>
      <c r="D2607" s="2" t="str">
        <f t="shared" si="39"/>
        <v>Error?</v>
      </c>
    </row>
    <row r="2608" spans="1:4" x14ac:dyDescent="0.2">
      <c r="A2608" s="5">
        <v>2547</v>
      </c>
      <c r="B2608" s="138">
        <f>'Acct Summary 7-8'!G13</f>
        <v>1586518</v>
      </c>
      <c r="C2608" s="2" t="s">
        <v>594</v>
      </c>
      <c r="D2608" s="2" t="str">
        <f t="shared" si="39"/>
        <v>Error?</v>
      </c>
    </row>
    <row r="2609" spans="1:4" x14ac:dyDescent="0.2">
      <c r="A2609" s="5">
        <v>2548</v>
      </c>
      <c r="B2609" s="138">
        <f>'Acct Summary 7-8'!G14</f>
        <v>752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2383461</v>
      </c>
      <c r="C2612" s="2" t="s">
        <v>594</v>
      </c>
      <c r="D2612" s="2" t="str">
        <f t="shared" si="39"/>
        <v>Error?</v>
      </c>
    </row>
    <row r="2613" spans="1:4" x14ac:dyDescent="0.2">
      <c r="A2613" s="5">
        <v>2552</v>
      </c>
      <c r="B2613" s="138">
        <f>'Acct Summary 7-8'!G20</f>
        <v>72395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4014303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4014303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6999751</v>
      </c>
      <c r="C2634" s="2" t="s">
        <v>594</v>
      </c>
      <c r="D2634" s="2" t="str">
        <f t="shared" si="40"/>
        <v>Error?</v>
      </c>
    </row>
    <row r="2635" spans="1:4" x14ac:dyDescent="0.2">
      <c r="A2635" s="5">
        <v>2574</v>
      </c>
      <c r="B2635" s="138">
        <f>'Acct Summary 7-8'!E17</f>
        <v>6999751</v>
      </c>
      <c r="C2635" s="2" t="s">
        <v>594</v>
      </c>
      <c r="D2635" s="2" t="str">
        <f t="shared" si="40"/>
        <v>Error?</v>
      </c>
    </row>
    <row r="2636" spans="1:4" x14ac:dyDescent="0.2">
      <c r="A2636" s="5">
        <v>2575</v>
      </c>
      <c r="B2636" s="138">
        <f>'Acct Summary 7-8'!E20</f>
        <v>-2985448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8296394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8296394</v>
      </c>
      <c r="C2658" s="2" t="s">
        <v>594</v>
      </c>
      <c r="D2658" s="2" t="str">
        <f t="shared" si="40"/>
        <v>Error?</v>
      </c>
    </row>
    <row r="2659" spans="1:4" x14ac:dyDescent="0.2">
      <c r="A2659" s="5">
        <v>2598</v>
      </c>
      <c r="B2659" s="138">
        <f>'Acct Summary 7-8'!H13</f>
        <v>6165393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6165393</v>
      </c>
      <c r="C2661" s="2" t="s">
        <v>594</v>
      </c>
      <c r="D2661" s="2" t="str">
        <f t="shared" si="40"/>
        <v>Error?</v>
      </c>
    </row>
    <row r="2662" spans="1:4" x14ac:dyDescent="0.2">
      <c r="A2662" s="5">
        <v>2601</v>
      </c>
      <c r="B2662" s="138">
        <f>'Acct Summary 7-8'!H20</f>
        <v>2131001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542405</v>
      </c>
      <c r="D2718" s="2" t="str">
        <f t="shared" si="41"/>
        <v>Error?</v>
      </c>
    </row>
    <row r="2719" spans="1:4" x14ac:dyDescent="0.2">
      <c r="A2719" s="5">
        <v>2658</v>
      </c>
      <c r="B2719" s="138">
        <f>'Expenditures 15-22'!D51</f>
        <v>148043</v>
      </c>
      <c r="D2719" s="2" t="str">
        <f t="shared" si="41"/>
        <v>Error?</v>
      </c>
    </row>
    <row r="2720" spans="1:4" x14ac:dyDescent="0.2">
      <c r="A2720" s="5">
        <v>2659</v>
      </c>
      <c r="B2720" s="138">
        <f>'Expenditures 15-22'!E51</f>
        <v>940</v>
      </c>
      <c r="D2720" s="2" t="str">
        <f t="shared" si="41"/>
        <v>Error?</v>
      </c>
    </row>
    <row r="2721" spans="1:4" x14ac:dyDescent="0.2">
      <c r="A2721" s="5">
        <v>2660</v>
      </c>
      <c r="B2721" s="138">
        <f>'Expenditures 15-22'!F51</f>
        <v>941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692329</v>
      </c>
      <c r="C2724" s="2" t="s">
        <v>594</v>
      </c>
      <c r="D2724" s="2" t="str">
        <f t="shared" si="41"/>
        <v>Error?</v>
      </c>
    </row>
    <row r="2725" spans="1:4" x14ac:dyDescent="0.2">
      <c r="A2725" s="5">
        <v>2664</v>
      </c>
      <c r="B2725" s="138">
        <f>'Expenditures 15-22'!D247</f>
        <v>25842</v>
      </c>
      <c r="D2725" s="2" t="str">
        <f t="shared" si="41"/>
        <v>Error?</v>
      </c>
    </row>
    <row r="2726" spans="1:4" x14ac:dyDescent="0.2">
      <c r="A2726" s="5">
        <v>2665</v>
      </c>
      <c r="B2726" s="138">
        <f>'Expenditures 15-22'!K247</f>
        <v>25842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33548</v>
      </c>
      <c r="C2789" s="2" t="s">
        <v>594</v>
      </c>
      <c r="D2789" s="2" t="str">
        <f t="shared" si="42"/>
        <v>Error?</v>
      </c>
    </row>
    <row r="2790" spans="1:4" x14ac:dyDescent="0.2">
      <c r="A2790" s="5">
        <v>2729</v>
      </c>
      <c r="B2790" s="138">
        <f>'Expenditures 15-22'!E102</f>
        <v>33548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11341658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496338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11264044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12979112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817825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817825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401639</v>
      </c>
      <c r="D2908" s="2" t="str">
        <f t="shared" si="44"/>
        <v>Error?</v>
      </c>
    </row>
    <row r="2909" spans="1:4" x14ac:dyDescent="0.2">
      <c r="A2909" s="10">
        <v>2848</v>
      </c>
      <c r="D2909" s="2" t="str">
        <f t="shared" si="44"/>
        <v>OK</v>
      </c>
    </row>
    <row r="2910" spans="1:4" x14ac:dyDescent="0.2">
      <c r="A2910" s="5">
        <v>2849</v>
      </c>
      <c r="B2910" s="138">
        <f>'Assets-Liab 5-6'!I34</f>
        <v>401639</v>
      </c>
      <c r="C2910" s="2" t="s">
        <v>594</v>
      </c>
      <c r="D2910" s="2" t="str">
        <f t="shared" si="44"/>
        <v>Error?</v>
      </c>
    </row>
    <row r="2911" spans="1:4" x14ac:dyDescent="0.2">
      <c r="A2911" s="5">
        <v>2850</v>
      </c>
      <c r="B2911" s="138">
        <f>'Assets-Liab 5-6'!I38</f>
        <v>8198649</v>
      </c>
      <c r="D2911" s="2" t="str">
        <f t="shared" si="44"/>
        <v>Error?</v>
      </c>
    </row>
    <row r="2912" spans="1:4" x14ac:dyDescent="0.2">
      <c r="A2912" s="5">
        <v>2851</v>
      </c>
      <c r="B2912" s="138">
        <f>'Assets-Liab 5-6'!I39</f>
        <v>4378824</v>
      </c>
      <c r="D2912" s="2" t="str">
        <f t="shared" si="44"/>
        <v>Error?</v>
      </c>
    </row>
    <row r="2913" spans="1:4" x14ac:dyDescent="0.2">
      <c r="A2913" s="5">
        <v>2852</v>
      </c>
      <c r="B2913" s="138">
        <f>'Assets-Liab 5-6'!I41</f>
        <v>12979112</v>
      </c>
      <c r="C2913" s="2" t="s">
        <v>594</v>
      </c>
      <c r="D2913" s="2" t="str">
        <f t="shared" si="44"/>
        <v>Error?</v>
      </c>
    </row>
    <row r="2914" spans="1:4" x14ac:dyDescent="0.2">
      <c r="A2914" s="5">
        <v>2853</v>
      </c>
      <c r="B2914" s="138">
        <f>'Assets-Liab 5-6'!L33</f>
        <v>817825</v>
      </c>
      <c r="D2914" s="2" t="str">
        <f t="shared" si="44"/>
        <v>Error?</v>
      </c>
    </row>
    <row r="2915" spans="1:4" x14ac:dyDescent="0.2">
      <c r="A2915" s="10">
        <v>2854</v>
      </c>
      <c r="D2915" s="2" t="str">
        <f t="shared" si="44"/>
        <v>OK</v>
      </c>
    </row>
    <row r="2916" spans="1:4" x14ac:dyDescent="0.2">
      <c r="A2916" s="5">
        <v>2855</v>
      </c>
      <c r="B2916" s="138">
        <f>'Assets-Liab 5-6'!L34</f>
        <v>817825</v>
      </c>
      <c r="C2916" s="2" t="s">
        <v>594</v>
      </c>
      <c r="D2916" s="2" t="str">
        <f t="shared" si="44"/>
        <v>Error?</v>
      </c>
    </row>
    <row r="2917" spans="1:4" x14ac:dyDescent="0.2">
      <c r="A2917" s="5">
        <v>2856</v>
      </c>
      <c r="B2917" s="138">
        <f>'Assets-Liab 5-6'!L41</f>
        <v>817825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24840</v>
      </c>
      <c r="D2950" s="2" t="str">
        <f t="shared" si="45"/>
        <v>Error?</v>
      </c>
    </row>
    <row r="2951" spans="1:4" x14ac:dyDescent="0.2">
      <c r="A2951" s="5">
        <v>2890</v>
      </c>
      <c r="B2951" s="138">
        <f>'Expenditures 15-22'!E80</f>
        <v>8708</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109147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133987</v>
      </c>
      <c r="C2974" s="2" t="s">
        <v>594</v>
      </c>
      <c r="D2974" s="2" t="str">
        <f t="shared" si="45"/>
        <v>Error?</v>
      </c>
    </row>
    <row r="2975" spans="1:4" x14ac:dyDescent="0.2">
      <c r="A2975" s="5">
        <v>2914</v>
      </c>
      <c r="B2975" s="138">
        <f>'Expenditures 15-22'!K80</f>
        <v>8708</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33136</v>
      </c>
      <c r="D3055" s="2" t="str">
        <f t="shared" si="46"/>
        <v>Error?</v>
      </c>
    </row>
    <row r="3056" spans="1:4" x14ac:dyDescent="0.2">
      <c r="A3056" s="5">
        <v>2995</v>
      </c>
      <c r="B3056" s="138">
        <f>'Expenditures 15-22'!D10</f>
        <v>6371</v>
      </c>
      <c r="D3056" s="2" t="str">
        <f t="shared" si="46"/>
        <v>Error?</v>
      </c>
    </row>
    <row r="3057" spans="1:4" x14ac:dyDescent="0.2">
      <c r="A3057" s="5">
        <v>2996</v>
      </c>
      <c r="B3057" s="138">
        <f>'Expenditures 15-22'!E10</f>
        <v>399656</v>
      </c>
      <c r="D3057" s="2" t="str">
        <f t="shared" si="46"/>
        <v>Error?</v>
      </c>
    </row>
    <row r="3058" spans="1:4" x14ac:dyDescent="0.2">
      <c r="A3058" s="5">
        <v>2997</v>
      </c>
      <c r="B3058" s="138">
        <f>'Expenditures 15-22'!F10</f>
        <v>621659</v>
      </c>
      <c r="D3058" s="2" t="str">
        <f t="shared" si="46"/>
        <v>Error?</v>
      </c>
    </row>
    <row r="3059" spans="1:4" x14ac:dyDescent="0.2">
      <c r="A3059" s="5">
        <v>2998</v>
      </c>
      <c r="B3059" s="138">
        <f>'Expenditures 15-22'!G10</f>
        <v>144020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1204842</v>
      </c>
      <c r="C3062" s="2" t="s">
        <v>594</v>
      </c>
      <c r="D3062" s="2" t="str">
        <f t="shared" si="46"/>
        <v>Error?</v>
      </c>
    </row>
    <row r="3063" spans="1:4" x14ac:dyDescent="0.2">
      <c r="A3063" s="10">
        <v>3002</v>
      </c>
      <c r="D3063" s="2" t="str">
        <f t="shared" si="46"/>
        <v>OK</v>
      </c>
    </row>
    <row r="3064" spans="1:4" x14ac:dyDescent="0.2">
      <c r="A3064" s="5">
        <v>3003</v>
      </c>
      <c r="B3064" s="138">
        <f>'Expenditures 15-22'!D219</f>
        <v>95</v>
      </c>
      <c r="D3064" s="2" t="str">
        <f t="shared" si="46"/>
        <v>Error?</v>
      </c>
    </row>
    <row r="3065" spans="1:4" x14ac:dyDescent="0.2">
      <c r="A3065" s="5">
        <v>3004</v>
      </c>
      <c r="B3065" s="138">
        <f>'Expenditures 15-22'!K219</f>
        <v>95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3076000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647104</v>
      </c>
      <c r="C3225" s="2" t="s">
        <v>594</v>
      </c>
      <c r="D3225" s="2" t="str">
        <f t="shared" si="49"/>
        <v>Error?</v>
      </c>
    </row>
    <row r="3226" spans="1:4" x14ac:dyDescent="0.2">
      <c r="A3226" s="5">
        <v>3165</v>
      </c>
      <c r="B3226" s="138">
        <f>'Acct Summary 7-8'!I8</f>
        <v>647104</v>
      </c>
      <c r="C3226" s="2" t="s">
        <v>594</v>
      </c>
      <c r="D3226" s="2" t="str">
        <f t="shared" si="49"/>
        <v>Error?</v>
      </c>
    </row>
    <row r="3227" spans="1:4" x14ac:dyDescent="0.2">
      <c r="A3227" s="5">
        <v>3166</v>
      </c>
      <c r="B3227" s="138">
        <f>'Acct Summary 7-8'!I20</f>
        <v>647104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2729149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391905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291994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72395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3076000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3076000</v>
      </c>
      <c r="C3277" s="2" t="s">
        <v>594</v>
      </c>
      <c r="D3277" s="2" t="str">
        <f t="shared" si="50"/>
        <v>Error?</v>
      </c>
    </row>
    <row r="3278" spans="1:4" x14ac:dyDescent="0.2">
      <c r="A3278" s="5">
        <v>3217</v>
      </c>
      <c r="B3278" s="138">
        <f>'Acct Summary 7-8'!E78</f>
        <v>90552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22423557</v>
      </c>
      <c r="C3296" s="2" t="s">
        <v>594</v>
      </c>
      <c r="D3296" s="2" t="str">
        <f t="shared" si="50"/>
        <v>Error?</v>
      </c>
    </row>
    <row r="3297" spans="1:4" x14ac:dyDescent="0.2">
      <c r="A3297" s="5">
        <v>3236</v>
      </c>
      <c r="B3297" s="138">
        <f>'Acct Summary 7-8'!H75</f>
        <v>220130</v>
      </c>
      <c r="D3297" s="2" t="str">
        <f t="shared" si="50"/>
        <v>Error?</v>
      </c>
    </row>
    <row r="3298" spans="1:4" x14ac:dyDescent="0.2">
      <c r="A3298" s="5">
        <v>3237</v>
      </c>
      <c r="B3298" s="138">
        <f>'Acct Summary 7-8'!H76</f>
        <v>220130</v>
      </c>
      <c r="C3298" s="2" t="s">
        <v>594</v>
      </c>
      <c r="D3298" s="2" t="str">
        <f t="shared" si="50"/>
        <v>Error?</v>
      </c>
    </row>
    <row r="3299" spans="1:4" x14ac:dyDescent="0.2">
      <c r="A3299" s="5">
        <v>3238</v>
      </c>
      <c r="B3299" s="138">
        <f>'Acct Summary 7-8'!H77</f>
        <v>22203427</v>
      </c>
      <c r="C3299" s="2" t="s">
        <v>594</v>
      </c>
      <c r="D3299" s="2" t="str">
        <f t="shared" si="50"/>
        <v>Error?</v>
      </c>
    </row>
    <row r="3300" spans="1:4" x14ac:dyDescent="0.2">
      <c r="A3300" s="5">
        <v>3239</v>
      </c>
      <c r="B3300" s="138">
        <f>'Acct Summary 7-8'!H78</f>
        <v>24334428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647104</v>
      </c>
      <c r="C3320" s="2" t="s">
        <v>594</v>
      </c>
      <c r="D3320" s="2" t="str">
        <f t="shared" si="50"/>
        <v>Error?</v>
      </c>
    </row>
    <row r="3321" spans="1:4" x14ac:dyDescent="0.2">
      <c r="A3321" s="5">
        <v>3260</v>
      </c>
      <c r="B3321" s="138">
        <f>'Acct Summary 7-8'!I79</f>
        <v>11930369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12577473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5260908</v>
      </c>
      <c r="D3366" s="2" t="str">
        <f t="shared" si="51"/>
        <v>Error?</v>
      </c>
    </row>
    <row r="3367" spans="1:4" x14ac:dyDescent="0.2">
      <c r="A3367" s="5">
        <v>3306</v>
      </c>
      <c r="B3367" s="138">
        <f>'Expenditures 15-22'!C19</f>
        <v>419189</v>
      </c>
      <c r="D3367" s="2" t="str">
        <f t="shared" si="51"/>
        <v>Error?</v>
      </c>
    </row>
    <row r="3368" spans="1:4" x14ac:dyDescent="0.2">
      <c r="A3368" s="5">
        <v>3307</v>
      </c>
      <c r="B3368" s="138">
        <f>'Expenditures 15-22'!D8</f>
        <v>1489823</v>
      </c>
      <c r="D3368" s="2" t="str">
        <f t="shared" si="51"/>
        <v>Error?</v>
      </c>
    </row>
    <row r="3369" spans="1:4" x14ac:dyDescent="0.2">
      <c r="A3369" s="5">
        <v>3308</v>
      </c>
      <c r="B3369" s="138">
        <f>'Expenditures 15-22'!D19</f>
        <v>93179</v>
      </c>
      <c r="D3369" s="2" t="str">
        <f t="shared" si="51"/>
        <v>Error?</v>
      </c>
    </row>
    <row r="3370" spans="1:4" x14ac:dyDescent="0.2">
      <c r="A3370" s="5">
        <v>3309</v>
      </c>
      <c r="B3370" s="138">
        <f>'Expenditures 15-22'!E8</f>
        <v>745496</v>
      </c>
      <c r="D3370" s="2" t="str">
        <f t="shared" si="51"/>
        <v>Error?</v>
      </c>
    </row>
    <row r="3371" spans="1:4" x14ac:dyDescent="0.2">
      <c r="A3371" s="5">
        <v>3310</v>
      </c>
      <c r="B3371" s="138">
        <f>'Expenditures 15-22'!E19</f>
        <v>29869</v>
      </c>
      <c r="D3371" s="2" t="str">
        <f t="shared" si="51"/>
        <v>Error?</v>
      </c>
    </row>
    <row r="3372" spans="1:4" x14ac:dyDescent="0.2">
      <c r="A3372" s="5">
        <v>3311</v>
      </c>
      <c r="B3372" s="138">
        <f>'Expenditures 15-22'!F8</f>
        <v>6342</v>
      </c>
      <c r="D3372" s="2" t="str">
        <f t="shared" si="51"/>
        <v>Error?</v>
      </c>
    </row>
    <row r="3373" spans="1:4" x14ac:dyDescent="0.2">
      <c r="A3373" s="5">
        <v>3312</v>
      </c>
      <c r="B3373" s="138">
        <f>'Expenditures 15-22'!F19</f>
        <v>23383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7502569</v>
      </c>
      <c r="C3380" s="2" t="s">
        <v>594</v>
      </c>
      <c r="D3380" s="2" t="str">
        <f t="shared" si="51"/>
        <v>Error?</v>
      </c>
    </row>
    <row r="3381" spans="1:4" x14ac:dyDescent="0.2">
      <c r="A3381" s="5">
        <v>3320</v>
      </c>
      <c r="B3381" s="138">
        <f>'Expenditures 15-22'!K19</f>
        <v>565620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447394</v>
      </c>
      <c r="D3387" s="2" t="str">
        <f t="shared" si="51"/>
        <v>Error?</v>
      </c>
    </row>
    <row r="3388" spans="1:4" x14ac:dyDescent="0.2">
      <c r="A3388" s="5">
        <v>3327</v>
      </c>
      <c r="B3388" s="138">
        <f>'Expenditures 15-22'!D217</f>
        <v>264078</v>
      </c>
      <c r="D3388" s="2" t="str">
        <f t="shared" si="51"/>
        <v>Error?</v>
      </c>
    </row>
    <row r="3389" spans="1:4" x14ac:dyDescent="0.2">
      <c r="A3389" s="5">
        <v>3328</v>
      </c>
      <c r="B3389" s="138">
        <f>'Expenditures 15-22'!D228</f>
        <v>19746</v>
      </c>
      <c r="D3389" s="2" t="str">
        <f t="shared" si="51"/>
        <v>Error?</v>
      </c>
    </row>
    <row r="3390" spans="1:4" x14ac:dyDescent="0.2">
      <c r="A3390" s="5">
        <v>3329</v>
      </c>
      <c r="B3390" s="138">
        <f>'Expenditures 15-22'!K215</f>
        <v>447394</v>
      </c>
      <c r="C3390" s="2" t="s">
        <v>594</v>
      </c>
      <c r="D3390" s="2" t="str">
        <f t="shared" si="51"/>
        <v>Error?</v>
      </c>
    </row>
    <row r="3391" spans="1:4" x14ac:dyDescent="0.2">
      <c r="A3391" s="5">
        <v>3330</v>
      </c>
      <c r="B3391" s="138">
        <f>'Expenditures 15-22'!K217</f>
        <v>264078</v>
      </c>
      <c r="C3391" s="2" t="s">
        <v>594</v>
      </c>
      <c r="D3391" s="2" t="str">
        <f t="shared" ref="D3391:D3454" si="52">IF(ISBLANK(B3391),"OK",IF(A3391-B3391=0,"OK","Error?"))</f>
        <v>Error?</v>
      </c>
    </row>
    <row r="3392" spans="1:4" x14ac:dyDescent="0.2">
      <c r="A3392" s="5">
        <v>3331</v>
      </c>
      <c r="B3392" s="138">
        <f>'Expenditures 15-22'!K228</f>
        <v>19746</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9046513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122346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3979975</v>
      </c>
      <c r="D3425" s="2" t="str">
        <f t="shared" si="52"/>
        <v>Error?</v>
      </c>
    </row>
    <row r="3426" spans="1:4" x14ac:dyDescent="0.2">
      <c r="A3426" s="10">
        <v>3365</v>
      </c>
      <c r="D3426" s="2" t="str">
        <f t="shared" si="52"/>
        <v>OK</v>
      </c>
    </row>
    <row r="3427" spans="1:4" x14ac:dyDescent="0.2">
      <c r="A3427" s="5">
        <v>3366</v>
      </c>
      <c r="B3427" s="138">
        <f>'Assets-Liab 5-6'!I4</f>
        <v>1218730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961969</v>
      </c>
      <c r="C3446" s="2" t="s">
        <v>594</v>
      </c>
      <c r="D3446" s="2" t="str">
        <f t="shared" si="52"/>
        <v>Error?</v>
      </c>
    </row>
    <row r="3447" spans="1:4" x14ac:dyDescent="0.2">
      <c r="A3447" s="5">
        <v>3386</v>
      </c>
      <c r="B3447" s="138">
        <f>'Tax Sched 23'!D16</f>
        <v>642237</v>
      </c>
      <c r="C3447" s="2" t="s">
        <v>594</v>
      </c>
      <c r="D3447" s="2" t="str">
        <f t="shared" si="52"/>
        <v>Error?</v>
      </c>
    </row>
    <row r="3448" spans="1:4" x14ac:dyDescent="0.2">
      <c r="A3448" s="5">
        <v>3387</v>
      </c>
      <c r="B3448" s="138">
        <f>'Tax Sched 23'!C16</f>
        <v>319732</v>
      </c>
      <c r="D3448" s="2" t="str">
        <f t="shared" si="52"/>
        <v>Error?</v>
      </c>
    </row>
    <row r="3449" spans="1:4" x14ac:dyDescent="0.2">
      <c r="A3449" s="5">
        <v>3388</v>
      </c>
      <c r="B3449" s="138">
        <f>'Tax Sched 23'!F16</f>
        <v>651326</v>
      </c>
      <c r="C3449" s="2" t="s">
        <v>594</v>
      </c>
      <c r="D3449" s="2" t="str">
        <f t="shared" si="52"/>
        <v>Error?</v>
      </c>
    </row>
    <row r="3450" spans="1:4" x14ac:dyDescent="0.2">
      <c r="A3450" s="5">
        <v>3389</v>
      </c>
      <c r="B3450" s="138">
        <f>'Tax Sched 23'!E16</f>
        <v>971058</v>
      </c>
      <c r="D3450" s="2" t="str">
        <f t="shared" si="52"/>
        <v>Error?</v>
      </c>
    </row>
    <row r="3451" spans="1:4" x14ac:dyDescent="0.2">
      <c r="A3451" s="5">
        <v>3390</v>
      </c>
      <c r="B3451" s="138">
        <f>'Cap Outlay Deprec 26'!C15</f>
        <v>374637</v>
      </c>
      <c r="D3451" s="2" t="str">
        <f t="shared" si="52"/>
        <v>Error?</v>
      </c>
    </row>
    <row r="3452" spans="1:4" x14ac:dyDescent="0.2">
      <c r="A3452" s="5">
        <v>3391</v>
      </c>
      <c r="B3452" s="138">
        <f>'Cap Outlay Deprec 26'!D15</f>
        <v>11217727</v>
      </c>
      <c r="D3452" s="2" t="str">
        <f t="shared" si="52"/>
        <v>Error?</v>
      </c>
    </row>
    <row r="3453" spans="1:4" x14ac:dyDescent="0.2">
      <c r="A3453" s="5">
        <v>3392</v>
      </c>
      <c r="B3453" s="138">
        <f>'Cap Outlay Deprec 26'!E15</f>
        <v>250706</v>
      </c>
      <c r="D3453" s="2" t="str">
        <f t="shared" si="52"/>
        <v>Error?</v>
      </c>
    </row>
    <row r="3454" spans="1:4" x14ac:dyDescent="0.2">
      <c r="A3454" s="5">
        <v>3393</v>
      </c>
      <c r="B3454" s="138">
        <f>'Cap Outlay Deprec 26'!F15</f>
        <v>11341658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11341658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674565</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496338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1357299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1853637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401638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748715</v>
      </c>
      <c r="C3565" s="2" t="s">
        <v>594</v>
      </c>
      <c r="D3565" s="2" t="str">
        <f t="shared" si="54"/>
        <v>Error?</v>
      </c>
    </row>
    <row r="3566" spans="1:4" x14ac:dyDescent="0.2">
      <c r="A3566" s="5">
        <v>3505</v>
      </c>
      <c r="B3566" s="138">
        <f>'Assets-Liab 5-6'!K38</f>
        <v>1104922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1853637</v>
      </c>
      <c r="C3568" s="2" t="s">
        <v>594</v>
      </c>
      <c r="D3568" s="2" t="str">
        <f t="shared" si="54"/>
        <v>Error?</v>
      </c>
    </row>
    <row r="3569" spans="1:4" x14ac:dyDescent="0.2">
      <c r="A3569" s="5">
        <v>3508</v>
      </c>
      <c r="B3569" s="138">
        <f>'Acct Summary 7-8'!K4</f>
        <v>456168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456168</v>
      </c>
      <c r="C3571" s="2" t="s">
        <v>594</v>
      </c>
      <c r="D3571" s="2" t="str">
        <f t="shared" si="54"/>
        <v>Error?</v>
      </c>
    </row>
    <row r="3572" spans="1:4" x14ac:dyDescent="0.2">
      <c r="A3572" s="5">
        <v>3511</v>
      </c>
      <c r="B3572" s="138">
        <f>'Acct Summary 7-8'!K13</f>
        <v>877357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877357</v>
      </c>
      <c r="C3575" s="2" t="s">
        <v>594</v>
      </c>
      <c r="D3575" s="2" t="str">
        <f t="shared" si="54"/>
        <v>Error?</v>
      </c>
    </row>
    <row r="3576" spans="1:4" x14ac:dyDescent="0.2">
      <c r="A3576" s="5">
        <v>3515</v>
      </c>
      <c r="B3576" s="138">
        <f>'Acct Summary 7-8'!K20</f>
        <v>-421189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-421189</v>
      </c>
      <c r="C3588" s="2" t="s">
        <v>594</v>
      </c>
      <c r="D3588" s="2" t="str">
        <f t="shared" si="55"/>
        <v>Error?</v>
      </c>
    </row>
    <row r="3589" spans="1:4" x14ac:dyDescent="0.2">
      <c r="A3589" s="5">
        <v>3528</v>
      </c>
      <c r="B3589" s="138">
        <f>'Acct Summary 7-8'!K79</f>
        <v>1526111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1104922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877357</v>
      </c>
      <c r="D3646" s="2" t="str">
        <f t="shared" si="55"/>
        <v>Error?</v>
      </c>
    </row>
    <row r="3647" spans="1:4" x14ac:dyDescent="0.2">
      <c r="A3647" s="5">
        <v>3586</v>
      </c>
      <c r="B3647" s="138">
        <f>'Expenditures 15-22'!G350</f>
        <v>877357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877357</v>
      </c>
      <c r="C3649" s="2" t="s">
        <v>594</v>
      </c>
      <c r="D3649" s="2" t="str">
        <f t="shared" si="56"/>
        <v>Error?</v>
      </c>
    </row>
    <row r="3650" spans="1:4" x14ac:dyDescent="0.2">
      <c r="A3650" s="5">
        <v>3589</v>
      </c>
      <c r="B3650" s="138">
        <f>'Expenditures 15-22'!G367</f>
        <v>877357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877357</v>
      </c>
      <c r="C3669" s="2" t="s">
        <v>594</v>
      </c>
      <c r="D3669" s="2" t="str">
        <f t="shared" si="56"/>
        <v>Error?</v>
      </c>
    </row>
    <row r="3670" spans="1:4" x14ac:dyDescent="0.2">
      <c r="A3670" s="5">
        <v>3609</v>
      </c>
      <c r="B3670" s="138">
        <f>'Expenditures 15-22'!K350</f>
        <v>877357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877357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877357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-421189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426428</v>
      </c>
      <c r="C3725" s="2" t="s">
        <v>594</v>
      </c>
      <c r="D3725" s="2" t="str">
        <f t="shared" si="57"/>
        <v>Error?</v>
      </c>
    </row>
    <row r="3726" spans="1:4" x14ac:dyDescent="0.2">
      <c r="A3726" s="5">
        <v>3665</v>
      </c>
      <c r="B3726" s="138">
        <f>'Tax Sched 23'!D13</f>
        <v>285701</v>
      </c>
      <c r="C3726" s="2" t="s">
        <v>594</v>
      </c>
      <c r="D3726" s="2" t="str">
        <f t="shared" si="57"/>
        <v>Error?</v>
      </c>
    </row>
    <row r="3727" spans="1:4" x14ac:dyDescent="0.2">
      <c r="A3727" s="5">
        <v>3666</v>
      </c>
      <c r="B3727" s="138">
        <f>'Tax Sched 23'!C13</f>
        <v>140727</v>
      </c>
      <c r="D3727" s="2" t="str">
        <f t="shared" si="57"/>
        <v>Error?</v>
      </c>
    </row>
    <row r="3728" spans="1:4" x14ac:dyDescent="0.2">
      <c r="A3728" s="5">
        <v>3667</v>
      </c>
      <c r="B3728" s="138">
        <f>'Tax Sched 23'!F13</f>
        <v>286675</v>
      </c>
      <c r="C3728" s="2" t="s">
        <v>594</v>
      </c>
      <c r="D3728" s="2" t="str">
        <f t="shared" si="57"/>
        <v>Error?</v>
      </c>
    </row>
    <row r="3729" spans="1:4" x14ac:dyDescent="0.2">
      <c r="A3729" s="5">
        <v>3668</v>
      </c>
      <c r="B3729" s="138">
        <f>'Tax Sched 23'!E13</f>
        <v>427402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4410879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69281714</v>
      </c>
      <c r="C4122" s="2" t="s">
        <v>594</v>
      </c>
      <c r="D4122" s="2" t="str">
        <f t="shared" si="63"/>
        <v>Error?</v>
      </c>
    </row>
    <row r="4123" spans="1:4" x14ac:dyDescent="0.2">
      <c r="A4123" s="5">
        <v>4062</v>
      </c>
      <c r="B4123" s="138">
        <f>'Acct Summary 7-8'!D10</f>
        <v>10826927</v>
      </c>
      <c r="C4123" s="2" t="s">
        <v>594</v>
      </c>
      <c r="D4123" s="2" t="str">
        <f t="shared" si="63"/>
        <v>Error?</v>
      </c>
    </row>
    <row r="4124" spans="1:4" x14ac:dyDescent="0.2">
      <c r="A4124" s="5">
        <v>4063</v>
      </c>
      <c r="B4124" s="138">
        <f>'Acct Summary 7-8'!E10</f>
        <v>4014303</v>
      </c>
      <c r="C4124" s="2" t="s">
        <v>594</v>
      </c>
      <c r="D4124" s="2" t="str">
        <f t="shared" si="63"/>
        <v>Error?</v>
      </c>
    </row>
    <row r="4125" spans="1:4" x14ac:dyDescent="0.2">
      <c r="A4125" s="5">
        <v>4064</v>
      </c>
      <c r="B4125" s="138">
        <f>'Acct Summary 7-8'!F10</f>
        <v>1291571</v>
      </c>
      <c r="C4125" s="2" t="s">
        <v>594</v>
      </c>
      <c r="D4125" s="2" t="str">
        <f t="shared" si="63"/>
        <v>Error?</v>
      </c>
    </row>
    <row r="4126" spans="1:4" x14ac:dyDescent="0.2">
      <c r="A4126" s="5">
        <v>4065</v>
      </c>
      <c r="B4126" s="138">
        <f>'Acct Summary 7-8'!G10</f>
        <v>2455856</v>
      </c>
      <c r="C4126" s="2" t="s">
        <v>594</v>
      </c>
      <c r="D4126" s="2" t="str">
        <f t="shared" si="63"/>
        <v>Error?</v>
      </c>
    </row>
    <row r="4127" spans="1:4" x14ac:dyDescent="0.2">
      <c r="A4127" s="5">
        <v>4066</v>
      </c>
      <c r="B4127" s="138">
        <f>'Acct Summary 7-8'!H10</f>
        <v>8296394</v>
      </c>
      <c r="C4127" s="2" t="s">
        <v>594</v>
      </c>
      <c r="D4127" s="2" t="str">
        <f t="shared" si="63"/>
        <v>Error?</v>
      </c>
    </row>
    <row r="4128" spans="1:4" x14ac:dyDescent="0.2">
      <c r="A4128" s="5">
        <v>4067</v>
      </c>
      <c r="B4128" s="138">
        <f>'Acct Summary 7-8'!I10</f>
        <v>647104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456168</v>
      </c>
      <c r="C4130" s="2" t="s">
        <v>594</v>
      </c>
      <c r="D4130" s="2" t="str">
        <f t="shared" si="63"/>
        <v>Error?</v>
      </c>
    </row>
    <row r="4131" spans="1:4" x14ac:dyDescent="0.2">
      <c r="A4131" s="5">
        <v>4070</v>
      </c>
      <c r="B4131" s="138">
        <f>'Acct Summary 7-8'!C18</f>
        <v>4410879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66552565</v>
      </c>
      <c r="C4136" s="2" t="s">
        <v>594</v>
      </c>
      <c r="D4136" s="2" t="str">
        <f t="shared" si="63"/>
        <v>Error?</v>
      </c>
    </row>
    <row r="4137" spans="1:4" x14ac:dyDescent="0.2">
      <c r="A4137" s="5">
        <v>4076</v>
      </c>
      <c r="B4137" s="138">
        <f>'Acct Summary 7-8'!D19</f>
        <v>10435022</v>
      </c>
      <c r="C4137" s="2" t="s">
        <v>594</v>
      </c>
      <c r="D4137" s="2" t="str">
        <f t="shared" si="63"/>
        <v>Error?</v>
      </c>
    </row>
    <row r="4138" spans="1:4" x14ac:dyDescent="0.2">
      <c r="A4138" s="5">
        <v>4077</v>
      </c>
      <c r="B4138" s="138">
        <f>'Acct Summary 7-8'!E19</f>
        <v>6999751</v>
      </c>
      <c r="C4138" s="2" t="s">
        <v>594</v>
      </c>
      <c r="D4138" s="2" t="str">
        <f t="shared" si="63"/>
        <v>Error?</v>
      </c>
    </row>
    <row r="4139" spans="1:4" x14ac:dyDescent="0.2">
      <c r="A4139" s="5">
        <v>4078</v>
      </c>
      <c r="B4139" s="138">
        <f>'Acct Summary 7-8'!F19</f>
        <v>999577</v>
      </c>
      <c r="C4139" s="2" t="s">
        <v>594</v>
      </c>
      <c r="D4139" s="2" t="str">
        <f t="shared" si="63"/>
        <v>Error?</v>
      </c>
    </row>
    <row r="4140" spans="1:4" x14ac:dyDescent="0.2">
      <c r="A4140" s="5">
        <v>4079</v>
      </c>
      <c r="B4140" s="138">
        <f>'Acct Summary 7-8'!G19</f>
        <v>2383461</v>
      </c>
      <c r="C4140" s="2" t="s">
        <v>594</v>
      </c>
      <c r="D4140" s="2" t="str">
        <f t="shared" si="63"/>
        <v>Error?</v>
      </c>
    </row>
    <row r="4141" spans="1:4" x14ac:dyDescent="0.2">
      <c r="A4141" s="5">
        <v>4080</v>
      </c>
      <c r="B4141" s="138">
        <f>'Acct Summary 7-8'!H19</f>
        <v>6165393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877357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39801552</v>
      </c>
      <c r="C4171" s="2" t="s">
        <v>594</v>
      </c>
      <c r="D4171" s="2" t="str">
        <f t="shared" si="64"/>
        <v>Error?</v>
      </c>
    </row>
    <row r="4172" spans="1:4" x14ac:dyDescent="0.2">
      <c r="A4172" s="5">
        <v>4111</v>
      </c>
      <c r="B4172" s="138">
        <f>'Short-Term Long-Term Debt 24'!J49</f>
        <v>39801552</v>
      </c>
      <c r="C4172" s="2" t="s">
        <v>594</v>
      </c>
      <c r="D4172" s="2" t="str">
        <f t="shared" si="64"/>
        <v>Error?</v>
      </c>
    </row>
    <row r="4173" spans="1:4" x14ac:dyDescent="0.2">
      <c r="A4173" s="5">
        <v>4112</v>
      </c>
      <c r="B4173" s="138">
        <f>'Short-Term Long-Term Debt 24'!H49</f>
        <v>6064100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3270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88</v>
      </c>
      <c r="C4267" s="2" t="s">
        <v>594</v>
      </c>
      <c r="D4267" s="2" t="str">
        <f t="shared" si="65"/>
        <v>Error?</v>
      </c>
      <c r="E4267" s="128"/>
    </row>
    <row r="4268" spans="1:5" x14ac:dyDescent="0.2">
      <c r="A4268" s="12">
        <v>4207</v>
      </c>
      <c r="B4268" s="138">
        <f>('FP Info 3'!J10)*100000</f>
        <v>4108</v>
      </c>
      <c r="C4268" s="2" t="s">
        <v>594</v>
      </c>
      <c r="D4268" s="2" t="str">
        <f t="shared" si="65"/>
        <v>Error?</v>
      </c>
    </row>
    <row r="4269" spans="1:5" x14ac:dyDescent="0.2">
      <c r="A4269" s="12">
        <v>4208</v>
      </c>
      <c r="B4269" s="138">
        <f>'FP Info 3'!J16</f>
        <v>51752648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166852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188465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217759</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237289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119692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312394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188072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854804251</v>
      </c>
      <c r="D4995" s="2" t="str">
        <f t="shared" si="77"/>
        <v>Error?</v>
      </c>
    </row>
    <row r="4996" spans="1:4" x14ac:dyDescent="0.2">
      <c r="A4996" s="12">
        <v>4935</v>
      </c>
      <c r="B4996" s="138">
        <f>'FP Info 3'!H31</f>
        <v>117962986.63800001</v>
      </c>
      <c r="D4996" s="2" t="str">
        <f t="shared" si="77"/>
        <v>Error?</v>
      </c>
    </row>
    <row r="4997" spans="1:4" x14ac:dyDescent="0.2">
      <c r="A4997" s="12">
        <v>4936</v>
      </c>
      <c r="B4997" s="138">
        <f>'FP Info 3'!H37</f>
        <v>39801552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426428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27888405</v>
      </c>
      <c r="D5061" s="2" t="str">
        <f t="shared" si="78"/>
        <v>Error?</v>
      </c>
    </row>
    <row r="5062" spans="1:4" x14ac:dyDescent="0.2">
      <c r="A5062" s="10">
        <v>5001</v>
      </c>
      <c r="D5062" s="2" t="str">
        <f t="shared" si="78"/>
        <v>OK</v>
      </c>
    </row>
    <row r="5063" spans="1:4" x14ac:dyDescent="0.2">
      <c r="A5063" s="5">
        <v>5002</v>
      </c>
      <c r="B5063" s="138">
        <f>'Revenues 9-14'!C7</f>
        <v>341143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28655976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4358036</v>
      </c>
      <c r="D5069" s="2" t="str">
        <f t="shared" si="78"/>
        <v>Error?</v>
      </c>
    </row>
    <row r="5070" spans="1:4" x14ac:dyDescent="0.2">
      <c r="A5070" s="5">
        <v>5009</v>
      </c>
      <c r="B5070" s="138">
        <f>'Revenues 9-14'!C17</f>
        <v>93417</v>
      </c>
      <c r="D5070" s="2" t="str">
        <f t="shared" si="78"/>
        <v>Error?</v>
      </c>
    </row>
    <row r="5071" spans="1:4" x14ac:dyDescent="0.2">
      <c r="A5071" s="5">
        <v>5010</v>
      </c>
      <c r="B5071" s="138">
        <f>'Revenues 9-14'!C18</f>
        <v>4451453</v>
      </c>
      <c r="C5071" s="2" t="s">
        <v>594</v>
      </c>
      <c r="D5071" s="2" t="str">
        <f t="shared" si="78"/>
        <v>Error?</v>
      </c>
    </row>
    <row r="5072" spans="1:4" x14ac:dyDescent="0.2">
      <c r="A5072" s="5">
        <v>5011</v>
      </c>
      <c r="B5072" s="138">
        <f>'Revenues 9-14'!C20</f>
        <v>10605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2697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618603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631905</v>
      </c>
      <c r="C5087" s="2" t="s">
        <v>594</v>
      </c>
      <c r="D5087" s="2" t="str">
        <f t="shared" si="78"/>
        <v>Error?</v>
      </c>
    </row>
    <row r="5088" spans="1:4" x14ac:dyDescent="0.2">
      <c r="A5088" s="5">
        <v>5027</v>
      </c>
      <c r="B5088" s="138">
        <f>'Revenues 9-14'!C65</f>
        <v>312572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312572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276038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8981</v>
      </c>
      <c r="D5094" s="2" t="str">
        <f t="shared" si="78"/>
        <v>Error?</v>
      </c>
    </row>
    <row r="5095" spans="1:4" x14ac:dyDescent="0.2">
      <c r="A5095" s="5">
        <v>5034</v>
      </c>
      <c r="B5095" s="138">
        <f>'Revenues 9-14'!C74</f>
        <v>36725</v>
      </c>
      <c r="D5095" s="2" t="str">
        <f t="shared" si="78"/>
        <v>Error?</v>
      </c>
    </row>
    <row r="5096" spans="1:4" x14ac:dyDescent="0.2">
      <c r="A5096" s="5">
        <v>5035</v>
      </c>
      <c r="B5096" s="138">
        <f>'Revenues 9-14'!C75</f>
        <v>842048</v>
      </c>
      <c r="C5096" s="2" t="s">
        <v>594</v>
      </c>
      <c r="D5096" s="2" t="str">
        <f t="shared" si="78"/>
        <v>Error?</v>
      </c>
    </row>
    <row r="5097" spans="1:4" x14ac:dyDescent="0.2">
      <c r="A5097" s="5">
        <v>5036</v>
      </c>
      <c r="B5097" s="138">
        <f>'Revenues 9-14'!C77</f>
        <v>123538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17685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141223</v>
      </c>
      <c r="C5102" s="2" t="s">
        <v>594</v>
      </c>
      <c r="D5102" s="2" t="str">
        <f t="shared" si="78"/>
        <v>Error?</v>
      </c>
    </row>
    <row r="5103" spans="1:4" x14ac:dyDescent="0.2">
      <c r="A5103" s="5">
        <v>5042</v>
      </c>
      <c r="B5103" s="138">
        <f>'Revenues 9-14'!C84</f>
        <v>286393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203</v>
      </c>
      <c r="D5111" s="2" t="str">
        <f t="shared" si="78"/>
        <v>Error?</v>
      </c>
    </row>
    <row r="5112" spans="1:4" x14ac:dyDescent="0.2">
      <c r="A5112" s="5">
        <v>5051</v>
      </c>
      <c r="B5112" s="138">
        <f>'Revenues 9-14'!C93</f>
        <v>286596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90197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649069</v>
      </c>
      <c r="D5119" s="2" t="str">
        <f t="shared" ref="D5119:D5182" si="79">IF(ISBLANK(B5119),"OK",IF(A5119-B5119=0,"OK","Error?"))</f>
        <v>Error?</v>
      </c>
    </row>
    <row r="5120" spans="1:4" x14ac:dyDescent="0.2">
      <c r="A5120" s="5">
        <v>5059</v>
      </c>
      <c r="B5120" s="138">
        <f>'Revenues 9-14'!C108</f>
        <v>768208</v>
      </c>
      <c r="C5120" s="2" t="s">
        <v>594</v>
      </c>
      <c r="D5120" s="2" t="str">
        <f t="shared" si="79"/>
        <v>Error?</v>
      </c>
    </row>
    <row r="5121" spans="1:4" x14ac:dyDescent="0.2">
      <c r="A5121" s="5">
        <v>5060</v>
      </c>
      <c r="B5121" s="138">
        <f>'Revenues 9-14'!C109</f>
        <v>36089981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19146998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19146998</v>
      </c>
      <c r="C5132" s="2" t="s">
        <v>594</v>
      </c>
      <c r="D5132" s="2" t="str">
        <f t="shared" si="79"/>
        <v>Error?</v>
      </c>
    </row>
    <row r="5133" spans="1:4" x14ac:dyDescent="0.2">
      <c r="A5133" s="5">
        <v>5072</v>
      </c>
      <c r="B5133" s="138">
        <f>'Revenues 9-14'!C124</f>
        <v>149092</v>
      </c>
      <c r="D5133" s="2" t="str">
        <f t="shared" si="79"/>
        <v>Error?</v>
      </c>
    </row>
    <row r="5134" spans="1:4" x14ac:dyDescent="0.2">
      <c r="A5134" s="5">
        <v>5073</v>
      </c>
      <c r="B5134" s="138">
        <f>'Revenues 9-14'!C125</f>
        <v>242534</v>
      </c>
      <c r="D5134" s="2" t="str">
        <f t="shared" si="79"/>
        <v>Error?</v>
      </c>
    </row>
    <row r="5135" spans="1:4" x14ac:dyDescent="0.2">
      <c r="A5135" s="5">
        <v>5074</v>
      </c>
      <c r="B5135" s="138">
        <f>'Revenues 9-14'!C126</f>
        <v>255610</v>
      </c>
      <c r="D5135" s="2" t="str">
        <f t="shared" si="79"/>
        <v>Error?</v>
      </c>
    </row>
    <row r="5136" spans="1:4" x14ac:dyDescent="0.2">
      <c r="A5136" s="10">
        <v>5075</v>
      </c>
      <c r="D5136" s="2" t="str">
        <f t="shared" si="79"/>
        <v>OK</v>
      </c>
    </row>
    <row r="5137" spans="1:4" x14ac:dyDescent="0.2">
      <c r="A5137" s="5">
        <v>5076</v>
      </c>
      <c r="B5137" s="138">
        <f>'Revenues 9-14'!C127</f>
        <v>184554</v>
      </c>
      <c r="D5137" s="2" t="str">
        <f t="shared" si="79"/>
        <v>Error?</v>
      </c>
    </row>
    <row r="5138" spans="1:4" x14ac:dyDescent="0.2">
      <c r="A5138" s="10">
        <v>5077</v>
      </c>
      <c r="D5138" s="2" t="str">
        <f t="shared" si="79"/>
        <v>OK</v>
      </c>
    </row>
    <row r="5139" spans="1:4" x14ac:dyDescent="0.2">
      <c r="A5139" s="5">
        <v>5078</v>
      </c>
      <c r="B5139" s="138">
        <f>'Revenues 9-14'!C128</f>
        <v>39844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7306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878940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137556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137556</v>
      </c>
      <c r="C5161" s="2" t="s">
        <v>594</v>
      </c>
      <c r="D5161" s="2" t="str">
        <f t="shared" si="79"/>
        <v>Error?</v>
      </c>
    </row>
    <row r="5162" spans="1:4" x14ac:dyDescent="0.2">
      <c r="A5162" s="10">
        <v>5101</v>
      </c>
      <c r="D5162" s="2" t="str">
        <f t="shared" si="79"/>
        <v>OK</v>
      </c>
    </row>
    <row r="5163" spans="1:4" x14ac:dyDescent="0.2">
      <c r="A5163" s="5">
        <v>5102</v>
      </c>
      <c r="B5163" s="138">
        <f>'Revenues 9-14'!C142</f>
        <v>403875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403875</v>
      </c>
      <c r="C5165" s="2" t="s">
        <v>594</v>
      </c>
      <c r="D5165" s="2" t="str">
        <f t="shared" si="79"/>
        <v>Error?</v>
      </c>
    </row>
    <row r="5166" spans="1:4" x14ac:dyDescent="0.2">
      <c r="A5166" s="10">
        <v>5105</v>
      </c>
      <c r="D5166" s="2" t="str">
        <f t="shared" si="79"/>
        <v>OK</v>
      </c>
    </row>
    <row r="5167" spans="1:4" x14ac:dyDescent="0.2">
      <c r="A5167" s="5">
        <v>5106</v>
      </c>
      <c r="B5167" s="138">
        <f>'Revenues 9-14'!C145</f>
        <v>28691</v>
      </c>
      <c r="D5167" s="2" t="str">
        <f t="shared" si="79"/>
        <v>Error?</v>
      </c>
    </row>
    <row r="5168" spans="1:4" x14ac:dyDescent="0.2">
      <c r="A5168" s="5">
        <v>5107</v>
      </c>
      <c r="B5168" s="138">
        <f>'Revenues 9-14'!C147</f>
        <v>75025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1450269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3162428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22309426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1688007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309710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1997717</v>
      </c>
      <c r="C5246" s="2" t="s">
        <v>594</v>
      </c>
      <c r="D5246" s="2" t="str">
        <f t="shared" si="80"/>
        <v>Error?</v>
      </c>
    </row>
    <row r="5247" spans="1:4" x14ac:dyDescent="0.2">
      <c r="A5247" s="5">
        <v>5186</v>
      </c>
      <c r="B5247" s="138">
        <f>'Revenues 9-14'!C203</f>
        <v>1813741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19530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1813741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16754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1468999</v>
      </c>
      <c r="D5278" s="2" t="str">
        <f t="shared" si="81"/>
        <v>Error?</v>
      </c>
    </row>
    <row r="5279" spans="1:4" x14ac:dyDescent="0.2">
      <c r="A5279" s="5">
        <v>5218</v>
      </c>
      <c r="B5279" s="138">
        <f>'Revenues 9-14'!C221</f>
        <v>145103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1630856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4422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6471428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6471428</v>
      </c>
      <c r="C5326" s="2" t="s">
        <v>594</v>
      </c>
      <c r="D5326" s="2" t="str">
        <f t="shared" si="82"/>
        <v>Error?</v>
      </c>
    </row>
    <row r="5327" spans="1:4" x14ac:dyDescent="0.2">
      <c r="A5327" s="5">
        <v>5266</v>
      </c>
      <c r="B5327" s="138">
        <f>'Revenues 9-14'!C275</f>
        <v>64870835</v>
      </c>
      <c r="C5327" s="2" t="s">
        <v>594</v>
      </c>
      <c r="D5327" s="2" t="str">
        <f t="shared" si="82"/>
        <v>Error?</v>
      </c>
    </row>
    <row r="5328" spans="1:4" x14ac:dyDescent="0.2">
      <c r="A5328" s="5">
        <v>5267</v>
      </c>
      <c r="B5328" s="138">
        <f>'Revenues 9-14'!D5</f>
        <v>6396424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6396424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20796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40847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4368860</v>
      </c>
      <c r="D5354" s="2" t="str">
        <f t="shared" si="82"/>
        <v>Error?</v>
      </c>
    </row>
    <row r="5355" spans="1:4" x14ac:dyDescent="0.2">
      <c r="A5355" s="5">
        <v>5294</v>
      </c>
      <c r="B5355" s="138">
        <f>'Revenues 9-14'!D108</f>
        <v>4409707</v>
      </c>
      <c r="C5355" s="2" t="s">
        <v>594</v>
      </c>
      <c r="D5355" s="2" t="str">
        <f t="shared" si="82"/>
        <v>Error?</v>
      </c>
    </row>
    <row r="5356" spans="1:4" x14ac:dyDescent="0.2">
      <c r="A5356" s="5">
        <v>5295</v>
      </c>
      <c r="B5356" s="138">
        <f>'Revenues 9-14'!D109</f>
        <v>10826927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10826927</v>
      </c>
      <c r="C5508" s="2" t="s">
        <v>594</v>
      </c>
      <c r="D5508" s="2" t="str">
        <f t="shared" si="85"/>
        <v>Error?</v>
      </c>
    </row>
    <row r="5509" spans="1:4" x14ac:dyDescent="0.2">
      <c r="A5509" s="5">
        <v>5448</v>
      </c>
      <c r="B5509" s="138">
        <f>'Revenues 9-14'!E5</f>
        <v>3845831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3845831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17750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17750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150722</v>
      </c>
      <c r="C5526" s="2" t="s">
        <v>594</v>
      </c>
      <c r="D5526" s="2" t="str">
        <f t="shared" si="85"/>
        <v>Error?</v>
      </c>
    </row>
    <row r="5527" spans="1:4" x14ac:dyDescent="0.2">
      <c r="A5527" s="5">
        <v>5466</v>
      </c>
      <c r="B5527" s="138">
        <f>'Revenues 9-14'!E109</f>
        <v>4014303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4014303</v>
      </c>
      <c r="C5552" s="2" t="s">
        <v>594</v>
      </c>
      <c r="D5552" s="2" t="str">
        <f t="shared" si="85"/>
        <v>Error?</v>
      </c>
    </row>
    <row r="5553" spans="1:4" x14ac:dyDescent="0.2">
      <c r="A5553" s="5">
        <v>5492</v>
      </c>
      <c r="B5553" s="138">
        <f>'Revenues 9-14'!F5</f>
        <v>911719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911719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14011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14011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925730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365841</v>
      </c>
      <c r="D5617" s="2" t="str">
        <f t="shared" si="86"/>
        <v>Error?</v>
      </c>
    </row>
    <row r="5618" spans="1:4" x14ac:dyDescent="0.2">
      <c r="A5618" s="5">
        <v>5557</v>
      </c>
      <c r="B5618" s="138">
        <f>'Revenues 9-14'!F154</f>
        <v>365841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365841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365841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1291571</v>
      </c>
      <c r="C5720" s="2" t="s">
        <v>594</v>
      </c>
      <c r="D5720" s="2" t="str">
        <f t="shared" si="88"/>
        <v>Error?</v>
      </c>
    </row>
    <row r="5721" spans="1:4" x14ac:dyDescent="0.2">
      <c r="A5721" s="5">
        <v>5660</v>
      </c>
      <c r="B5721" s="138">
        <f>'Revenues 9-14'!G5</f>
        <v>965221</v>
      </c>
      <c r="D5721" s="2" t="str">
        <f t="shared" si="88"/>
        <v>Error?</v>
      </c>
    </row>
    <row r="5722" spans="1:4" x14ac:dyDescent="0.2">
      <c r="A5722" s="5">
        <v>5661</v>
      </c>
      <c r="B5722" s="138">
        <f>'Revenues 9-14'!G7</f>
        <v>0</v>
      </c>
      <c r="D5722" s="2" t="str">
        <f t="shared" si="88"/>
        <v>Error?</v>
      </c>
    </row>
    <row r="5723" spans="1:4" x14ac:dyDescent="0.2">
      <c r="A5723" s="5">
        <v>5662</v>
      </c>
      <c r="B5723" s="138">
        <f>'Revenues 9-14'!G8</f>
        <v>961969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1927190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507913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507913</v>
      </c>
      <c r="C5730" s="2" t="s">
        <v>594</v>
      </c>
      <c r="D5730" s="2" t="str">
        <f t="shared" si="88"/>
        <v>Error?</v>
      </c>
    </row>
    <row r="5731" spans="1:4" x14ac:dyDescent="0.2">
      <c r="A5731" s="5">
        <v>5670</v>
      </c>
      <c r="B5731" s="138">
        <f>'Revenues 9-14'!G65</f>
        <v>20753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20753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2455856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212530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212530</v>
      </c>
      <c r="C5881" s="2" t="s">
        <v>594</v>
      </c>
      <c r="D5881" s="2" t="str">
        <f t="shared" si="90"/>
        <v>Error?</v>
      </c>
    </row>
    <row r="5882" spans="1:4" x14ac:dyDescent="0.2">
      <c r="A5882" s="5">
        <v>5821</v>
      </c>
      <c r="B5882" s="138">
        <f>'Revenues 9-14'!H96</f>
        <v>4400000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170833</v>
      </c>
      <c r="D5885" s="2" t="str">
        <f t="shared" si="90"/>
        <v>Error?</v>
      </c>
    </row>
    <row r="5886" spans="1:4" x14ac:dyDescent="0.2">
      <c r="A5886" s="5">
        <v>5825</v>
      </c>
      <c r="B5886" s="138">
        <f>'Revenues 9-14'!H108</f>
        <v>8083864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8296394</v>
      </c>
      <c r="C5915" s="2" t="s">
        <v>594</v>
      </c>
      <c r="D5915" s="2" t="str">
        <f t="shared" si="91"/>
        <v>Error?</v>
      </c>
    </row>
    <row r="5916" spans="1:4" x14ac:dyDescent="0.2">
      <c r="A5916" s="5">
        <v>5855</v>
      </c>
      <c r="B5916" s="138">
        <f>'Revenues 9-14'!I5</f>
        <v>426429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426429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220675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220675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647104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426428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426428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29740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29740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456168</v>
      </c>
      <c r="C6023" s="2" t="s">
        <v>594</v>
      </c>
      <c r="D6023" s="2" t="str">
        <f t="shared" si="93"/>
        <v>Error?</v>
      </c>
    </row>
    <row r="6024" spans="1:5" x14ac:dyDescent="0.2">
      <c r="A6024" s="5">
        <v>5963</v>
      </c>
      <c r="B6024" s="138">
        <f>'Revenues 9-14'!G109</f>
        <v>2455856</v>
      </c>
      <c r="C6024" s="2" t="s">
        <v>594</v>
      </c>
      <c r="D6024" s="2" t="str">
        <f t="shared" si="93"/>
        <v>Error?</v>
      </c>
    </row>
    <row r="6025" spans="1:5" x14ac:dyDescent="0.2">
      <c r="A6025" s="5">
        <v>5964</v>
      </c>
      <c r="B6025" s="138">
        <f>'Revenues 9-14'!H109</f>
        <v>8296394</v>
      </c>
      <c r="C6025" s="2" t="s">
        <v>594</v>
      </c>
      <c r="D6025" s="2" t="str">
        <f t="shared" si="93"/>
        <v>Error?</v>
      </c>
    </row>
    <row r="6026" spans="1:5" x14ac:dyDescent="0.2">
      <c r="A6026" s="5">
        <v>5965</v>
      </c>
      <c r="B6026" s="138">
        <f>'Revenues 9-14'!I109</f>
        <v>647104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456168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520304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252425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6492.78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1940659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443265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48169</v>
      </c>
      <c r="D6099" s="2" t="str">
        <f t="shared" si="94"/>
        <v>Error?</v>
      </c>
      <c r="E6099" s="2" t="s">
        <v>199</v>
      </c>
    </row>
    <row r="6100" spans="1:5" x14ac:dyDescent="0.2">
      <c r="A6100">
        <v>6039</v>
      </c>
      <c r="B6100" s="138">
        <f>'Assets-Liab 5-6'!D9</f>
        <v>118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275</v>
      </c>
      <c r="D6102" s="2" t="str">
        <f t="shared" si="94"/>
        <v>Error?</v>
      </c>
      <c r="E6102" s="2" t="s">
        <v>199</v>
      </c>
    </row>
    <row r="6103" spans="1:5" x14ac:dyDescent="0.2">
      <c r="A6103">
        <f>A6102+1</f>
        <v>6042</v>
      </c>
      <c r="B6103" s="138">
        <f>'Assets-Liab 5-6'!G9</f>
        <v>993</v>
      </c>
      <c r="D6103" s="2" t="str">
        <f t="shared" si="94"/>
        <v>Error?</v>
      </c>
      <c r="E6103" s="2" t="s">
        <v>199</v>
      </c>
    </row>
    <row r="6104" spans="1:5" x14ac:dyDescent="0.2">
      <c r="A6104">
        <v>6043</v>
      </c>
      <c r="B6104" s="138">
        <f>'Assets-Liab 5-6'!H9</f>
        <v>11</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1864</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74816</v>
      </c>
      <c r="D6113" s="2" t="str">
        <f t="shared" si="94"/>
        <v>Error?</v>
      </c>
      <c r="E6113" s="2" t="s">
        <v>199</v>
      </c>
    </row>
    <row r="6114" spans="1:5" x14ac:dyDescent="0.2">
      <c r="A6114">
        <v>6053</v>
      </c>
      <c r="B6114" s="138">
        <f>'Assets-Liab 5-6'!D11</f>
        <v>2043</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419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3079037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1711065</v>
      </c>
      <c r="D6142" s="2" t="str">
        <f t="shared" si="94"/>
        <v>Error?</v>
      </c>
      <c r="E6142" s="2" t="s">
        <v>199</v>
      </c>
    </row>
    <row r="6143" spans="1:5" x14ac:dyDescent="0.2">
      <c r="A6143">
        <v>6082</v>
      </c>
      <c r="B6143" s="138">
        <f>'Assets-Liab 5-6'!D27</f>
        <v>599208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1989</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1410564</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6536</v>
      </c>
      <c r="D6149" s="2" t="str">
        <f t="shared" si="95"/>
        <v>Error?</v>
      </c>
      <c r="E6149" s="2" t="s">
        <v>199</v>
      </c>
    </row>
    <row r="6150" spans="1:5" x14ac:dyDescent="0.2">
      <c r="A6150">
        <v>6089</v>
      </c>
      <c r="B6150" s="138">
        <f>'Assets-Liab 5-6'!K27</f>
        <v>302094</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188414</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484887</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44983</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7740818</v>
      </c>
      <c r="D6169" s="2" t="str">
        <f t="shared" si="95"/>
        <v>Error?</v>
      </c>
      <c r="E6169" s="2" t="s">
        <v>199</v>
      </c>
    </row>
    <row r="6170" spans="1:5" x14ac:dyDescent="0.2">
      <c r="A6170">
        <v>6109</v>
      </c>
      <c r="B6170" s="138">
        <f>'Assets-Liab 5-6'!D30</f>
        <v>8958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241744</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1073177</v>
      </c>
      <c r="D6181" s="2" t="str">
        <f t="shared" si="95"/>
        <v>Error?</v>
      </c>
      <c r="E6181" s="2" t="s">
        <v>199</v>
      </c>
    </row>
    <row r="6182" spans="1:5" x14ac:dyDescent="0.2">
      <c r="A6182">
        <v>6121</v>
      </c>
      <c r="B6182" s="138">
        <f>'Assets-Liab 5-6'!C33</f>
        <v>345</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1079713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1999324</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3079037</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1750540</v>
      </c>
      <c r="D6218" s="2" t="str">
        <f t="shared" si="96"/>
        <v>Error?</v>
      </c>
      <c r="E6218" s="2" t="s">
        <v>199</v>
      </c>
    </row>
    <row r="6219" spans="1:5" x14ac:dyDescent="0.2">
      <c r="A6219">
        <v>6158</v>
      </c>
      <c r="B6219" s="138">
        <f>'Assets-Liab 5-6'!J6</f>
        <v>1326214</v>
      </c>
      <c r="D6219" s="2" t="str">
        <f t="shared" si="96"/>
        <v>Error?</v>
      </c>
      <c r="E6219" s="2" t="s">
        <v>199</v>
      </c>
    </row>
    <row r="6220" spans="1:5" x14ac:dyDescent="0.2">
      <c r="A6220">
        <v>6159</v>
      </c>
      <c r="B6220" s="138">
        <f>'Acct Summary 7-8'!J4</f>
        <v>1151662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1151662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1151662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966350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966350</v>
      </c>
      <c r="D6229" s="2" t="str">
        <f t="shared" si="96"/>
        <v>Error?</v>
      </c>
      <c r="E6229" s="2" t="s">
        <v>199</v>
      </c>
    </row>
    <row r="6230" spans="1:5" x14ac:dyDescent="0.2">
      <c r="A6230">
        <v>6169</v>
      </c>
      <c r="B6230" s="138">
        <f>'Acct Summary 7-8'!J20</f>
        <v>185312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185312</v>
      </c>
      <c r="D6263" s="2" t="str">
        <f t="shared" si="96"/>
        <v>Error?</v>
      </c>
      <c r="E6263" s="2" t="s">
        <v>199</v>
      </c>
    </row>
    <row r="6264" spans="1:5" x14ac:dyDescent="0.2">
      <c r="A6264">
        <v>6203</v>
      </c>
      <c r="B6264" s="138">
        <f>'Acct Summary 7-8'!J79</f>
        <v>1814012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1999324</v>
      </c>
      <c r="D6266" s="2" t="str">
        <f t="shared" si="96"/>
        <v>Error?</v>
      </c>
      <c r="E6266" s="2" t="s">
        <v>199</v>
      </c>
    </row>
    <row r="6267" spans="1:5" x14ac:dyDescent="0.2">
      <c r="A6267">
        <v>6206</v>
      </c>
      <c r="B6267" s="138">
        <f>'Acct Summary 7-8'!C82</f>
        <v>2729149</v>
      </c>
      <c r="D6267" s="2" t="str">
        <f t="shared" si="96"/>
        <v>Error?</v>
      </c>
      <c r="E6267" s="2" t="s">
        <v>199</v>
      </c>
    </row>
    <row r="6268" spans="1:5" x14ac:dyDescent="0.2">
      <c r="A6268">
        <v>6207</v>
      </c>
      <c r="B6268" s="138">
        <f>'Acct Summary 7-8'!D82</f>
        <v>391905</v>
      </c>
      <c r="D6268" s="2" t="str">
        <f t="shared" si="96"/>
        <v>Error?</v>
      </c>
      <c r="E6268" s="2" t="s">
        <v>199</v>
      </c>
    </row>
    <row r="6269" spans="1:5" x14ac:dyDescent="0.2">
      <c r="A6269">
        <v>6208</v>
      </c>
      <c r="B6269" s="138">
        <f>'Acct Summary 7-8'!E82</f>
        <v>90552</v>
      </c>
      <c r="D6269" s="2" t="str">
        <f t="shared" si="96"/>
        <v>Error?</v>
      </c>
      <c r="E6269" s="2" t="s">
        <v>199</v>
      </c>
    </row>
    <row r="6270" spans="1:5" x14ac:dyDescent="0.2">
      <c r="A6270">
        <v>6209</v>
      </c>
      <c r="B6270" s="138">
        <f>'Acct Summary 7-8'!F82</f>
        <v>291994</v>
      </c>
      <c r="D6270" s="2" t="str">
        <f t="shared" si="96"/>
        <v>Error?</v>
      </c>
      <c r="E6270" s="2" t="s">
        <v>199</v>
      </c>
    </row>
    <row r="6271" spans="1:5" x14ac:dyDescent="0.2">
      <c r="A6271">
        <v>6210</v>
      </c>
      <c r="B6271" s="138">
        <f>'Acct Summary 7-8'!G82</f>
        <v>72395</v>
      </c>
      <c r="D6271" s="2" t="str">
        <f t="shared" ref="D6271:D6334" si="97">IF(ISBLANK(B6271),"OK",IF(A6271-B6271=0,"OK","Error?"))</f>
        <v>Error?</v>
      </c>
      <c r="E6271" s="2" t="s">
        <v>199</v>
      </c>
    </row>
    <row r="6272" spans="1:5" x14ac:dyDescent="0.2">
      <c r="A6272">
        <v>6211</v>
      </c>
      <c r="B6272" s="138">
        <f>'Acct Summary 7-8'!H82</f>
        <v>24334428</v>
      </c>
      <c r="D6272" s="2" t="str">
        <f t="shared" si="97"/>
        <v>Error?</v>
      </c>
      <c r="E6272" s="2" t="s">
        <v>199</v>
      </c>
    </row>
    <row r="6273" spans="1:5" x14ac:dyDescent="0.2">
      <c r="A6273">
        <v>6212</v>
      </c>
      <c r="B6273" s="138">
        <f>'Acct Summary 7-8'!I82</f>
        <v>647104</v>
      </c>
      <c r="D6273" s="2" t="str">
        <f t="shared" si="97"/>
        <v>Error?</v>
      </c>
      <c r="E6273" s="2" t="s">
        <v>199</v>
      </c>
    </row>
    <row r="6274" spans="1:5" x14ac:dyDescent="0.2">
      <c r="A6274">
        <v>6213</v>
      </c>
      <c r="B6274" s="138">
        <f>'Acct Summary 7-8'!J82</f>
        <v>185312</v>
      </c>
      <c r="D6274" s="2" t="str">
        <f t="shared" si="97"/>
        <v>Error?</v>
      </c>
      <c r="E6274" s="2" t="s">
        <v>199</v>
      </c>
    </row>
    <row r="6275" spans="1:5" x14ac:dyDescent="0.2">
      <c r="A6275">
        <v>6214</v>
      </c>
      <c r="B6275" s="138">
        <f>'Acct Summary 7-8'!K82</f>
        <v>-421189</v>
      </c>
      <c r="D6275" s="2" t="str">
        <f t="shared" si="97"/>
        <v>Error?</v>
      </c>
      <c r="E6275" s="2" t="s">
        <v>199</v>
      </c>
    </row>
    <row r="6276" spans="1:5" x14ac:dyDescent="0.2">
      <c r="A6276">
        <v>6215</v>
      </c>
      <c r="B6276" s="138">
        <f>'Acct Summary 7-8'!C83</f>
        <v>8.3152220277674868E-2</v>
      </c>
      <c r="D6276" s="2" t="str">
        <f t="shared" si="97"/>
        <v>Error?</v>
      </c>
      <c r="E6276" s="2" t="s">
        <v>199</v>
      </c>
    </row>
    <row r="6277" spans="1:5" x14ac:dyDescent="0.2">
      <c r="A6277">
        <v>6216</v>
      </c>
      <c r="B6277" s="138">
        <f>'Acct Summary 7-8'!D83</f>
        <v>9.9964238817360856E-2</v>
      </c>
      <c r="D6277" s="2" t="str">
        <f t="shared" si="97"/>
        <v>Error?</v>
      </c>
      <c r="E6277" s="2" t="s">
        <v>199</v>
      </c>
    </row>
    <row r="6278" spans="1:5" x14ac:dyDescent="0.2">
      <c r="A6278">
        <v>6217</v>
      </c>
      <c r="B6278" s="138">
        <f>'Acct Summary 7-8'!E83</f>
        <v>2.8644184141183766E-2</v>
      </c>
      <c r="D6278" s="2" t="str">
        <f t="shared" si="97"/>
        <v>Error?</v>
      </c>
      <c r="E6278" s="2" t="s">
        <v>199</v>
      </c>
    </row>
    <row r="6279" spans="1:5" x14ac:dyDescent="0.2">
      <c r="A6279">
        <v>6218</v>
      </c>
      <c r="B6279" s="138">
        <f>'Acct Summary 7-8'!F83</f>
        <v>0.11998423736328398</v>
      </c>
      <c r="D6279" s="2" t="str">
        <f t="shared" si="97"/>
        <v>Error?</v>
      </c>
      <c r="E6279" s="2" t="s">
        <v>199</v>
      </c>
    </row>
    <row r="6280" spans="1:5" x14ac:dyDescent="0.2">
      <c r="A6280">
        <v>6219</v>
      </c>
      <c r="B6280" s="138">
        <f>'Acct Summary 7-8'!G83</f>
        <v>2.0495562574103371E-2</v>
      </c>
      <c r="D6280" s="2" t="str">
        <f t="shared" si="97"/>
        <v>Error?</v>
      </c>
      <c r="E6280" s="2" t="s">
        <v>199</v>
      </c>
    </row>
    <row r="6281" spans="1:5" x14ac:dyDescent="0.2">
      <c r="A6281">
        <v>6220</v>
      </c>
      <c r="B6281" s="138">
        <f>'Acct Summary 7-8'!H83</f>
        <v>0.94752979581080354</v>
      </c>
      <c r="D6281" s="2" t="str">
        <f t="shared" si="97"/>
        <v>Error?</v>
      </c>
      <c r="E6281" s="2" t="s">
        <v>199</v>
      </c>
    </row>
    <row r="6282" spans="1:5" x14ac:dyDescent="0.2">
      <c r="A6282">
        <v>6221</v>
      </c>
      <c r="B6282" s="138">
        <f>'Acct Summary 7-8'!I83</f>
        <v>5.1449444574438757E-2</v>
      </c>
      <c r="D6282" s="2" t="str">
        <f t="shared" si="97"/>
        <v>Error?</v>
      </c>
      <c r="E6282" s="2" t="s">
        <v>199</v>
      </c>
    </row>
    <row r="6283" spans="1:5" x14ac:dyDescent="0.2">
      <c r="A6283">
        <v>6222</v>
      </c>
      <c r="B6283" s="138">
        <f>'Acct Summary 7-8'!J83</f>
        <v>9.2687328316971143E-2</v>
      </c>
      <c r="D6283" s="2" t="str">
        <f t="shared" si="97"/>
        <v>Error?</v>
      </c>
      <c r="E6283" s="2" t="s">
        <v>199</v>
      </c>
    </row>
    <row r="6284" spans="1:5" x14ac:dyDescent="0.2">
      <c r="A6284">
        <v>6223</v>
      </c>
      <c r="B6284" s="138">
        <f>'Acct Summary 7-8'!K83</f>
        <v>-0.38119342360818231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1140180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1140180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11482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11482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28942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1151662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157505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732556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224164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134605</v>
      </c>
      <c r="D6983" s="2" t="str">
        <f t="shared" si="108"/>
        <v>Error?</v>
      </c>
    </row>
    <row r="6984" spans="1:4" x14ac:dyDescent="0.2">
      <c r="A6984">
        <v>6923</v>
      </c>
      <c r="B6984" s="138">
        <f>'Expenditures 15-22'!K86</f>
        <v>134605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134605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966350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150722</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1151662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1498</v>
      </c>
      <c r="D7075" s="2" t="str">
        <f t="shared" si="109"/>
        <v>Error?</v>
      </c>
    </row>
    <row r="7076" spans="1:4" x14ac:dyDescent="0.2">
      <c r="A7076">
        <v>7015</v>
      </c>
      <c r="B7076" s="138">
        <f>'Expenditures 15-22'!K218</f>
        <v>1498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2348</v>
      </c>
      <c r="D7079" s="2" t="str">
        <f t="shared" si="109"/>
        <v>Error?</v>
      </c>
    </row>
    <row r="7080" spans="1:4" x14ac:dyDescent="0.2">
      <c r="A7080">
        <v>7019</v>
      </c>
      <c r="B7080" s="138">
        <f>'Expenditures 15-22'!K226</f>
        <v>2348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262019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262019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2396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415185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415185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180450</v>
      </c>
      <c r="D7172" s="2" t="str">
        <f t="shared" si="111"/>
        <v>Error?</v>
      </c>
    </row>
    <row r="7173" spans="1:4" x14ac:dyDescent="0.2">
      <c r="A7173">
        <v>7112</v>
      </c>
      <c r="B7173" s="138">
        <f>'Expenditures 15-22'!D325</f>
        <v>24957</v>
      </c>
      <c r="D7173" s="2" t="str">
        <f t="shared" si="111"/>
        <v>Error?</v>
      </c>
    </row>
    <row r="7174" spans="1:4" x14ac:dyDescent="0.2">
      <c r="A7174">
        <v>7113</v>
      </c>
      <c r="B7174" s="138">
        <f>'Expenditures 15-22'!E325</f>
        <v>27613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233020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53730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53730</v>
      </c>
      <c r="D7198" s="2" t="str">
        <f t="shared" si="111"/>
        <v>Error?</v>
      </c>
    </row>
    <row r="7199" spans="1:4" x14ac:dyDescent="0.2">
      <c r="A7199">
        <v>7138</v>
      </c>
      <c r="B7199" s="138">
        <f>'Expenditures 15-22'!C330</f>
        <v>180450</v>
      </c>
      <c r="D7199" s="2" t="str">
        <f t="shared" si="111"/>
        <v>Error?</v>
      </c>
    </row>
    <row r="7200" spans="1:4" x14ac:dyDescent="0.2">
      <c r="A7200">
        <v>7139</v>
      </c>
      <c r="B7200" s="138">
        <f>'Expenditures 15-22'!D330</f>
        <v>24957</v>
      </c>
      <c r="D7200" s="2" t="str">
        <f t="shared" si="111"/>
        <v>Error?</v>
      </c>
    </row>
    <row r="7201" spans="1:4" x14ac:dyDescent="0.2">
      <c r="A7201">
        <v>7140</v>
      </c>
      <c r="B7201" s="138">
        <f>'Expenditures 15-22'!E330</f>
        <v>760943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966350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180450</v>
      </c>
      <c r="D7216" s="2" t="str">
        <f t="shared" si="111"/>
        <v>Error?</v>
      </c>
    </row>
    <row r="7217" spans="1:4" x14ac:dyDescent="0.2">
      <c r="A7217">
        <v>7156</v>
      </c>
      <c r="B7217" s="138">
        <f>'Expenditures 15-22'!D342</f>
        <v>24957</v>
      </c>
      <c r="D7217" s="2" t="str">
        <f t="shared" si="111"/>
        <v>Error?</v>
      </c>
    </row>
    <row r="7218" spans="1:4" x14ac:dyDescent="0.2">
      <c r="A7218">
        <v>7157</v>
      </c>
      <c r="B7218" s="138">
        <f>'Expenditures 15-22'!E342</f>
        <v>760943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966350</v>
      </c>
      <c r="D7224" s="2" t="str">
        <f t="shared" si="111"/>
        <v>Error?</v>
      </c>
    </row>
    <row r="7225" spans="1:4" x14ac:dyDescent="0.2">
      <c r="A7225">
        <v>7164</v>
      </c>
      <c r="B7225" s="138">
        <f>'Expenditures 15-22'!K343</f>
        <v>185312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110041</v>
      </c>
      <c r="D7251" s="2" t="str">
        <f t="shared" si="112"/>
        <v>Error?</v>
      </c>
    </row>
    <row r="7252" spans="1:4" x14ac:dyDescent="0.2">
      <c r="A7252">
        <f t="shared" si="113"/>
        <v>7191</v>
      </c>
      <c r="B7252" s="138">
        <f>'Expenditures 15-22'!D9</f>
        <v>47464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554719</v>
      </c>
      <c r="D7257" s="2" t="str">
        <f t="shared" si="112"/>
        <v>Error?</v>
      </c>
    </row>
    <row r="7258" spans="1:4" x14ac:dyDescent="0.2">
      <c r="A7258">
        <f t="shared" si="113"/>
        <v>7197</v>
      </c>
      <c r="B7258" s="138">
        <f>'Expenditures 15-22'!D11</f>
        <v>152305</v>
      </c>
      <c r="D7258" s="2" t="str">
        <f t="shared" si="112"/>
        <v>Error?</v>
      </c>
    </row>
    <row r="7259" spans="1:4" x14ac:dyDescent="0.2">
      <c r="A7259">
        <f t="shared" si="113"/>
        <v>7198</v>
      </c>
      <c r="B7259" s="138">
        <f>'Expenditures 15-22'!E11</f>
        <v>9414</v>
      </c>
      <c r="D7259" s="2" t="str">
        <f t="shared" si="112"/>
        <v>Error?</v>
      </c>
    </row>
    <row r="7260" spans="1:4" x14ac:dyDescent="0.2">
      <c r="A7260">
        <f t="shared" si="113"/>
        <v>7199</v>
      </c>
      <c r="B7260" s="138">
        <f>'Expenditures 15-22'!F11</f>
        <v>2454</v>
      </c>
      <c r="D7260" s="2" t="str">
        <f t="shared" si="112"/>
        <v>Error?</v>
      </c>
    </row>
    <row r="7261" spans="1:4" x14ac:dyDescent="0.2">
      <c r="A7261">
        <f t="shared" si="113"/>
        <v>7200</v>
      </c>
      <c r="B7261" s="138">
        <f>'Expenditures 15-22'!G11</f>
        <v>13664</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161918</v>
      </c>
      <c r="D7263" s="2" t="str">
        <f t="shared" si="112"/>
        <v>Error?</v>
      </c>
    </row>
    <row r="7264" spans="1:4" x14ac:dyDescent="0.2">
      <c r="A7264">
        <f t="shared" si="113"/>
        <v>7203</v>
      </c>
      <c r="B7264" s="138">
        <f>'Expenditures 15-22'!D17</f>
        <v>57425</v>
      </c>
      <c r="D7264" s="2" t="str">
        <f t="shared" si="112"/>
        <v>Error?</v>
      </c>
    </row>
    <row r="7265" spans="1:5" x14ac:dyDescent="0.2">
      <c r="A7265">
        <f t="shared" si="113"/>
        <v>7204</v>
      </c>
      <c r="B7265" s="138">
        <f>'Expenditures 15-22'!E17</f>
        <v>1249</v>
      </c>
      <c r="D7265" s="2" t="str">
        <f t="shared" si="112"/>
        <v>Error?</v>
      </c>
    </row>
    <row r="7266" spans="1:5" x14ac:dyDescent="0.2">
      <c r="A7266">
        <f t="shared" si="113"/>
        <v>7205</v>
      </c>
      <c r="B7266" s="138">
        <f>'Expenditures 15-22'!F17</f>
        <v>3572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110527328</v>
      </c>
      <c r="D7606" s="2" t="str">
        <f t="shared" si="122"/>
        <v>Error?</v>
      </c>
      <c r="E7606" s="2" t="s">
        <v>19</v>
      </c>
    </row>
    <row r="7607" spans="1:5" x14ac:dyDescent="0.2">
      <c r="A7607">
        <f t="shared" si="123"/>
        <v>7546</v>
      </c>
      <c r="B7607" s="138">
        <f>'Cap Outlay Deprec 26'!D9</f>
        <v>416087</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110943415</v>
      </c>
      <c r="D7609" s="2" t="str">
        <f t="shared" si="122"/>
        <v>Error?</v>
      </c>
      <c r="E7609" s="2" t="s">
        <v>19</v>
      </c>
    </row>
    <row r="7610" spans="1:5" x14ac:dyDescent="0.2">
      <c r="A7610">
        <f t="shared" si="123"/>
        <v>7549</v>
      </c>
      <c r="B7610" s="138">
        <f>'Cap Outlay Deprec 26'!H9</f>
        <v>34190587</v>
      </c>
      <c r="D7610" s="2" t="str">
        <f t="shared" si="122"/>
        <v>Error?</v>
      </c>
      <c r="E7610" s="2" t="s">
        <v>19</v>
      </c>
    </row>
    <row r="7611" spans="1:5" x14ac:dyDescent="0.2">
      <c r="A7611">
        <f t="shared" si="123"/>
        <v>7550</v>
      </c>
      <c r="B7611" s="138">
        <f>'Cap Outlay Deprec 26'!I9</f>
        <v>2215099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36405686</v>
      </c>
      <c r="D7613" s="2" t="str">
        <f t="shared" si="122"/>
        <v>Error?</v>
      </c>
      <c r="E7613" s="2" t="s">
        <v>19</v>
      </c>
    </row>
    <row r="7614" spans="1:5" x14ac:dyDescent="0.2">
      <c r="A7614">
        <f t="shared" si="123"/>
        <v>7553</v>
      </c>
      <c r="B7614" s="138">
        <f>'Cap Outlay Deprec 26'!L9</f>
        <v>74537729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2688121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28942</v>
      </c>
      <c r="D7712" s="2" t="str">
        <f t="shared" si="126"/>
        <v>Error?</v>
      </c>
      <c r="E7712" s="2" t="s">
        <v>881</v>
      </c>
    </row>
    <row r="7713" spans="1:6" x14ac:dyDescent="0.2">
      <c r="A7713">
        <v>7652</v>
      </c>
      <c r="B7713" s="138">
        <f>'Rest Tax Levies-Tort Im 25'!J8</f>
        <v>3513031</v>
      </c>
      <c r="D7713" s="2" t="str">
        <f t="shared" si="126"/>
        <v>Error?</v>
      </c>
      <c r="E7713" s="2" t="s">
        <v>881</v>
      </c>
    </row>
    <row r="7714" spans="1:6" x14ac:dyDescent="0.2">
      <c r="A7714">
        <v>7653</v>
      </c>
      <c r="B7714" s="138">
        <f>'Rest Tax Levies-Tort Im 25'!K9</f>
        <v>75025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3513031</v>
      </c>
      <c r="D7718" s="2" t="str">
        <f t="shared" si="126"/>
        <v>Error?</v>
      </c>
      <c r="E7718" s="2" t="s">
        <v>881</v>
      </c>
    </row>
    <row r="7719" spans="1:6" x14ac:dyDescent="0.2">
      <c r="A7719">
        <v>7658</v>
      </c>
      <c r="B7719" s="138">
        <f>'Rest Tax Levies-Tort Im 25'!K12</f>
        <v>103967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3513031</v>
      </c>
      <c r="D7731" s="2" t="str">
        <f t="shared" si="126"/>
        <v>Error?</v>
      </c>
      <c r="E7731" s="2" t="s">
        <v>881</v>
      </c>
    </row>
    <row r="7732" spans="1:6" x14ac:dyDescent="0.2">
      <c r="A7732">
        <v>7671</v>
      </c>
      <c r="B7732" s="138">
        <f>'Rest Tax Levies-Tort Im 25'!J24</f>
        <v>3513031</v>
      </c>
      <c r="D7732" s="2" t="str">
        <f t="shared" si="126"/>
        <v>Error?</v>
      </c>
      <c r="E7732" s="2" t="s">
        <v>881</v>
      </c>
    </row>
    <row r="7733" spans="1:6" x14ac:dyDescent="0.2">
      <c r="A7733">
        <v>7672</v>
      </c>
      <c r="B7733" s="138">
        <f>'Rest Tax Levies-Tort Im 25'!K24</f>
        <v>103967</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3513031</v>
      </c>
      <c r="D7742" s="2" t="str">
        <f t="shared" si="126"/>
        <v>Error?</v>
      </c>
      <c r="E7742" s="2" t="s">
        <v>881</v>
      </c>
    </row>
    <row r="7743" spans="1:6" x14ac:dyDescent="0.2">
      <c r="A7743">
        <v>7682</v>
      </c>
      <c r="B7743" s="138">
        <f>'Rest Tax Levies-Tort Im 25'!K26</f>
        <v>103967</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121307.04000000001</v>
      </c>
      <c r="D7758" s="2" t="str">
        <f t="shared" si="127"/>
        <v>Error?</v>
      </c>
      <c r="E7758" s="4" t="s">
        <v>1400</v>
      </c>
    </row>
    <row r="7759" spans="1:6" x14ac:dyDescent="0.2">
      <c r="A7759">
        <v>7698</v>
      </c>
      <c r="B7759" s="138">
        <f>'Aud Quest 2'!J88</f>
        <v>121307</v>
      </c>
      <c r="D7759" s="2" t="str">
        <f t="shared" si="127"/>
        <v>Error?</v>
      </c>
      <c r="E7759" s="4" t="s">
        <v>1400</v>
      </c>
    </row>
    <row r="7760" spans="1:6" x14ac:dyDescent="0.2">
      <c r="A7760">
        <v>7699</v>
      </c>
      <c r="B7760" s="138">
        <f>'Aud Quest 2'!J90</f>
        <v>242614.04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6913235</v>
      </c>
      <c r="D7797" s="2" t="str">
        <f t="shared" si="127"/>
        <v>Error?</v>
      </c>
      <c r="E7797" s="4" t="s">
        <v>2017</v>
      </c>
    </row>
    <row r="7798" spans="1:5" x14ac:dyDescent="0.2">
      <c r="A7798">
        <v>7737</v>
      </c>
      <c r="B7798" s="138">
        <f>'Contracts Paid in CY 29'!F141</f>
        <v>1913304</v>
      </c>
      <c r="D7798" s="2" t="str">
        <f t="shared" si="127"/>
        <v>Error?</v>
      </c>
      <c r="E7798" s="4" t="s">
        <v>2017</v>
      </c>
    </row>
    <row r="7799" spans="1:5" x14ac:dyDescent="0.2">
      <c r="A7799">
        <v>7738</v>
      </c>
      <c r="B7799" s="138">
        <f>'Contracts Paid in CY 29'!G141</f>
        <v>4999931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sqref="A1:M1"/>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5" t="str">
        <f>COVER!A17</f>
        <v>Moline-Coal Valley CUSD 40</v>
      </c>
      <c r="B7" s="2426"/>
      <c r="C7" s="2426"/>
      <c r="D7" s="2427"/>
      <c r="E7" s="2428">
        <f>COVER!A13</f>
        <v>49081040022</v>
      </c>
      <c r="F7" s="2429"/>
      <c r="G7" s="2435" t="str">
        <f>COVER!T23</f>
        <v>066-003346</v>
      </c>
      <c r="H7" s="2436"/>
      <c r="I7" s="2436"/>
      <c r="J7" s="2436"/>
      <c r="K7" s="2436"/>
      <c r="L7" s="243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8"/>
      <c r="B9" s="2439"/>
      <c r="C9" s="2439"/>
      <c r="D9" s="2439"/>
      <c r="E9" s="2439"/>
      <c r="F9" s="2440"/>
      <c r="G9" s="2409" t="str">
        <f>COVER!T13</f>
        <v>RSM US LLP</v>
      </c>
      <c r="H9" s="2441"/>
      <c r="I9" s="2441"/>
      <c r="J9" s="2441"/>
      <c r="K9" s="2441"/>
      <c r="L9" s="2442"/>
    </row>
    <row r="10" spans="1:29" ht="13.5" customHeight="1" x14ac:dyDescent="0.2">
      <c r="A10" s="2415" t="str">
        <f>COVER!A38</f>
        <v>Lanty McGuire, Superintendent of Schools</v>
      </c>
      <c r="B10" s="2416"/>
      <c r="C10" s="2416"/>
      <c r="D10" s="2416"/>
      <c r="E10" s="2416"/>
      <c r="F10" s="2417"/>
      <c r="G10" s="2409" t="str">
        <f>COVER!T17</f>
        <v>201 N. Harrison Street</v>
      </c>
      <c r="H10" s="2410"/>
      <c r="I10" s="2410"/>
      <c r="J10" s="2410"/>
      <c r="K10" s="2410"/>
      <c r="L10" s="2411"/>
    </row>
    <row r="11" spans="1:29" ht="13.5" customHeight="1" x14ac:dyDescent="0.2">
      <c r="A11" s="1182" t="s">
        <v>1599</v>
      </c>
      <c r="B11" s="1183"/>
      <c r="C11" s="1184"/>
      <c r="D11" s="1189"/>
      <c r="E11" s="1184"/>
      <c r="F11" s="1188"/>
      <c r="G11" s="2409" t="str">
        <f>COVER!T19</f>
        <v>Davenport</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heidi.hobkirk@rsmus.com</v>
      </c>
      <c r="J13" s="2422"/>
      <c r="K13" s="2422"/>
      <c r="L13" s="2423"/>
    </row>
    <row r="14" spans="1:29" ht="13.5" customHeight="1" x14ac:dyDescent="0.2">
      <c r="A14" s="2409" t="str">
        <f>COVER!A19</f>
        <v>1619 11th Avenue</v>
      </c>
      <c r="B14" s="2410"/>
      <c r="C14" s="2410"/>
      <c r="D14" s="2410"/>
      <c r="E14" s="2410"/>
      <c r="F14" s="2411"/>
      <c r="G14" s="1193" t="s">
        <v>1247</v>
      </c>
      <c r="H14" s="1191"/>
      <c r="I14" s="1191"/>
      <c r="J14" s="1191"/>
      <c r="K14" s="1191"/>
      <c r="L14" s="1192"/>
    </row>
    <row r="15" spans="1:29" ht="13.5" customHeight="1" x14ac:dyDescent="0.2">
      <c r="A15" s="2409" t="str">
        <f>COVER!A21</f>
        <v>Moline</v>
      </c>
      <c r="B15" s="2410"/>
      <c r="C15" s="2410"/>
      <c r="D15" s="2410"/>
      <c r="E15" s="2410"/>
      <c r="F15" s="2411"/>
      <c r="G15" s="2406" t="str">
        <f>COVER!T15</f>
        <v>Heidi Hobkirk</v>
      </c>
      <c r="H15" s="2407"/>
      <c r="I15" s="2407"/>
      <c r="J15" s="2407"/>
      <c r="K15" s="2407"/>
      <c r="L15" s="2408"/>
    </row>
    <row r="16" spans="1:29" ht="12.2" customHeight="1" x14ac:dyDescent="0.2">
      <c r="A16" s="2431">
        <f>COVER!A25</f>
        <v>61265</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3" t="s">
        <v>1246</v>
      </c>
      <c r="H17" s="1191"/>
      <c r="I17" s="1191"/>
      <c r="J17" s="1191"/>
      <c r="K17" s="1195" t="s">
        <v>1245</v>
      </c>
      <c r="L17" s="1188"/>
      <c r="M17" s="1181"/>
    </row>
    <row r="18" spans="1:13" ht="12.2" customHeight="1" x14ac:dyDescent="0.2">
      <c r="A18" s="2415"/>
      <c r="B18" s="2416"/>
      <c r="C18" s="2416"/>
      <c r="D18" s="2416"/>
      <c r="E18" s="2416"/>
      <c r="F18" s="2417"/>
      <c r="G18" s="2425" t="str">
        <f>COVER!T21</f>
        <v>563-888-4000</v>
      </c>
      <c r="H18" s="2426"/>
      <c r="I18" s="2426"/>
      <c r="J18" s="2426"/>
      <c r="K18" s="2425" t="str">
        <f>COVER!X21</f>
        <v>563-324-6939</v>
      </c>
      <c r="L18" s="243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sqref="A1:M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7" t="str">
        <f>'Single Audit Cover'!A7</f>
        <v>Moline-Coal Valley CUSD 40</v>
      </c>
      <c r="B1" s="2424"/>
      <c r="C1" s="2424"/>
      <c r="D1" s="2424"/>
    </row>
    <row r="2" spans="1:11" s="1212" customFormat="1" ht="12.75" x14ac:dyDescent="0.2">
      <c r="A2" s="2448">
        <f>'Single Audit Cover'!E7</f>
        <v>49081040022</v>
      </c>
      <c r="B2" s="2449"/>
      <c r="C2" s="2449"/>
      <c r="D2" s="2449"/>
    </row>
    <row r="3" spans="1:11" s="1212" customFormat="1" ht="12.75" x14ac:dyDescent="0.2">
      <c r="A3" s="2447" t="s">
        <v>1593</v>
      </c>
      <c r="B3" s="2424"/>
      <c r="C3" s="2424"/>
      <c r="D3" s="2424"/>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1945</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1" t="str">
        <f>'Single Audit Cover'!A7</f>
        <v>Moline-Coal Valley CUSD 40</v>
      </c>
      <c r="B1" s="2451"/>
      <c r="C1" s="2451"/>
      <c r="D1" s="2451"/>
      <c r="E1" s="2451"/>
    </row>
    <row r="2" spans="1:5" x14ac:dyDescent="0.2">
      <c r="A2" s="2452">
        <f>'Single Audit Cover'!E7</f>
        <v>49081040022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57" t="s">
        <v>1305</v>
      </c>
    </row>
    <row r="10" spans="1:5" x14ac:dyDescent="0.2">
      <c r="A10" s="1258" t="s">
        <v>1304</v>
      </c>
      <c r="B10" s="1259" t="s">
        <v>1303</v>
      </c>
      <c r="C10" s="1259"/>
      <c r="D10" s="1260">
        <f>SUM('Acct Summary 7-8'!C7:K7)</f>
        <v>6471428</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252425</v>
      </c>
    </row>
    <row r="15" spans="1:5" x14ac:dyDescent="0.2">
      <c r="A15" s="1258"/>
      <c r="B15" s="1259"/>
      <c r="C15" s="1259"/>
    </row>
    <row r="16" spans="1:5" x14ac:dyDescent="0.2">
      <c r="A16" s="1258" t="s">
        <v>1953</v>
      </c>
      <c r="B16" s="1259"/>
      <c r="C16" s="1259"/>
    </row>
    <row r="17" spans="1:4" x14ac:dyDescent="0.2">
      <c r="A17" s="1258" t="s">
        <v>1601</v>
      </c>
      <c r="B17" s="1259" t="s">
        <v>1298</v>
      </c>
      <c r="C17" s="1259"/>
      <c r="D17" s="1261">
        <f>-SUM('Revenues 9-14'!C271:D271,'Revenues 9-14'!F271:G271)</f>
        <v>-188465</v>
      </c>
    </row>
    <row r="19" spans="1:4" ht="13.5" thickBot="1" x14ac:dyDescent="0.25">
      <c r="A19" s="1262" t="s">
        <v>1297</v>
      </c>
      <c r="D19" s="1263">
        <f>SUM(D10:D17)</f>
        <v>6535388</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3"/>
      <c r="B24" s="2453"/>
      <c r="D24" s="1265"/>
    </row>
    <row r="25" spans="1:4" x14ac:dyDescent="0.2">
      <c r="A25" s="2450"/>
      <c r="B25" s="2450"/>
      <c r="D25" s="1265"/>
    </row>
    <row r="26" spans="1:4" x14ac:dyDescent="0.2">
      <c r="A26" s="2450"/>
      <c r="B26" s="2450"/>
      <c r="D26" s="1265"/>
    </row>
    <row r="27" spans="1:4" x14ac:dyDescent="0.2">
      <c r="A27" s="2450"/>
      <c r="B27" s="2450"/>
      <c r="D27" s="1265"/>
    </row>
    <row r="28" spans="1:4" x14ac:dyDescent="0.2">
      <c r="A28" s="2450"/>
      <c r="B28" s="2450"/>
      <c r="D28" s="1265"/>
    </row>
    <row r="29" spans="1:4" x14ac:dyDescent="0.2">
      <c r="A29" s="2450"/>
      <c r="B29" s="2450"/>
      <c r="D29" s="1265"/>
    </row>
    <row r="30" spans="1:4" x14ac:dyDescent="0.2">
      <c r="A30" s="2450"/>
      <c r="B30" s="2450"/>
      <c r="D30" s="1265"/>
    </row>
    <row r="32" spans="1:4" x14ac:dyDescent="0.2">
      <c r="A32" s="1257" t="s">
        <v>1295</v>
      </c>
      <c r="D32" s="1260">
        <f>SUM(D19:D30)</f>
        <v>6535388</v>
      </c>
    </row>
    <row r="33" spans="1:4" x14ac:dyDescent="0.2">
      <c r="D33" s="1266"/>
    </row>
    <row r="34" spans="1:4" x14ac:dyDescent="0.2">
      <c r="A34" s="317" t="s">
        <v>1294</v>
      </c>
    </row>
    <row r="35" spans="1:4" x14ac:dyDescent="0.2">
      <c r="A35" s="317" t="s">
        <v>1293</v>
      </c>
      <c r="B35" s="1255" t="s">
        <v>1292</v>
      </c>
      <c r="D35" s="1267">
        <f>SEFA5!F21</f>
        <v>6535388</v>
      </c>
    </row>
    <row r="37" spans="1:4" x14ac:dyDescent="0.2">
      <c r="A37" s="1257" t="s">
        <v>1291</v>
      </c>
    </row>
    <row r="39" spans="1:4" ht="13.35" customHeight="1" x14ac:dyDescent="0.2">
      <c r="A39" s="1264" t="s">
        <v>1290</v>
      </c>
    </row>
    <row r="40" spans="1:4" x14ac:dyDescent="0.2">
      <c r="A40" s="2450"/>
      <c r="B40" s="2450"/>
      <c r="D40" s="1265"/>
    </row>
    <row r="41" spans="1:4" x14ac:dyDescent="0.2">
      <c r="A41" s="2450"/>
      <c r="B41" s="2450"/>
      <c r="D41" s="1268"/>
    </row>
    <row r="42" spans="1:4" x14ac:dyDescent="0.2">
      <c r="A42" s="2450"/>
      <c r="B42" s="2450"/>
      <c r="D42" s="1268"/>
    </row>
    <row r="43" spans="1:4" x14ac:dyDescent="0.2">
      <c r="A43" s="2450"/>
      <c r="B43" s="2450"/>
      <c r="D43" s="1268"/>
    </row>
    <row r="44" spans="1:4" x14ac:dyDescent="0.2">
      <c r="A44" s="2450"/>
      <c r="B44" s="2450"/>
      <c r="D44" s="1268"/>
    </row>
    <row r="45" spans="1:4" x14ac:dyDescent="0.2">
      <c r="A45" s="2450"/>
      <c r="B45" s="2450"/>
      <c r="D45" s="1268"/>
    </row>
    <row r="47" spans="1:4" x14ac:dyDescent="0.2">
      <c r="B47" s="1269" t="s">
        <v>1289</v>
      </c>
      <c r="C47" s="1269"/>
      <c r="D47" s="1270">
        <f>SUM(D35:D45)</f>
        <v>6535388</v>
      </c>
    </row>
    <row r="49" spans="2:4" x14ac:dyDescent="0.2">
      <c r="B49" s="1269" t="s">
        <v>1288</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sqref="A1:M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Moline-Coal Valley CUSD 40</v>
      </c>
      <c r="B1" s="2464"/>
      <c r="C1" s="2464"/>
      <c r="D1" s="2464"/>
      <c r="E1" s="2464"/>
      <c r="F1" s="2464"/>
    </row>
    <row r="2" spans="1:7" ht="13.5" customHeight="1" x14ac:dyDescent="0.2">
      <c r="A2" s="2465">
        <f>'Single Audit Cover'!E7</f>
        <v>49081040022</v>
      </c>
      <c r="B2" s="2465"/>
      <c r="C2" s="2465"/>
      <c r="D2" s="2465"/>
      <c r="E2" s="2465"/>
      <c r="F2" s="2465"/>
      <c r="G2" s="1272"/>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3" t="s">
        <v>1831</v>
      </c>
      <c r="C6" s="317"/>
      <c r="D6" s="317"/>
    </row>
    <row r="7" spans="1:7" ht="60.95" customHeight="1" x14ac:dyDescent="0.2">
      <c r="A7" s="2463" t="s">
        <v>2170</v>
      </c>
      <c r="B7" s="2463"/>
      <c r="C7" s="2463"/>
      <c r="D7" s="2463"/>
      <c r="E7" s="2463"/>
      <c r="F7" s="2463"/>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2150</v>
      </c>
      <c r="F10" s="1277" t="s">
        <v>101</v>
      </c>
      <c r="G10" s="1275"/>
    </row>
    <row r="11" spans="1:7" ht="12" customHeight="1" x14ac:dyDescent="0.2">
      <c r="A11" s="1276"/>
      <c r="B11" s="1277"/>
      <c r="C11" s="1919"/>
      <c r="D11" s="1277"/>
      <c r="E11" s="1919"/>
      <c r="F11" s="1277"/>
      <c r="G11" s="1275"/>
    </row>
    <row r="12" spans="1:7" x14ac:dyDescent="0.2">
      <c r="A12" s="1273" t="s">
        <v>1669</v>
      </c>
      <c r="C12" s="1257"/>
      <c r="D12" s="1257"/>
    </row>
    <row r="13" spans="1:7" ht="15" customHeight="1" x14ac:dyDescent="0.2">
      <c r="A13" s="2463" t="s">
        <v>1833</v>
      </c>
      <c r="B13" s="2463"/>
      <c r="C13" s="2463"/>
      <c r="D13" s="2463"/>
      <c r="E13" s="2463"/>
      <c r="F13" s="2463"/>
    </row>
    <row r="14" spans="1:7" ht="9.75" customHeight="1" x14ac:dyDescent="0.2">
      <c r="C14" s="1257"/>
      <c r="D14" s="1257"/>
    </row>
    <row r="15" spans="1:7" ht="13.5" customHeight="1" x14ac:dyDescent="0.2">
      <c r="C15" s="1863" t="s">
        <v>1332</v>
      </c>
      <c r="D15" s="2461" t="s">
        <v>1331</v>
      </c>
      <c r="E15" s="2461"/>
      <c r="F15" s="2461"/>
    </row>
    <row r="16" spans="1:7" ht="13.5" customHeight="1" x14ac:dyDescent="0.2">
      <c r="A16" s="1279"/>
      <c r="B16" s="1273" t="s">
        <v>1330</v>
      </c>
      <c r="C16" s="1863" t="s">
        <v>1329</v>
      </c>
      <c r="D16" s="2462" t="s">
        <v>1670</v>
      </c>
      <c r="E16" s="2462"/>
      <c r="F16" s="2462"/>
    </row>
    <row r="17" spans="1:6" ht="20.45" customHeight="1" x14ac:dyDescent="0.2">
      <c r="A17" s="1280"/>
      <c r="B17" s="1281" t="s">
        <v>2171</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75"/>
      <c r="D30" s="1920"/>
      <c r="E30" s="1283"/>
    </row>
    <row r="31" spans="1:6" ht="12" customHeight="1" x14ac:dyDescent="0.2">
      <c r="A31" s="1284" t="s">
        <v>1630</v>
      </c>
      <c r="B31" s="328"/>
      <c r="C31" s="1475"/>
      <c r="D31" s="1920"/>
      <c r="E31" s="1283"/>
    </row>
    <row r="32" spans="1:6" ht="30" customHeight="1" x14ac:dyDescent="0.2">
      <c r="A32" s="2457" t="s">
        <v>2172</v>
      </c>
      <c r="B32" s="2457"/>
      <c r="C32" s="2457"/>
      <c r="D32" s="2457"/>
      <c r="E32" s="2457"/>
      <c r="F32" s="2457"/>
    </row>
    <row r="33" spans="1:6" ht="13.5" customHeight="1" x14ac:dyDescent="0.2">
      <c r="A33" s="328" t="s">
        <v>1509</v>
      </c>
      <c r="B33" s="328"/>
      <c r="C33" s="1285">
        <v>252425</v>
      </c>
      <c r="D33" s="1920"/>
      <c r="E33" s="1283"/>
    </row>
    <row r="34" spans="1:6" ht="13.5" customHeight="1" x14ac:dyDescent="0.2">
      <c r="A34" s="328" t="s">
        <v>1946</v>
      </c>
      <c r="B34" s="328"/>
      <c r="C34" s="1286">
        <v>0</v>
      </c>
      <c r="D34" s="1920" t="s">
        <v>1671</v>
      </c>
      <c r="E34" s="2458">
        <f>+C33+C34</f>
        <v>252425</v>
      </c>
      <c r="F34" s="2459"/>
    </row>
    <row r="35" spans="1:6" ht="12" customHeight="1" x14ac:dyDescent="0.2">
      <c r="A35" s="328"/>
      <c r="B35" s="328"/>
      <c r="C35" s="1921"/>
      <c r="D35" s="1920"/>
      <c r="E35" s="1287"/>
      <c r="F35" s="1288"/>
    </row>
    <row r="36" spans="1:6" ht="13.5" customHeight="1" x14ac:dyDescent="0.2">
      <c r="A36" s="1284" t="s">
        <v>1631</v>
      </c>
      <c r="B36" s="328"/>
      <c r="C36" s="1475"/>
      <c r="D36" s="1920"/>
      <c r="E36" s="1283"/>
    </row>
    <row r="37" spans="1:6" ht="14.25" customHeight="1" x14ac:dyDescent="0.2">
      <c r="A37" s="328" t="s">
        <v>1563</v>
      </c>
      <c r="B37" s="328"/>
      <c r="C37" s="1922"/>
      <c r="D37" s="1920"/>
      <c r="E37" s="1283"/>
    </row>
    <row r="38" spans="1:6" ht="14.25" customHeight="1" x14ac:dyDescent="0.2">
      <c r="A38" s="328"/>
      <c r="B38" s="328" t="s">
        <v>1510</v>
      </c>
      <c r="C38" s="1289">
        <v>0</v>
      </c>
      <c r="D38" s="1920"/>
      <c r="E38" s="1283"/>
    </row>
    <row r="39" spans="1:6" ht="14.25" customHeight="1" x14ac:dyDescent="0.2">
      <c r="A39" s="328"/>
      <c r="B39" s="328" t="s">
        <v>1511</v>
      </c>
      <c r="C39" s="1289">
        <v>0</v>
      </c>
      <c r="D39" s="1920"/>
      <c r="E39" s="1283"/>
    </row>
    <row r="40" spans="1:6" ht="14.25" customHeight="1" x14ac:dyDescent="0.2">
      <c r="A40" s="328"/>
      <c r="B40" s="328" t="s">
        <v>1512</v>
      </c>
      <c r="C40" s="1289">
        <v>0</v>
      </c>
      <c r="D40" s="1920"/>
      <c r="E40" s="1283"/>
    </row>
    <row r="41" spans="1:6" ht="14.25" customHeight="1" x14ac:dyDescent="0.2">
      <c r="A41" s="328"/>
      <c r="B41" s="328" t="s">
        <v>1513</v>
      </c>
      <c r="C41" s="1289">
        <v>0</v>
      </c>
      <c r="D41" s="1920"/>
      <c r="E41" s="1283"/>
    </row>
    <row r="42" spans="1:6" ht="14.25" customHeight="1" x14ac:dyDescent="0.2">
      <c r="A42" s="328" t="s">
        <v>1514</v>
      </c>
      <c r="B42" s="328"/>
      <c r="C42" s="1918">
        <v>0</v>
      </c>
      <c r="D42" s="1920"/>
      <c r="E42" s="1283"/>
    </row>
    <row r="43" spans="1:6" ht="14.25" customHeight="1" x14ac:dyDescent="0.2">
      <c r="A43" s="328" t="s">
        <v>1515</v>
      </c>
      <c r="B43" s="328"/>
      <c r="C43" s="1290">
        <v>0</v>
      </c>
      <c r="D43" s="1920"/>
      <c r="E43" s="1283"/>
    </row>
    <row r="44" spans="1:6" ht="14.25" customHeight="1" x14ac:dyDescent="0.2">
      <c r="A44" s="328"/>
      <c r="B44" s="328"/>
      <c r="C44" s="1922" t="s">
        <v>1516</v>
      </c>
      <c r="D44" s="1920"/>
      <c r="E44" s="1283"/>
    </row>
    <row r="45" spans="1:6" ht="13.5" customHeight="1" x14ac:dyDescent="0.2">
      <c r="B45" s="322"/>
      <c r="C45" s="1291"/>
      <c r="D45" s="1291"/>
    </row>
    <row r="46" spans="1:6" x14ac:dyDescent="0.2">
      <c r="A46" s="1292" t="s">
        <v>1834</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1672</v>
      </c>
      <c r="C49" s="2460"/>
      <c r="D49" s="2460"/>
      <c r="E49" s="1396"/>
    </row>
    <row r="50" spans="1:5" s="1297" customFormat="1" ht="3.75" customHeight="1" x14ac:dyDescent="0.2">
      <c r="A50" s="1296"/>
      <c r="B50" s="1862"/>
      <c r="C50" s="1862"/>
      <c r="D50" s="1862"/>
      <c r="E50" s="1396"/>
    </row>
    <row r="51" spans="1:5" s="1297" customFormat="1" ht="20.25" customHeight="1" x14ac:dyDescent="0.2">
      <c r="A51" s="1298">
        <v>6</v>
      </c>
      <c r="B51" s="2455" t="s">
        <v>1632</v>
      </c>
      <c r="C51" s="2455"/>
      <c r="D51" s="2455"/>
    </row>
    <row r="52" spans="1:5" ht="14.25" customHeight="1" x14ac:dyDescent="0.2">
      <c r="A52" s="1298"/>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5"/>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0</v>
      </c>
      <c r="G85" s="276">
        <v>85265</v>
      </c>
      <c r="H85" s="276">
        <v>36042.04</v>
      </c>
      <c r="I85" s="276">
        <v>0</v>
      </c>
      <c r="J85" s="277">
        <f>SUM(E85:I85)</f>
        <v>121307.04000000001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85265</v>
      </c>
      <c r="H88" s="276">
        <v>36042</v>
      </c>
      <c r="I88" s="276">
        <v>0</v>
      </c>
      <c r="J88" s="277">
        <f>SUM(E88:I88)</f>
        <v>121307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242614.04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2151</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2075</v>
      </c>
      <c r="C11" s="1335"/>
      <c r="D11" s="1336"/>
      <c r="E11" s="1337"/>
      <c r="F11" s="1337"/>
      <c r="G11" s="1337"/>
      <c r="H11" s="1337"/>
      <c r="I11" s="1337"/>
      <c r="J11" s="1337"/>
      <c r="K11" s="1337"/>
      <c r="L11" s="1337">
        <f>+G11+I11+K11</f>
        <v>0</v>
      </c>
      <c r="M11" s="1337"/>
    </row>
    <row r="12" spans="2:14" ht="20.100000000000001" customHeight="1" x14ac:dyDescent="0.2">
      <c r="B12" s="1334" t="s">
        <v>2076</v>
      </c>
      <c r="C12" s="1338">
        <v>10.553000000000001</v>
      </c>
      <c r="D12" s="1339" t="s">
        <v>2077</v>
      </c>
      <c r="E12" s="1340">
        <v>251987</v>
      </c>
      <c r="F12" s="1340">
        <v>47497</v>
      </c>
      <c r="G12" s="1340">
        <v>251987</v>
      </c>
      <c r="H12" s="1340"/>
      <c r="I12" s="1340">
        <v>47497</v>
      </c>
      <c r="J12" s="1340"/>
      <c r="K12" s="1340"/>
      <c r="L12" s="1337">
        <f t="shared" ref="L12:L27" si="0">+G12+I12+K12</f>
        <v>299484</v>
      </c>
      <c r="M12" s="1340" t="s">
        <v>2087</v>
      </c>
    </row>
    <row r="13" spans="2:14" ht="20.100000000000001" customHeight="1" x14ac:dyDescent="0.2">
      <c r="B13" s="1334" t="s">
        <v>2076</v>
      </c>
      <c r="C13" s="1338">
        <v>10.553000000000001</v>
      </c>
      <c r="D13" s="1339" t="s">
        <v>2078</v>
      </c>
      <c r="E13" s="1340">
        <v>0</v>
      </c>
      <c r="F13" s="1340">
        <v>262212</v>
      </c>
      <c r="G13" s="1340">
        <v>0</v>
      </c>
      <c r="H13" s="1340"/>
      <c r="I13" s="1340">
        <v>262212</v>
      </c>
      <c r="J13" s="1340"/>
      <c r="K13" s="1340"/>
      <c r="L13" s="1337">
        <f t="shared" si="0"/>
        <v>262212</v>
      </c>
      <c r="M13" s="1340" t="s">
        <v>2087</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2079</v>
      </c>
      <c r="C15" s="1338">
        <v>10.555</v>
      </c>
      <c r="D15" s="1339" t="s">
        <v>2080</v>
      </c>
      <c r="E15" s="1340">
        <v>1300190</v>
      </c>
      <c r="F15" s="1340">
        <v>269903</v>
      </c>
      <c r="G15" s="1340">
        <v>1300745</v>
      </c>
      <c r="H15" s="1340"/>
      <c r="I15" s="1340">
        <v>269348</v>
      </c>
      <c r="J15" s="1340"/>
      <c r="K15" s="1340"/>
      <c r="L15" s="1337">
        <f t="shared" si="0"/>
        <v>1570093</v>
      </c>
      <c r="M15" s="1340" t="s">
        <v>2087</v>
      </c>
    </row>
    <row r="16" spans="2:14" ht="20.100000000000001" customHeight="1" x14ac:dyDescent="0.2">
      <c r="B16" s="1334" t="s">
        <v>2079</v>
      </c>
      <c r="C16" s="1338">
        <v>10.555</v>
      </c>
      <c r="D16" s="1339" t="s">
        <v>2081</v>
      </c>
      <c r="E16" s="1340">
        <v>0</v>
      </c>
      <c r="F16" s="1340">
        <v>1418104</v>
      </c>
      <c r="G16" s="1340">
        <v>0</v>
      </c>
      <c r="H16" s="1340"/>
      <c r="I16" s="1340">
        <v>1418104</v>
      </c>
      <c r="J16" s="1340"/>
      <c r="K16" s="1340"/>
      <c r="L16" s="1337">
        <f t="shared" si="0"/>
        <v>1418104</v>
      </c>
      <c r="M16" s="1340" t="s">
        <v>2087</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2082</v>
      </c>
      <c r="C18" s="1338">
        <v>10.555</v>
      </c>
      <c r="D18" s="1339" t="s">
        <v>2086</v>
      </c>
      <c r="E18" s="1340">
        <v>269359</v>
      </c>
      <c r="F18" s="1340">
        <v>227675</v>
      </c>
      <c r="G18" s="1340">
        <v>269359</v>
      </c>
      <c r="H18" s="1340"/>
      <c r="I18" s="1340">
        <v>227675</v>
      </c>
      <c r="J18" s="1340"/>
      <c r="K18" s="1340"/>
      <c r="L18" s="1337">
        <f t="shared" si="0"/>
        <v>497034</v>
      </c>
      <c r="M18" s="1340" t="s">
        <v>2087</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2083</v>
      </c>
      <c r="C20" s="1338">
        <v>10.555</v>
      </c>
      <c r="D20" s="1339" t="s">
        <v>2086</v>
      </c>
      <c r="E20" s="1340">
        <v>28166</v>
      </c>
      <c r="F20" s="1340">
        <v>24750</v>
      </c>
      <c r="G20" s="1340">
        <v>28166</v>
      </c>
      <c r="H20" s="1340"/>
      <c r="I20" s="1340">
        <v>24750</v>
      </c>
      <c r="J20" s="1340"/>
      <c r="K20" s="1340"/>
      <c r="L20" s="1337">
        <f t="shared" si="0"/>
        <v>52916</v>
      </c>
      <c r="M20" s="1340" t="s">
        <v>2087</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2084</v>
      </c>
      <c r="C22" s="1338"/>
      <c r="D22" s="1339"/>
      <c r="E22" s="1340">
        <f>E20+E18+E16+E15+E13+E12</f>
        <v>1849702</v>
      </c>
      <c r="F22" s="1340">
        <f>F20+F18+F16+F15+F13+F12</f>
        <v>2250141</v>
      </c>
      <c r="G22" s="1340">
        <f>G20+G18+G16+G15+G13+G12</f>
        <v>1850257</v>
      </c>
      <c r="H22" s="1340"/>
      <c r="I22" s="1340">
        <f>I20+I18+I16+I15+I13+I12</f>
        <v>2249586</v>
      </c>
      <c r="J22" s="1340"/>
      <c r="K22" s="1340"/>
      <c r="L22" s="1337">
        <f t="shared" si="0"/>
        <v>4099843</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2085</v>
      </c>
      <c r="C24" s="1338"/>
      <c r="D24" s="1339"/>
      <c r="E24" s="1340">
        <f>E22</f>
        <v>1849702</v>
      </c>
      <c r="F24" s="1340">
        <f>F22</f>
        <v>2250141</v>
      </c>
      <c r="G24" s="1340">
        <f>G22</f>
        <v>1850257</v>
      </c>
      <c r="H24" s="1340"/>
      <c r="I24" s="1340">
        <f>I22</f>
        <v>2249586</v>
      </c>
      <c r="J24" s="1340"/>
      <c r="K24" s="1340"/>
      <c r="L24" s="1337">
        <f t="shared" si="0"/>
        <v>4099843</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2088</v>
      </c>
      <c r="C11" s="1335"/>
      <c r="D11" s="1336"/>
      <c r="E11" s="1337"/>
      <c r="F11" s="1337"/>
      <c r="G11" s="1337"/>
      <c r="H11" s="1337"/>
      <c r="I11" s="1337"/>
      <c r="J11" s="1337"/>
      <c r="K11" s="1337"/>
      <c r="L11" s="1337">
        <f>+G11+I11+K11</f>
        <v>0</v>
      </c>
      <c r="M11" s="1337"/>
    </row>
    <row r="12" spans="2:14" ht="20.100000000000001" customHeight="1" x14ac:dyDescent="0.2">
      <c r="B12" s="1334" t="s">
        <v>2089</v>
      </c>
      <c r="C12" s="1338">
        <v>93.778000000000006</v>
      </c>
      <c r="D12" s="1339" t="s">
        <v>2092</v>
      </c>
      <c r="E12" s="1340">
        <v>172926</v>
      </c>
      <c r="F12" s="1340">
        <v>0</v>
      </c>
      <c r="G12" s="1340">
        <v>172926</v>
      </c>
      <c r="H12" s="1340"/>
      <c r="I12" s="1340">
        <v>0</v>
      </c>
      <c r="J12" s="1340"/>
      <c r="K12" s="1340"/>
      <c r="L12" s="1337">
        <f t="shared" ref="L12:L27" si="0">+G12+I12+K12</f>
        <v>172926</v>
      </c>
      <c r="M12" s="1340" t="s">
        <v>2087</v>
      </c>
    </row>
    <row r="13" spans="2:14" ht="20.100000000000001" customHeight="1" x14ac:dyDescent="0.2">
      <c r="B13" s="1334" t="s">
        <v>2089</v>
      </c>
      <c r="C13" s="1338">
        <v>93.778000000000006</v>
      </c>
      <c r="D13" s="1339" t="s">
        <v>2093</v>
      </c>
      <c r="E13" s="1340">
        <v>0</v>
      </c>
      <c r="F13" s="1340">
        <v>166852</v>
      </c>
      <c r="G13" s="1340">
        <v>0</v>
      </c>
      <c r="H13" s="1340"/>
      <c r="I13" s="1340">
        <v>166852</v>
      </c>
      <c r="J13" s="1340"/>
      <c r="K13" s="1340"/>
      <c r="L13" s="1337">
        <f t="shared" si="0"/>
        <v>166852</v>
      </c>
      <c r="M13" s="1340" t="s">
        <v>2087</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2090</v>
      </c>
      <c r="C15" s="1338"/>
      <c r="D15" s="1339"/>
      <c r="E15" s="1340">
        <f>E13+E12</f>
        <v>172926</v>
      </c>
      <c r="F15" s="1340">
        <f>F13+F12</f>
        <v>166852</v>
      </c>
      <c r="G15" s="1340">
        <f>G13+G12</f>
        <v>172926</v>
      </c>
      <c r="H15" s="1340"/>
      <c r="I15" s="1340">
        <f>I13+I12</f>
        <v>166852</v>
      </c>
      <c r="J15" s="1340"/>
      <c r="K15" s="1340"/>
      <c r="L15" s="1337">
        <f t="shared" si="0"/>
        <v>339778</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2091</v>
      </c>
      <c r="C18" s="1338"/>
      <c r="D18" s="1339"/>
      <c r="E18" s="1340">
        <f>E15</f>
        <v>172926</v>
      </c>
      <c r="F18" s="1340">
        <f>F15</f>
        <v>166852</v>
      </c>
      <c r="G18" s="1340">
        <f>G15</f>
        <v>172926</v>
      </c>
      <c r="H18" s="1340"/>
      <c r="I18" s="1340">
        <f>I15</f>
        <v>166852</v>
      </c>
      <c r="J18" s="1340"/>
      <c r="K18" s="1340"/>
      <c r="L18" s="1337">
        <f t="shared" si="0"/>
        <v>339778</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2094</v>
      </c>
      <c r="C11" s="1335"/>
      <c r="D11" s="1336"/>
      <c r="E11" s="1337"/>
      <c r="F11" s="1337"/>
      <c r="G11" s="1337"/>
      <c r="H11" s="1337"/>
      <c r="I11" s="1337"/>
      <c r="J11" s="1337"/>
      <c r="K11" s="1337"/>
      <c r="L11" s="1337">
        <f>+G11+I11+K11</f>
        <v>0</v>
      </c>
      <c r="M11" s="1337"/>
    </row>
    <row r="12" spans="2:14" ht="20.100000000000001" customHeight="1" x14ac:dyDescent="0.2">
      <c r="B12" s="1334" t="s">
        <v>2097</v>
      </c>
      <c r="C12" s="1338" t="s">
        <v>2095</v>
      </c>
      <c r="D12" s="1339" t="s">
        <v>2096</v>
      </c>
      <c r="E12" s="1340">
        <v>1757469</v>
      </c>
      <c r="F12" s="1340">
        <v>150104</v>
      </c>
      <c r="G12" s="1340">
        <v>1757469</v>
      </c>
      <c r="H12" s="1340"/>
      <c r="I12" s="1340">
        <v>150104</v>
      </c>
      <c r="J12" s="1340"/>
      <c r="K12" s="1340"/>
      <c r="L12" s="1337">
        <f t="shared" ref="L12:L27" si="0">+G12+I12+K12</f>
        <v>1907573</v>
      </c>
      <c r="M12" s="1340">
        <v>1907573</v>
      </c>
    </row>
    <row r="13" spans="2:14" ht="20.100000000000001" customHeight="1" x14ac:dyDescent="0.2">
      <c r="B13" s="1334" t="s">
        <v>2097</v>
      </c>
      <c r="C13" s="1338" t="s">
        <v>2095</v>
      </c>
      <c r="D13" s="1339" t="s">
        <v>2098</v>
      </c>
      <c r="E13" s="1340">
        <v>0</v>
      </c>
      <c r="F13" s="1340">
        <v>1663637</v>
      </c>
      <c r="G13" s="1340">
        <v>0</v>
      </c>
      <c r="H13" s="1340"/>
      <c r="I13" s="1340">
        <v>1663637</v>
      </c>
      <c r="J13" s="1340"/>
      <c r="K13" s="1340"/>
      <c r="L13" s="1337">
        <f t="shared" si="0"/>
        <v>1663637</v>
      </c>
      <c r="M13" s="1340">
        <v>2079833</v>
      </c>
    </row>
    <row r="14" spans="2:14" ht="20.100000000000001" customHeight="1" x14ac:dyDescent="0.2">
      <c r="B14" s="1334" t="s">
        <v>2099</v>
      </c>
      <c r="C14" s="1338"/>
      <c r="D14" s="1339"/>
      <c r="E14" s="1340">
        <f>E13+E12</f>
        <v>1757469</v>
      </c>
      <c r="F14" s="1340">
        <f>F13+F12</f>
        <v>1813741</v>
      </c>
      <c r="G14" s="1340">
        <f>G13+G12</f>
        <v>1757469</v>
      </c>
      <c r="H14" s="1340"/>
      <c r="I14" s="1340">
        <f>I13+I12</f>
        <v>1813741</v>
      </c>
      <c r="J14" s="1340"/>
      <c r="K14" s="1340"/>
      <c r="L14" s="1337">
        <f t="shared" si="0"/>
        <v>3571210</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2100</v>
      </c>
      <c r="C16" s="1338" t="s">
        <v>2101</v>
      </c>
      <c r="D16" s="1339" t="s">
        <v>2102</v>
      </c>
      <c r="E16" s="1340">
        <v>304141</v>
      </c>
      <c r="F16" s="1340">
        <v>3292</v>
      </c>
      <c r="G16" s="1340">
        <v>304141</v>
      </c>
      <c r="H16" s="1340"/>
      <c r="I16" s="1340">
        <v>3292</v>
      </c>
      <c r="J16" s="1340"/>
      <c r="K16" s="1340"/>
      <c r="L16" s="1337">
        <f t="shared" si="0"/>
        <v>307433</v>
      </c>
      <c r="M16" s="1340">
        <v>307433</v>
      </c>
    </row>
    <row r="17" spans="2:14" ht="20.100000000000001" customHeight="1" x14ac:dyDescent="0.2">
      <c r="B17" s="1334" t="s">
        <v>2100</v>
      </c>
      <c r="C17" s="1338" t="s">
        <v>2101</v>
      </c>
      <c r="D17" s="1339" t="s">
        <v>2103</v>
      </c>
      <c r="E17" s="1340">
        <v>0</v>
      </c>
      <c r="F17" s="1340">
        <v>309102</v>
      </c>
      <c r="G17" s="1340">
        <v>0</v>
      </c>
      <c r="H17" s="1340"/>
      <c r="I17" s="1340">
        <v>309102</v>
      </c>
      <c r="J17" s="1340"/>
      <c r="K17" s="1340"/>
      <c r="L17" s="1337">
        <f t="shared" si="0"/>
        <v>309102</v>
      </c>
      <c r="M17" s="1340">
        <v>313499</v>
      </c>
    </row>
    <row r="18" spans="2:14" ht="20.100000000000001" customHeight="1" x14ac:dyDescent="0.2">
      <c r="B18" s="1334" t="s">
        <v>2104</v>
      </c>
      <c r="C18" s="1338"/>
      <c r="D18" s="1339"/>
      <c r="E18" s="1340">
        <f>E17+E16</f>
        <v>304141</v>
      </c>
      <c r="F18" s="1340">
        <f>F17+F16</f>
        <v>312394</v>
      </c>
      <c r="G18" s="1340">
        <f>G17+G16</f>
        <v>304141</v>
      </c>
      <c r="H18" s="1340"/>
      <c r="I18" s="1340">
        <f>I17+I16</f>
        <v>312394</v>
      </c>
      <c r="J18" s="1340"/>
      <c r="K18" s="1340"/>
      <c r="L18" s="1337">
        <f t="shared" si="0"/>
        <v>616535</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2105</v>
      </c>
      <c r="C20" s="1338" t="s">
        <v>2107</v>
      </c>
      <c r="D20" s="1339" t="s">
        <v>2106</v>
      </c>
      <c r="E20" s="1340">
        <v>79369</v>
      </c>
      <c r="F20" s="1340">
        <v>17131</v>
      </c>
      <c r="G20" s="1340">
        <v>79369</v>
      </c>
      <c r="H20" s="1340"/>
      <c r="I20" s="1340">
        <v>17131</v>
      </c>
      <c r="J20" s="1340"/>
      <c r="K20" s="1340"/>
      <c r="L20" s="1337">
        <f t="shared" si="0"/>
        <v>96500</v>
      </c>
      <c r="M20" s="1340">
        <v>96500</v>
      </c>
    </row>
    <row r="21" spans="2:14" ht="20.100000000000001" customHeight="1" x14ac:dyDescent="0.2">
      <c r="B21" s="1334" t="s">
        <v>2105</v>
      </c>
      <c r="C21" s="1338" t="s">
        <v>2107</v>
      </c>
      <c r="D21" s="1339" t="s">
        <v>2108</v>
      </c>
      <c r="E21" s="1340">
        <v>0</v>
      </c>
      <c r="F21" s="1340">
        <v>102561</v>
      </c>
      <c r="G21" s="1340">
        <v>0</v>
      </c>
      <c r="H21" s="1340"/>
      <c r="I21" s="1340">
        <v>102561</v>
      </c>
      <c r="J21" s="1340"/>
      <c r="K21" s="1340"/>
      <c r="L21" s="1337">
        <f t="shared" si="0"/>
        <v>102561</v>
      </c>
      <c r="M21" s="1340">
        <v>105084</v>
      </c>
    </row>
    <row r="22" spans="2:14" ht="20.100000000000001" customHeight="1" x14ac:dyDescent="0.2">
      <c r="B22" s="1334" t="s">
        <v>2109</v>
      </c>
      <c r="C22" s="1338" t="s">
        <v>2107</v>
      </c>
      <c r="D22" s="1339" t="s">
        <v>2110</v>
      </c>
      <c r="E22" s="1340">
        <v>11869</v>
      </c>
      <c r="F22" s="1340">
        <v>1261</v>
      </c>
      <c r="G22" s="1340">
        <v>11869</v>
      </c>
      <c r="H22" s="1340"/>
      <c r="I22" s="1340">
        <v>1261</v>
      </c>
      <c r="J22" s="1340"/>
      <c r="K22" s="1340"/>
      <c r="L22" s="1337">
        <f t="shared" si="0"/>
        <v>13130</v>
      </c>
      <c r="M22" s="1340">
        <v>13130</v>
      </c>
    </row>
    <row r="23" spans="2:14" ht="20.100000000000001" customHeight="1" x14ac:dyDescent="0.2">
      <c r="B23" s="1334" t="s">
        <v>2109</v>
      </c>
      <c r="C23" s="1338" t="s">
        <v>2107</v>
      </c>
      <c r="D23" s="1339" t="s">
        <v>2111</v>
      </c>
      <c r="E23" s="1340">
        <v>0</v>
      </c>
      <c r="F23" s="1340">
        <v>3161</v>
      </c>
      <c r="G23" s="1340">
        <v>0</v>
      </c>
      <c r="H23" s="1340"/>
      <c r="I23" s="1340">
        <v>3161</v>
      </c>
      <c r="J23" s="1340"/>
      <c r="K23" s="1340"/>
      <c r="L23" s="1337">
        <f t="shared" si="0"/>
        <v>3161</v>
      </c>
      <c r="M23" s="1340">
        <v>3244</v>
      </c>
    </row>
    <row r="24" spans="2:14" ht="20.100000000000001" customHeight="1" x14ac:dyDescent="0.2">
      <c r="B24" s="1334" t="s">
        <v>2112</v>
      </c>
      <c r="C24" s="1338"/>
      <c r="D24" s="1339"/>
      <c r="E24" s="1340">
        <f>E23+E22+E21+E20</f>
        <v>91238</v>
      </c>
      <c r="F24" s="1340">
        <f>F23+F22+F21+F20</f>
        <v>124114</v>
      </c>
      <c r="G24" s="1340">
        <f>G23+G22+G21+G20</f>
        <v>91238</v>
      </c>
      <c r="H24" s="1340"/>
      <c r="I24" s="1340">
        <f>I23+I22+I21+I20</f>
        <v>124114</v>
      </c>
      <c r="J24" s="1340"/>
      <c r="K24" s="1340"/>
      <c r="L24" s="1337">
        <f t="shared" si="0"/>
        <v>215352</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7"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2113</v>
      </c>
      <c r="C11" s="1335" t="s">
        <v>2114</v>
      </c>
      <c r="D11" s="1336" t="s">
        <v>2115</v>
      </c>
      <c r="E11" s="1337">
        <v>0</v>
      </c>
      <c r="F11" s="1337">
        <v>19530</v>
      </c>
      <c r="G11" s="1337">
        <v>0</v>
      </c>
      <c r="H11" s="1337"/>
      <c r="I11" s="1337">
        <v>20229</v>
      </c>
      <c r="J11" s="1337"/>
      <c r="K11" s="1337"/>
      <c r="L11" s="1337">
        <f>+G11+I11+K11</f>
        <v>20229</v>
      </c>
      <c r="M11" s="1337">
        <v>27000</v>
      </c>
    </row>
    <row r="12" spans="2:14" ht="20.100000000000001" customHeight="1" x14ac:dyDescent="0.2">
      <c r="B12" s="1334" t="s">
        <v>2116</v>
      </c>
      <c r="C12" s="1338"/>
      <c r="D12" s="1339"/>
      <c r="E12" s="1340">
        <f>E11</f>
        <v>0</v>
      </c>
      <c r="F12" s="1340">
        <f>F11</f>
        <v>19530</v>
      </c>
      <c r="G12" s="1340">
        <f>G11</f>
        <v>0</v>
      </c>
      <c r="H12" s="1340"/>
      <c r="I12" s="1340">
        <f>I11</f>
        <v>20229</v>
      </c>
      <c r="J12" s="1340"/>
      <c r="K12" s="1340"/>
      <c r="L12" s="1337">
        <f t="shared" ref="L12:L27" si="0">+G12+I12+K12</f>
        <v>20229</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2173</v>
      </c>
      <c r="C14" s="1338" t="s">
        <v>2117</v>
      </c>
      <c r="D14" s="1339" t="s">
        <v>2118</v>
      </c>
      <c r="E14" s="1340">
        <v>103779</v>
      </c>
      <c r="F14" s="1340">
        <v>35868</v>
      </c>
      <c r="G14" s="1340">
        <v>103779</v>
      </c>
      <c r="H14" s="1340"/>
      <c r="I14" s="1340">
        <v>35868</v>
      </c>
      <c r="J14" s="1340"/>
      <c r="K14" s="1340"/>
      <c r="L14" s="1337">
        <f t="shared" si="0"/>
        <v>139647</v>
      </c>
      <c r="M14" s="1340">
        <v>139647</v>
      </c>
    </row>
    <row r="15" spans="2:14" ht="20.100000000000001" customHeight="1" x14ac:dyDescent="0.2">
      <c r="B15" s="1334" t="s">
        <v>2173</v>
      </c>
      <c r="C15" s="1338" t="s">
        <v>2117</v>
      </c>
      <c r="D15" s="1339" t="s">
        <v>2119</v>
      </c>
      <c r="E15" s="1340">
        <v>0</v>
      </c>
      <c r="F15" s="1340">
        <v>109236</v>
      </c>
      <c r="G15" s="1340">
        <v>0</v>
      </c>
      <c r="H15" s="1340"/>
      <c r="I15" s="1340">
        <v>109236</v>
      </c>
      <c r="J15" s="1340"/>
      <c r="K15" s="1340"/>
      <c r="L15" s="1337">
        <f t="shared" si="0"/>
        <v>109236</v>
      </c>
      <c r="M15" s="1340">
        <v>109236</v>
      </c>
    </row>
    <row r="16" spans="2:14" ht="20.100000000000001" customHeight="1" x14ac:dyDescent="0.2">
      <c r="B16" s="1334" t="s">
        <v>2174</v>
      </c>
      <c r="C16" s="1338" t="s">
        <v>2117</v>
      </c>
      <c r="D16" s="1339" t="s">
        <v>2120</v>
      </c>
      <c r="E16" s="1340">
        <v>1827052</v>
      </c>
      <c r="F16" s="1340">
        <v>48</v>
      </c>
      <c r="G16" s="1340">
        <v>1827100</v>
      </c>
      <c r="H16" s="1340"/>
      <c r="I16" s="1340">
        <v>0</v>
      </c>
      <c r="J16" s="1340"/>
      <c r="K16" s="1340"/>
      <c r="L16" s="1337">
        <f t="shared" si="0"/>
        <v>1827100</v>
      </c>
      <c r="M16" s="1340">
        <v>1827100</v>
      </c>
    </row>
    <row r="17" spans="2:14" ht="20.100000000000001" customHeight="1" x14ac:dyDescent="0.2">
      <c r="B17" s="1334" t="s">
        <v>2123</v>
      </c>
      <c r="C17" s="1338"/>
      <c r="D17" s="1339"/>
      <c r="E17" s="1340">
        <f>E16+E15+E14</f>
        <v>1930831</v>
      </c>
      <c r="F17" s="1340">
        <f>F16+F15+F14</f>
        <v>145152</v>
      </c>
      <c r="G17" s="1340">
        <f>G16+G15+G14</f>
        <v>1930879</v>
      </c>
      <c r="H17" s="1340"/>
      <c r="I17" s="1340">
        <f>I16+I15+I14</f>
        <v>145104</v>
      </c>
      <c r="J17" s="1340"/>
      <c r="K17" s="1340"/>
      <c r="L17" s="1337">
        <f t="shared" si="0"/>
        <v>2075983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2175</v>
      </c>
      <c r="C19" s="1338" t="s">
        <v>2121</v>
      </c>
      <c r="D19" s="1339" t="s">
        <v>2122</v>
      </c>
      <c r="E19" s="1340">
        <v>54840</v>
      </c>
      <c r="F19" s="1340">
        <v>5048</v>
      </c>
      <c r="G19" s="1340">
        <v>56132</v>
      </c>
      <c r="H19" s="1340"/>
      <c r="I19" s="1340">
        <v>3756</v>
      </c>
      <c r="J19" s="1340"/>
      <c r="K19" s="1340"/>
      <c r="L19" s="1337">
        <f t="shared" si="0"/>
        <v>59888</v>
      </c>
      <c r="M19" s="1340">
        <v>59888</v>
      </c>
    </row>
    <row r="20" spans="2:14" ht="20.100000000000001" customHeight="1" x14ac:dyDescent="0.2">
      <c r="B20" s="1334" t="s">
        <v>2124</v>
      </c>
      <c r="C20" s="1338"/>
      <c r="D20" s="1339"/>
      <c r="E20" s="1340">
        <f>E19</f>
        <v>54840</v>
      </c>
      <c r="F20" s="1340">
        <f>F19</f>
        <v>5048</v>
      </c>
      <c r="G20" s="1340">
        <f>G19</f>
        <v>56132</v>
      </c>
      <c r="H20" s="1340"/>
      <c r="I20" s="1340">
        <f>I19</f>
        <v>3756</v>
      </c>
      <c r="J20" s="1340"/>
      <c r="K20" s="1340"/>
      <c r="L20" s="1337">
        <f t="shared" si="0"/>
        <v>59888</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2125</v>
      </c>
      <c r="C23" s="1338"/>
      <c r="D23" s="1339"/>
      <c r="E23" s="1340">
        <f>SEFA2!E14+SEFA2!E18+SEFA2!E24+SEFA3!E12+SEFA3!E17+SEFA3!E20</f>
        <v>4138519</v>
      </c>
      <c r="F23" s="1340">
        <f>SEFA2!F14+SEFA2!F18+SEFA2!F24+SEFA3!F12+SEFA3!F17+SEFA3!F20</f>
        <v>2419979</v>
      </c>
      <c r="G23" s="1340">
        <f>SEFA2!G14+SEFA2!G18+SEFA2!G24+SEFA3!G12+SEFA3!G17+SEFA3!G20</f>
        <v>4139859</v>
      </c>
      <c r="H23" s="1340"/>
      <c r="I23" s="1340">
        <f>SEFA2!I14+SEFA2!I18+SEFA2!I24+SEFA3!I12+SEFA3!I17+SEFA3!I20</f>
        <v>2419338</v>
      </c>
      <c r="J23" s="1340"/>
      <c r="K23" s="1340"/>
      <c r="L23" s="1337">
        <f t="shared" si="0"/>
        <v>6559197</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4"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2126</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2174</v>
      </c>
      <c r="C13" s="1338" t="s">
        <v>2117</v>
      </c>
      <c r="D13" s="1339" t="s">
        <v>2127</v>
      </c>
      <c r="E13" s="1340">
        <v>0</v>
      </c>
      <c r="F13" s="1340">
        <v>1468951</v>
      </c>
      <c r="G13" s="1340">
        <v>0</v>
      </c>
      <c r="H13" s="1340"/>
      <c r="I13" s="1340">
        <v>1468951</v>
      </c>
      <c r="J13" s="1340"/>
      <c r="K13" s="1340"/>
      <c r="L13" s="1337">
        <f t="shared" si="0"/>
        <v>1468951</v>
      </c>
      <c r="M13" s="1340">
        <v>1468951</v>
      </c>
    </row>
    <row r="14" spans="2:14" ht="20.100000000000001" customHeight="1" x14ac:dyDescent="0.2">
      <c r="B14" s="1334" t="s">
        <v>2123</v>
      </c>
      <c r="C14" s="1338"/>
      <c r="D14" s="1339"/>
      <c r="E14" s="1340">
        <f>E13</f>
        <v>0</v>
      </c>
      <c r="F14" s="1340">
        <f>F13</f>
        <v>1468951</v>
      </c>
      <c r="G14" s="1340">
        <f>G13</f>
        <v>0</v>
      </c>
      <c r="H14" s="1340"/>
      <c r="I14" s="1340">
        <f>I13</f>
        <v>1468951</v>
      </c>
      <c r="J14" s="1340"/>
      <c r="K14" s="1340"/>
      <c r="L14" s="1337">
        <f t="shared" si="0"/>
        <v>1468951</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2175</v>
      </c>
      <c r="C16" s="1338" t="s">
        <v>2121</v>
      </c>
      <c r="D16" s="1339" t="s">
        <v>2128</v>
      </c>
      <c r="E16" s="1340">
        <v>0</v>
      </c>
      <c r="F16" s="1340">
        <v>11706</v>
      </c>
      <c r="G16" s="1340">
        <v>0</v>
      </c>
      <c r="H16" s="1340"/>
      <c r="I16" s="1340">
        <v>14669</v>
      </c>
      <c r="J16" s="1340"/>
      <c r="K16" s="1340"/>
      <c r="L16" s="1337">
        <f t="shared" si="0"/>
        <v>14669</v>
      </c>
      <c r="M16" s="1340">
        <v>14669</v>
      </c>
    </row>
    <row r="17" spans="2:14" ht="20.100000000000001" customHeight="1" x14ac:dyDescent="0.2">
      <c r="B17" s="1334" t="s">
        <v>2123</v>
      </c>
      <c r="C17" s="1338"/>
      <c r="D17" s="1339"/>
      <c r="E17" s="1340">
        <f>E16</f>
        <v>0</v>
      </c>
      <c r="F17" s="1340">
        <f>F16</f>
        <v>11706</v>
      </c>
      <c r="G17" s="1340">
        <f>G16</f>
        <v>0</v>
      </c>
      <c r="H17" s="1340"/>
      <c r="I17" s="1340">
        <f>I16</f>
        <v>14669</v>
      </c>
      <c r="J17" s="1340"/>
      <c r="K17" s="1340"/>
      <c r="L17" s="1337">
        <f t="shared" si="0"/>
        <v>14669</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2129</v>
      </c>
      <c r="C19" s="1338"/>
      <c r="D19" s="1339"/>
      <c r="E19" s="1340">
        <f>E14+E17</f>
        <v>0</v>
      </c>
      <c r="F19" s="1340">
        <f>F17+F14</f>
        <v>1480657</v>
      </c>
      <c r="G19" s="1340">
        <f>G17+G14</f>
        <v>0</v>
      </c>
      <c r="H19" s="1340"/>
      <c r="I19" s="1340">
        <f>I17+I14</f>
        <v>1483620</v>
      </c>
      <c r="J19" s="1340"/>
      <c r="K19" s="1340"/>
      <c r="L19" s="1337">
        <f t="shared" si="0"/>
        <v>1483620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2130</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2131</v>
      </c>
      <c r="C13" s="1338" t="s">
        <v>2132</v>
      </c>
      <c r="D13" s="1339" t="s">
        <v>2133</v>
      </c>
      <c r="E13" s="1340">
        <v>172754</v>
      </c>
      <c r="F13" s="1340">
        <v>19387</v>
      </c>
      <c r="G13" s="1340">
        <v>179723</v>
      </c>
      <c r="H13" s="1340"/>
      <c r="I13" s="1340">
        <v>12418</v>
      </c>
      <c r="J13" s="1340"/>
      <c r="K13" s="1340"/>
      <c r="L13" s="1337">
        <f t="shared" si="0"/>
        <v>192141</v>
      </c>
      <c r="M13" s="1340">
        <v>243000</v>
      </c>
    </row>
    <row r="14" spans="2:14" ht="20.100000000000001" customHeight="1" x14ac:dyDescent="0.2">
      <c r="B14" s="1334" t="s">
        <v>2131</v>
      </c>
      <c r="C14" s="1338" t="s">
        <v>2132</v>
      </c>
      <c r="D14" s="1339" t="s">
        <v>2134</v>
      </c>
      <c r="E14" s="1340">
        <v>0</v>
      </c>
      <c r="F14" s="1340">
        <v>198372</v>
      </c>
      <c r="G14" s="1340">
        <v>0</v>
      </c>
      <c r="H14" s="1340"/>
      <c r="I14" s="1340">
        <v>201398</v>
      </c>
      <c r="J14" s="1340"/>
      <c r="K14" s="1340"/>
      <c r="L14" s="1337">
        <f t="shared" si="0"/>
        <v>201398</v>
      </c>
      <c r="M14" s="1340">
        <v>243000</v>
      </c>
    </row>
    <row r="15" spans="2:14" ht="20.100000000000001" customHeight="1" x14ac:dyDescent="0.2">
      <c r="B15" s="1334" t="s">
        <v>2135</v>
      </c>
      <c r="C15" s="1338"/>
      <c r="D15" s="1339"/>
      <c r="E15" s="1340">
        <f>E14+E13</f>
        <v>172754</v>
      </c>
      <c r="F15" s="1340">
        <f>F14+F13</f>
        <v>217759</v>
      </c>
      <c r="G15" s="1340">
        <f>G14+G13</f>
        <v>179723</v>
      </c>
      <c r="H15" s="1340"/>
      <c r="I15" s="1340">
        <f>I14+I13</f>
        <v>213816</v>
      </c>
      <c r="J15" s="1340"/>
      <c r="K15" s="1340"/>
      <c r="L15" s="1337">
        <f t="shared" si="0"/>
        <v>393539</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2136</v>
      </c>
      <c r="C17" s="1338"/>
      <c r="D17" s="1339"/>
      <c r="E17" s="1340">
        <f>E15</f>
        <v>172754</v>
      </c>
      <c r="F17" s="1340">
        <f>F15</f>
        <v>217759</v>
      </c>
      <c r="G17" s="1340">
        <f>G15</f>
        <v>179723</v>
      </c>
      <c r="H17" s="1340"/>
      <c r="I17" s="1340">
        <f>I15</f>
        <v>213816</v>
      </c>
      <c r="J17" s="1340"/>
      <c r="K17" s="1340"/>
      <c r="L17" s="1337">
        <f t="shared" si="0"/>
        <v>393539</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2137</v>
      </c>
      <c r="C19" s="1338"/>
      <c r="D19" s="1339"/>
      <c r="E19" s="1340">
        <f>E17+SEFA4!E19+SEFA3!E23+SEFA1!E18</f>
        <v>4484199</v>
      </c>
      <c r="F19" s="1340">
        <f>SEFA1!F18+SEFA3!F23+SEFA4!F19+SEFA5!F17</f>
        <v>4285247</v>
      </c>
      <c r="G19" s="1340">
        <f>SEFA1!G18+SEFA3!G23+SEFA4!G19+SEFA5!G17</f>
        <v>4492508</v>
      </c>
      <c r="H19" s="1340"/>
      <c r="I19" s="1340">
        <f>SEFA1!I18+SEFA3!I23+SEFA4!I19+SEFA5!I17</f>
        <v>4283626</v>
      </c>
      <c r="J19" s="1340"/>
      <c r="K19" s="1340"/>
      <c r="L19" s="1337">
        <f t="shared" si="0"/>
        <v>8776134</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2138</v>
      </c>
      <c r="C21" s="1338"/>
      <c r="D21" s="1339"/>
      <c r="E21" s="1340">
        <f>' SEFA'!E24+SEFA5!E19</f>
        <v>6333901</v>
      </c>
      <c r="F21" s="1340">
        <f>' SEFA'!F24+SEFA5!F19</f>
        <v>6535388</v>
      </c>
      <c r="G21" s="1340">
        <f>' SEFA'!G24+SEFA5!G19</f>
        <v>6342765</v>
      </c>
      <c r="H21" s="1340"/>
      <c r="I21" s="1340">
        <f>' SEFA'!I24+SEFA5!I19</f>
        <v>6533212</v>
      </c>
      <c r="J21" s="1340"/>
      <c r="K21" s="1340"/>
      <c r="L21" s="1337">
        <f t="shared" si="0"/>
        <v>12875977</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6" zoomScaleNormal="100" workbookViewId="0">
      <selection sqref="A1:M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Moline-Coal Valley CUSD 40</v>
      </c>
      <c r="C1" s="2483"/>
      <c r="D1" s="2483"/>
      <c r="E1" s="2483"/>
      <c r="F1" s="2483"/>
      <c r="G1" s="2483"/>
      <c r="H1" s="2483"/>
      <c r="I1" s="2483"/>
      <c r="J1" s="1419"/>
    </row>
    <row r="2" spans="2:10" s="317" customFormat="1" ht="12.75" customHeight="1" x14ac:dyDescent="0.2">
      <c r="B2" s="2484">
        <f>'Single Audit Cover'!E7</f>
        <v>49081040022</v>
      </c>
      <c r="C2" s="2485"/>
      <c r="D2" s="2485"/>
      <c r="E2" s="2485"/>
      <c r="F2" s="2485"/>
      <c r="G2" s="2485"/>
      <c r="H2" s="2485"/>
      <c r="I2" s="2485"/>
      <c r="J2" s="1419"/>
    </row>
    <row r="3" spans="2:10" s="317" customFormat="1" ht="12.75" customHeight="1" x14ac:dyDescent="0.2">
      <c r="B3" s="2486" t="s">
        <v>1347</v>
      </c>
      <c r="C3" s="2487"/>
      <c r="D3" s="2487"/>
      <c r="E3" s="2487"/>
      <c r="F3" s="2487"/>
      <c r="G3" s="2487"/>
      <c r="H3" s="2487"/>
      <c r="I3" s="2487"/>
      <c r="J3" s="1420"/>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6" t="s">
        <v>1346</v>
      </c>
      <c r="C7" s="2487"/>
      <c r="D7" s="2487"/>
      <c r="E7" s="2487"/>
      <c r="F7" s="2487"/>
      <c r="G7" s="2487"/>
      <c r="H7" s="2487"/>
      <c r="I7" s="2487"/>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8" t="s">
        <v>2176</v>
      </c>
      <c r="D11" s="2488"/>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2150</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t="s">
        <v>2150</v>
      </c>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2150</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2150</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2150</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9" t="s">
        <v>2176</v>
      </c>
      <c r="E29" s="2489"/>
      <c r="F29" s="2489"/>
      <c r="G29" s="2489"/>
      <c r="H29" s="2489"/>
      <c r="I29" s="2489"/>
    </row>
    <row r="30" spans="2:9" s="317" customFormat="1" x14ac:dyDescent="0.2">
      <c r="B30" s="1365"/>
      <c r="C30" s="322"/>
      <c r="D30" s="1430" t="s">
        <v>1849</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t="s">
        <v>2150</v>
      </c>
      <c r="H33" s="1297" t="s">
        <v>101</v>
      </c>
    </row>
    <row r="35" spans="2:9" x14ac:dyDescent="0.2">
      <c r="B35" s="1438" t="s">
        <v>1850</v>
      </c>
      <c r="C35" s="1439"/>
      <c r="D35" s="1264"/>
    </row>
    <row r="36" spans="2:9" ht="6" customHeight="1" x14ac:dyDescent="0.2">
      <c r="B36" s="1438"/>
      <c r="C36" s="1439"/>
      <c r="D36" s="1264"/>
    </row>
    <row r="37" spans="2:9" ht="17.25" customHeight="1" x14ac:dyDescent="0.2">
      <c r="B37" s="1440" t="s">
        <v>1851</v>
      </c>
      <c r="C37" s="2490" t="s">
        <v>1852</v>
      </c>
      <c r="D37" s="2491"/>
      <c r="E37" s="2491"/>
      <c r="F37" s="2492"/>
      <c r="G37" s="2490" t="s">
        <v>1674</v>
      </c>
      <c r="H37" s="2491"/>
      <c r="I37" s="2492"/>
    </row>
    <row r="38" spans="2:9" ht="16.5" customHeight="1" x14ac:dyDescent="0.2">
      <c r="B38" s="1441" t="s">
        <v>2177</v>
      </c>
      <c r="C38" s="2478" t="s">
        <v>2178</v>
      </c>
      <c r="D38" s="2479"/>
      <c r="E38" s="2479"/>
      <c r="F38" s="2480"/>
      <c r="G38" s="2493">
        <v>1632480</v>
      </c>
      <c r="H38" s="2494"/>
      <c r="I38" s="2495"/>
    </row>
    <row r="39" spans="2:9" ht="16.5" customHeight="1" x14ac:dyDescent="0.2">
      <c r="B39" s="1441"/>
      <c r="C39" s="2478"/>
      <c r="D39" s="2479"/>
      <c r="E39" s="2479"/>
      <c r="F39" s="2480"/>
      <c r="G39" s="2481"/>
      <c r="H39" s="2481"/>
      <c r="I39" s="2481"/>
    </row>
    <row r="40" spans="2:9" ht="16.5" customHeight="1" x14ac:dyDescent="0.2">
      <c r="B40" s="1441"/>
      <c r="C40" s="2478"/>
      <c r="D40" s="2479"/>
      <c r="E40" s="2479"/>
      <c r="F40" s="2480"/>
      <c r="G40" s="2481"/>
      <c r="H40" s="2481"/>
      <c r="I40" s="2481"/>
    </row>
    <row r="41" spans="2:9" ht="16.5" customHeight="1" x14ac:dyDescent="0.2">
      <c r="B41" s="1441"/>
      <c r="C41" s="2478"/>
      <c r="D41" s="2479"/>
      <c r="E41" s="2479"/>
      <c r="F41" s="2480"/>
      <c r="G41" s="2481"/>
      <c r="H41" s="2481"/>
      <c r="I41" s="2481"/>
    </row>
    <row r="42" spans="2:9" ht="16.5" customHeight="1" x14ac:dyDescent="0.2">
      <c r="B42" s="1441"/>
      <c r="C42" s="2478"/>
      <c r="D42" s="2479"/>
      <c r="E42" s="2479"/>
      <c r="F42" s="2480"/>
      <c r="G42" s="2481"/>
      <c r="H42" s="2481"/>
      <c r="I42" s="2481"/>
    </row>
    <row r="43" spans="2:9" ht="16.5" customHeight="1" x14ac:dyDescent="0.2">
      <c r="B43" s="1441"/>
      <c r="C43" s="2471" t="s">
        <v>1675</v>
      </c>
      <c r="D43" s="2472"/>
      <c r="E43" s="2472"/>
      <c r="F43" s="2473"/>
      <c r="G43" s="2474">
        <f>SUM(G38:I42)</f>
        <v>1632480</v>
      </c>
      <c r="H43" s="2474"/>
      <c r="I43" s="2474"/>
    </row>
    <row r="44" spans="2:9" ht="12.75" customHeight="1" x14ac:dyDescent="0.2"/>
    <row r="45" spans="2:9" ht="12.75" customHeight="1" x14ac:dyDescent="0.2">
      <c r="B45" s="1432" t="s">
        <v>1949</v>
      </c>
      <c r="D45" s="2475">
        <v>6533212</v>
      </c>
      <c r="E45" s="2476"/>
    </row>
    <row r="46" spans="2:9" ht="5.25" customHeight="1" x14ac:dyDescent="0.2">
      <c r="B46" s="1442"/>
      <c r="D46" s="1443"/>
      <c r="E46" s="1444"/>
    </row>
    <row r="47" spans="2:9" ht="12.75" customHeight="1" x14ac:dyDescent="0.2">
      <c r="B47" s="1297" t="s">
        <v>1676</v>
      </c>
      <c r="C47" s="1297"/>
      <c r="D47" s="1445">
        <f>+G43/D45</f>
        <v>0.24987402827276997</v>
      </c>
      <c r="E47" s="1446"/>
      <c r="F47" s="1447"/>
      <c r="I47" s="1448"/>
    </row>
    <row r="48" spans="2:9" ht="9.9499999999999993" customHeight="1" x14ac:dyDescent="0.2"/>
    <row r="49" spans="1:9" x14ac:dyDescent="0.2">
      <c r="B49" s="1365" t="s">
        <v>1335</v>
      </c>
      <c r="C49" s="1279"/>
      <c r="D49" s="1279"/>
      <c r="E49" s="2477">
        <v>750000</v>
      </c>
      <c r="F49" s="2477"/>
      <c r="G49" s="2477"/>
      <c r="H49" s="322"/>
    </row>
    <row r="51" spans="1:9" ht="13.5" customHeight="1" x14ac:dyDescent="0.2">
      <c r="B51" s="1365" t="s">
        <v>1334</v>
      </c>
      <c r="C51" s="1279"/>
      <c r="E51" s="1435" t="s">
        <v>2150</v>
      </c>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1853</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1854</v>
      </c>
      <c r="C58" s="1461"/>
      <c r="D58" s="1461"/>
    </row>
    <row r="59" spans="1:9" s="1458" customFormat="1" ht="3.95" customHeight="1" x14ac:dyDescent="0.2">
      <c r="A59" s="1455"/>
      <c r="B59" s="1460"/>
      <c r="C59" s="1461"/>
      <c r="D59" s="1461"/>
    </row>
    <row r="60" spans="1:9" s="1458" customFormat="1" ht="13.5" customHeight="1" x14ac:dyDescent="0.2">
      <c r="A60" s="1455"/>
      <c r="B60" s="1460" t="s">
        <v>1855</v>
      </c>
      <c r="C60" s="1461"/>
      <c r="D60" s="1461"/>
    </row>
    <row r="61" spans="1:9" s="1458" customFormat="1" ht="3.95" customHeight="1" x14ac:dyDescent="0.2">
      <c r="A61" s="1455"/>
      <c r="B61" s="1460"/>
      <c r="C61" s="1461"/>
      <c r="D61" s="1461"/>
    </row>
    <row r="62" spans="1:9" s="1458" customFormat="1" ht="12.75" customHeight="1" x14ac:dyDescent="0.2">
      <c r="A62" s="1455"/>
      <c r="B62" s="1460" t="s">
        <v>1856</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sqref="A1:M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Moline-Coal Valley CUSD 40</v>
      </c>
      <c r="C1" s="2482"/>
      <c r="D1" s="2482"/>
      <c r="E1" s="2482"/>
      <c r="F1" s="2482"/>
      <c r="G1" s="2482"/>
      <c r="H1" s="2482"/>
      <c r="I1" s="2482"/>
      <c r="J1" s="2482"/>
      <c r="K1" s="2482"/>
      <c r="L1" s="1371"/>
      <c r="M1" s="1371"/>
    </row>
    <row r="2" spans="1:13" ht="12" customHeight="1" x14ac:dyDescent="0.2">
      <c r="B2" s="2484">
        <f>'Single Audit Cover'!E7</f>
        <v>49081040022</v>
      </c>
      <c r="C2" s="2484"/>
      <c r="D2" s="2484"/>
      <c r="E2" s="2484"/>
      <c r="F2" s="2484"/>
      <c r="G2" s="2484"/>
      <c r="H2" s="2484"/>
      <c r="I2" s="2484"/>
      <c r="J2" s="2484"/>
      <c r="K2" s="2484"/>
      <c r="L2" s="1372"/>
      <c r="M2" s="1373"/>
    </row>
    <row r="3" spans="1:13" ht="10.35" customHeight="1" x14ac:dyDescent="0.2">
      <c r="B3" s="2498" t="s">
        <v>1347</v>
      </c>
      <c r="C3" s="2498"/>
      <c r="D3" s="2498"/>
      <c r="E3" s="2498"/>
      <c r="F3" s="2498"/>
      <c r="G3" s="2498"/>
      <c r="H3" s="2498"/>
      <c r="I3" s="2498"/>
      <c r="J3" s="2498"/>
      <c r="K3" s="2498"/>
      <c r="L3" s="1374"/>
      <c r="M3" s="1374"/>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9" t="s">
        <v>1363</v>
      </c>
      <c r="C7" s="2499"/>
      <c r="D7" s="2500"/>
      <c r="E7" s="2500"/>
      <c r="F7" s="2500"/>
      <c r="G7" s="2500"/>
      <c r="H7" s="2500"/>
      <c r="I7" s="2500"/>
      <c r="J7" s="2500"/>
      <c r="K7" s="250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1843</v>
      </c>
      <c r="C10" s="1382" t="s">
        <v>1950</v>
      </c>
      <c r="D10" s="1383" t="s">
        <v>2179</v>
      </c>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7"/>
      <c r="C14" s="2497"/>
      <c r="D14" s="2497"/>
      <c r="E14" s="2497"/>
      <c r="F14" s="2497"/>
      <c r="G14" s="2497"/>
      <c r="H14" s="2497"/>
      <c r="I14" s="2497"/>
      <c r="J14" s="2497"/>
      <c r="K14" s="249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7"/>
      <c r="C17" s="2497"/>
      <c r="D17" s="2497"/>
      <c r="E17" s="2497"/>
      <c r="F17" s="2497"/>
      <c r="G17" s="2497"/>
      <c r="H17" s="2497"/>
      <c r="I17" s="2497"/>
      <c r="J17" s="2497"/>
      <c r="K17" s="2497"/>
      <c r="L17" s="1378"/>
    </row>
    <row r="18" spans="2:12" ht="4.5" customHeight="1" x14ac:dyDescent="0.2">
      <c r="B18" s="1395"/>
      <c r="C18" s="1395"/>
      <c r="L18" s="1378"/>
    </row>
    <row r="19" spans="2:12" s="1279" customFormat="1" ht="13.5" customHeight="1" x14ac:dyDescent="0.2">
      <c r="B19" s="1390" t="s">
        <v>1844</v>
      </c>
      <c r="C19" s="1390"/>
      <c r="D19" s="1391"/>
      <c r="E19" s="1391"/>
      <c r="F19" s="1391"/>
      <c r="G19" s="1392"/>
      <c r="H19" s="1391"/>
      <c r="I19" s="1392"/>
      <c r="J19" s="1391"/>
      <c r="K19" s="1391"/>
      <c r="L19" s="1393"/>
    </row>
    <row r="20" spans="2:12" ht="45.75" customHeight="1" x14ac:dyDescent="0.2">
      <c r="B20" s="2501"/>
      <c r="C20" s="2501"/>
      <c r="D20" s="2497"/>
      <c r="E20" s="2497"/>
      <c r="F20" s="2497"/>
      <c r="G20" s="2497"/>
      <c r="H20" s="2497"/>
      <c r="I20" s="2497"/>
      <c r="J20" s="2497"/>
      <c r="K20" s="2497"/>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7"/>
      <c r="C23" s="2497"/>
      <c r="D23" s="2497"/>
      <c r="E23" s="2497"/>
      <c r="F23" s="2497"/>
      <c r="G23" s="2497"/>
      <c r="H23" s="2497"/>
      <c r="I23" s="2497"/>
      <c r="J23" s="2497"/>
      <c r="K23" s="2497"/>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7"/>
      <c r="C26" s="2497"/>
      <c r="D26" s="2497"/>
      <c r="E26" s="2497"/>
      <c r="F26" s="2497"/>
      <c r="G26" s="2497"/>
      <c r="H26" s="2497"/>
      <c r="I26" s="2497"/>
      <c r="J26" s="2497"/>
      <c r="K26" s="2497"/>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6"/>
      <c r="C29" s="2496"/>
      <c r="D29" s="2497"/>
      <c r="E29" s="2497"/>
      <c r="F29" s="2497"/>
      <c r="G29" s="2497"/>
      <c r="H29" s="2497"/>
      <c r="I29" s="2497"/>
      <c r="J29" s="2497"/>
      <c r="K29" s="249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1845</v>
      </c>
      <c r="C31" s="1400"/>
      <c r="D31" s="1375"/>
      <c r="E31" s="1376"/>
      <c r="F31" s="1376"/>
      <c r="G31" s="1377"/>
      <c r="H31" s="1376"/>
      <c r="I31" s="1377"/>
      <c r="J31" s="1376"/>
      <c r="K31" s="1376"/>
      <c r="L31" s="1378"/>
    </row>
    <row r="32" spans="2:12" s="322" customFormat="1" ht="44.25" customHeight="1" x14ac:dyDescent="0.2">
      <c r="B32" s="2496"/>
      <c r="C32" s="2496"/>
      <c r="D32" s="2497"/>
      <c r="E32" s="2497"/>
      <c r="F32" s="2497"/>
      <c r="G32" s="2497"/>
      <c r="H32" s="2497"/>
      <c r="I32" s="2497"/>
      <c r="J32" s="2497"/>
      <c r="K32" s="2497"/>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1846</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1847</v>
      </c>
      <c r="C38" s="1417"/>
    </row>
    <row r="39" spans="1:13" ht="9.6" customHeight="1" x14ac:dyDescent="0.2">
      <c r="B39" s="1297" t="s">
        <v>1348</v>
      </c>
      <c r="C39" s="1297"/>
      <c r="M39" s="1418"/>
    </row>
    <row r="40" spans="1:13" ht="12.6" customHeight="1" x14ac:dyDescent="0.2">
      <c r="B40" s="1417" t="s">
        <v>1848</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sqref="A1:M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Moline-Coal Valley CUSD 40</v>
      </c>
      <c r="C1" s="2505"/>
      <c r="D1" s="2505"/>
      <c r="E1" s="2505"/>
      <c r="F1" s="2505"/>
      <c r="G1" s="2505"/>
      <c r="H1" s="2505"/>
      <c r="I1" s="2505"/>
      <c r="J1" s="2505"/>
      <c r="K1" s="2505"/>
      <c r="L1" s="1462"/>
    </row>
    <row r="2" spans="1:12" ht="12.75" customHeight="1" x14ac:dyDescent="0.2">
      <c r="B2" s="2506">
        <f>'Single Audit Cover'!E7</f>
        <v>49081040022</v>
      </c>
      <c r="C2" s="2506"/>
      <c r="D2" s="2506"/>
      <c r="E2" s="2506"/>
      <c r="F2" s="2506"/>
      <c r="G2" s="2506"/>
      <c r="H2" s="2506"/>
      <c r="I2" s="2506"/>
      <c r="J2" s="2506"/>
      <c r="K2" s="2506"/>
      <c r="L2" s="1463"/>
    </row>
    <row r="3" spans="1:12" ht="12.75" customHeight="1" x14ac:dyDescent="0.2">
      <c r="B3" s="2498" t="s">
        <v>1347</v>
      </c>
      <c r="C3" s="2498"/>
      <c r="D3" s="2498"/>
      <c r="E3" s="2498"/>
      <c r="F3" s="2498"/>
      <c r="G3" s="2498"/>
      <c r="H3" s="2498"/>
      <c r="I3" s="2498"/>
      <c r="J3" s="2498"/>
      <c r="K3" s="2498"/>
      <c r="L3" s="1374"/>
    </row>
    <row r="4" spans="1:12" ht="12.75" customHeight="1" x14ac:dyDescent="0.2">
      <c r="B4" s="2498" t="str">
        <f>'Single Audit Cover'!A4</f>
        <v>Year Ending June 30, 2018</v>
      </c>
      <c r="C4" s="2498"/>
      <c r="D4" s="2498"/>
      <c r="E4" s="2498"/>
      <c r="F4" s="2498"/>
      <c r="G4" s="2498"/>
      <c r="H4" s="2498"/>
      <c r="I4" s="2498"/>
      <c r="J4" s="2498"/>
      <c r="K4" s="2498"/>
      <c r="L4" s="1374"/>
    </row>
    <row r="5" spans="1:12" ht="5.25" customHeight="1" x14ac:dyDescent="0.2">
      <c r="B5" s="1257" t="s">
        <v>1231</v>
      </c>
      <c r="C5" s="1257"/>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6"/>
      <c r="C7" s="1376"/>
      <c r="D7" s="1376"/>
      <c r="E7" s="1376"/>
      <c r="F7" s="1376"/>
      <c r="G7" s="1377"/>
      <c r="H7" s="1376"/>
      <c r="I7" s="1377"/>
      <c r="J7" s="1376"/>
      <c r="K7" s="1376"/>
      <c r="L7" s="322"/>
    </row>
    <row r="8" spans="1:12" ht="13.5" customHeight="1" x14ac:dyDescent="0.2">
      <c r="B8" s="1384" t="s">
        <v>1857</v>
      </c>
      <c r="C8" s="1464" t="s">
        <v>1950</v>
      </c>
      <c r="D8" s="1465" t="s">
        <v>2179</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9"/>
      <c r="G12" s="2489"/>
      <c r="H12" s="2489"/>
      <c r="I12" s="2489"/>
      <c r="J12" s="2489"/>
      <c r="K12" s="2489"/>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02"/>
      <c r="E14" s="2502"/>
      <c r="F14" s="2502"/>
      <c r="H14" s="1472" t="s">
        <v>1370</v>
      </c>
      <c r="I14" s="2503"/>
      <c r="J14" s="2503"/>
      <c r="K14" s="2503"/>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03"/>
      <c r="E16" s="2503"/>
      <c r="F16" s="2503"/>
      <c r="G16" s="2503"/>
      <c r="H16" s="2503"/>
      <c r="I16" s="2503"/>
      <c r="J16" s="2503"/>
      <c r="K16" s="2503"/>
      <c r="L16" s="322"/>
    </row>
    <row r="17" spans="2:12" ht="13.5" customHeight="1" x14ac:dyDescent="0.2">
      <c r="B17" s="1384" t="s">
        <v>1368</v>
      </c>
      <c r="C17" s="1384"/>
      <c r="D17" s="2504"/>
      <c r="E17" s="2504"/>
      <c r="F17" s="2504"/>
      <c r="G17" s="2504"/>
      <c r="H17" s="2504"/>
      <c r="I17" s="2504"/>
      <c r="J17" s="2504"/>
      <c r="K17" s="2504"/>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7"/>
      <c r="C20" s="2497"/>
      <c r="D20" s="2497"/>
      <c r="E20" s="2497"/>
      <c r="F20" s="2497"/>
      <c r="G20" s="2497"/>
      <c r="H20" s="2497"/>
      <c r="I20" s="2497"/>
      <c r="J20" s="2497"/>
      <c r="K20" s="2497"/>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1858</v>
      </c>
      <c r="C22" s="1474"/>
      <c r="D22" s="322"/>
      <c r="E22" s="322"/>
      <c r="F22" s="322"/>
      <c r="G22" s="1380"/>
      <c r="H22" s="322"/>
      <c r="I22" s="1380"/>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1859</v>
      </c>
      <c r="C25" s="1474"/>
      <c r="D25" s="322"/>
      <c r="E25" s="322"/>
      <c r="F25" s="322"/>
      <c r="G25" s="1380"/>
      <c r="H25" s="322"/>
      <c r="I25" s="1380"/>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1860</v>
      </c>
      <c r="C28" s="1474"/>
      <c r="D28" s="322"/>
      <c r="E28" s="322"/>
      <c r="F28" s="322"/>
      <c r="G28" s="1380"/>
      <c r="H28" s="322"/>
      <c r="I28" s="1380"/>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1861</v>
      </c>
      <c r="C40" s="1400"/>
      <c r="D40" s="1375"/>
      <c r="E40" s="1376"/>
      <c r="F40" s="1376"/>
      <c r="G40" s="1377"/>
      <c r="H40" s="1376"/>
      <c r="I40" s="1377"/>
      <c r="J40" s="1376"/>
      <c r="K40" s="1376"/>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1862</v>
      </c>
      <c r="C48" s="1416"/>
      <c r="D48" s="322"/>
      <c r="E48" s="322"/>
      <c r="F48" s="322"/>
    </row>
    <row r="49" spans="2:3" s="317" customFormat="1" ht="10.5" customHeight="1" x14ac:dyDescent="0.2">
      <c r="B49" s="1417" t="s">
        <v>1863</v>
      </c>
      <c r="C49" s="1417"/>
    </row>
    <row r="50" spans="2:3" s="317" customFormat="1" ht="11.1" customHeight="1" x14ac:dyDescent="0.2">
      <c r="B50" s="1417" t="s">
        <v>1864</v>
      </c>
      <c r="C50" s="1417"/>
    </row>
    <row r="51" spans="2:3" s="317" customFormat="1" ht="11.1" customHeight="1" x14ac:dyDescent="0.2">
      <c r="B51" s="1417" t="s">
        <v>1865</v>
      </c>
      <c r="C51" s="1417"/>
    </row>
    <row r="52" spans="2:3" s="317" customFormat="1" ht="11.1" customHeight="1" x14ac:dyDescent="0.2">
      <c r="B52" s="1417" t="s">
        <v>1866</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sqref="A1:M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2" t="str">
        <f>'Single Audit Cover'!A7</f>
        <v>Moline-Coal Valley CUSD 40</v>
      </c>
      <c r="C1" s="2482"/>
      <c r="D1" s="2482"/>
      <c r="E1" s="1488"/>
    </row>
    <row r="2" spans="2:5" s="1279" customFormat="1" ht="12.75" customHeight="1" x14ac:dyDescent="0.2">
      <c r="B2" s="2484">
        <f>'Single Audit Cover'!E7</f>
        <v>49081040022</v>
      </c>
      <c r="C2" s="2484"/>
      <c r="D2" s="2484"/>
      <c r="E2" s="1489"/>
    </row>
    <row r="3" spans="2:5" ht="12.75" customHeight="1" x14ac:dyDescent="0.2">
      <c r="B3" s="2498" t="s">
        <v>1867</v>
      </c>
      <c r="C3" s="2498"/>
      <c r="D3" s="2498"/>
      <c r="E3" s="1271"/>
    </row>
    <row r="4" spans="2:5" s="1279" customFormat="1" ht="12.75" customHeight="1" x14ac:dyDescent="0.2">
      <c r="B4" s="2508" t="str">
        <f>'Single Audit Cover'!A4</f>
        <v>Year Ending June 30, 2018</v>
      </c>
      <c r="C4" s="2508"/>
      <c r="D4" s="2508"/>
      <c r="E4" s="1490"/>
    </row>
    <row r="5" spans="2:5" s="1279" customFormat="1" ht="40.15" customHeight="1" x14ac:dyDescent="0.2">
      <c r="B5" s="1491" t="s">
        <v>1868</v>
      </c>
      <c r="C5" s="328"/>
      <c r="D5" s="328"/>
      <c r="E5" s="328"/>
    </row>
    <row r="6" spans="2:5" s="1279" customFormat="1" ht="13.5" customHeight="1" x14ac:dyDescent="0.2">
      <c r="B6" s="1492" t="s">
        <v>1382</v>
      </c>
      <c r="C6" s="1492" t="s">
        <v>1381</v>
      </c>
      <c r="D6" s="1492" t="s">
        <v>1869</v>
      </c>
    </row>
    <row r="7" spans="2:5" ht="13.5" customHeight="1" x14ac:dyDescent="0.2">
      <c r="B7" s="1493" t="s">
        <v>2171</v>
      </c>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1870</v>
      </c>
    </row>
    <row r="46" spans="2:5" ht="12.2" customHeight="1" x14ac:dyDescent="0.2">
      <c r="B46" s="1502" t="s">
        <v>1871</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854804251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3.27E-2</v>
      </c>
      <c r="E10" s="356" t="s">
        <v>1062</v>
      </c>
      <c r="F10" s="355">
        <v>7.4999999999999997E-3</v>
      </c>
      <c r="G10" s="356" t="s">
        <v>1062</v>
      </c>
      <c r="H10" s="355">
        <v>8.8000000000000003E-4</v>
      </c>
      <c r="I10" s="356" t="s">
        <v>1063</v>
      </c>
      <c r="J10" s="1749">
        <f>ROUND(D10+F10+H10,5)</f>
        <v>4.1079999999999998E-2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77636437</v>
      </c>
      <c r="E16" s="356"/>
      <c r="F16" s="1750">
        <f>SUM('Acct Summary 7-8'!C17,'Acct Summary 7-8'!D17,'Acct Summary 7-8'!F17)</f>
        <v>73576285</v>
      </c>
      <c r="G16" s="356"/>
      <c r="H16" s="1750">
        <f>SUM(D16-F16)</f>
        <v>4060152</v>
      </c>
      <c r="I16" s="222"/>
      <c r="J16" s="1750">
        <f>SUM('Acct Summary 7-8'!C81,'Acct Summary 7-8'!D81,'Acct Summary 7-8'!F81,'Acct Summary 7-8'!I81)</f>
        <v>51752648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117962986.63800001</v>
      </c>
      <c r="I31" s="368"/>
      <c r="J31" s="222"/>
      <c r="K31" s="222"/>
      <c r="L31" s="222"/>
      <c r="M31" s="222"/>
    </row>
    <row r="32" spans="1:13" ht="13.35" customHeight="1" x14ac:dyDescent="0.2">
      <c r="B32" s="369" t="s">
        <v>2150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39801552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2" zoomScaleNormal="100" workbookViewId="0">
      <selection sqref="A1:M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Moline-Coal Valley CUSD 40</v>
      </c>
      <c r="E7" s="391"/>
      <c r="G7" s="252"/>
      <c r="H7" s="387"/>
      <c r="I7" s="387"/>
      <c r="J7" s="387"/>
      <c r="K7" s="387"/>
      <c r="L7" s="329"/>
      <c r="M7" s="329"/>
      <c r="N7" s="329"/>
      <c r="O7" s="329"/>
      <c r="P7" s="329"/>
    </row>
    <row r="8" spans="1:18" ht="12.75" x14ac:dyDescent="0.2">
      <c r="A8" s="329"/>
      <c r="B8" s="329"/>
      <c r="C8" s="389" t="s">
        <v>1187</v>
      </c>
      <c r="D8" s="392">
        <f>COVER!A13</f>
        <v>49081040022</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51752648</v>
      </c>
      <c r="I12" s="404"/>
      <c r="J12" s="404"/>
      <c r="K12" s="405">
        <f>TRUNC((H12/H13*100000),5)/100000</f>
        <v>0.66660256439999999</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77636437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73576285</v>
      </c>
      <c r="I17" s="404"/>
      <c r="J17" s="416"/>
      <c r="K17" s="405">
        <f>TRUNC((H17/H18*100000),5)/100000</f>
        <v>0.94770300959999998</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77636437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51872357</v>
      </c>
      <c r="I24" s="422"/>
      <c r="J24" s="422"/>
      <c r="K24" s="423">
        <f>TRUNC(((H24/H25*100000)/100000),2)</f>
        <v>253.8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204378.56943999999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29848054.83642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39801552</v>
      </c>
      <c r="I32" s="420"/>
      <c r="J32" s="420"/>
      <c r="K32" s="423">
        <f>TRUNC(100-((((H32/H33*100))*100)/100),2)</f>
        <v>66.25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117962986.63800001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90" workbookViewId="0">
      <pane ySplit="2" topLeftCell="A3" activePane="bottomLeft" state="frozen"/>
      <selection sqref="A1:M1"/>
      <selection pane="bottomLeft" sqref="A1:M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78"/>
      <c r="D3" s="1579"/>
      <c r="E3" s="1579"/>
      <c r="F3" s="1579"/>
      <c r="G3" s="1579"/>
      <c r="H3" s="1579"/>
      <c r="I3" s="1579"/>
      <c r="J3" s="1579"/>
      <c r="K3" s="1579"/>
      <c r="L3" s="1579"/>
      <c r="M3" s="1580"/>
      <c r="N3" s="1581"/>
    </row>
    <row r="4" spans="1:14" ht="13.5" customHeight="1" x14ac:dyDescent="0.2">
      <c r="A4" s="463" t="s">
        <v>1750</v>
      </c>
      <c r="B4" s="464"/>
      <c r="C4" s="465">
        <f>9046515-2</f>
        <v>9046513</v>
      </c>
      <c r="D4" s="466">
        <v>0</v>
      </c>
      <c r="E4" s="466">
        <v>0</v>
      </c>
      <c r="F4" s="466">
        <v>122346</v>
      </c>
      <c r="G4" s="466">
        <v>0</v>
      </c>
      <c r="H4" s="466">
        <v>3979975</v>
      </c>
      <c r="I4" s="466">
        <v>1218730</v>
      </c>
      <c r="J4" s="467">
        <v>0</v>
      </c>
      <c r="K4" s="466">
        <v>0</v>
      </c>
      <c r="L4" s="466"/>
      <c r="M4" s="468"/>
      <c r="N4" s="469"/>
    </row>
    <row r="5" spans="1:14" x14ac:dyDescent="0.2">
      <c r="A5" s="463" t="s">
        <v>1049</v>
      </c>
      <c r="B5" s="470">
        <v>120</v>
      </c>
      <c r="C5" s="465">
        <f>18206834+6573209</f>
        <v>24780043</v>
      </c>
      <c r="D5" s="466">
        <v>3294381</v>
      </c>
      <c r="E5" s="466">
        <v>2313144</v>
      </c>
      <c r="F5" s="466">
        <v>2146300</v>
      </c>
      <c r="G5" s="466">
        <v>3337363</v>
      </c>
      <c r="H5" s="466">
        <v>22922866</v>
      </c>
      <c r="I5" s="466">
        <v>11264044</v>
      </c>
      <c r="J5" s="467">
        <v>1750540</v>
      </c>
      <c r="K5" s="471">
        <v>1357299</v>
      </c>
      <c r="L5" s="472">
        <v>817825</v>
      </c>
      <c r="M5" s="468"/>
      <c r="N5" s="469"/>
    </row>
    <row r="6" spans="1:14" ht="13.5" customHeight="1" x14ac:dyDescent="0.2">
      <c r="A6" s="473" t="s">
        <v>437</v>
      </c>
      <c r="B6" s="470">
        <v>130</v>
      </c>
      <c r="C6" s="465">
        <v>34081201</v>
      </c>
      <c r="D6" s="466">
        <v>7445061</v>
      </c>
      <c r="E6" s="466">
        <v>4445196</v>
      </c>
      <c r="F6" s="466">
        <v>873554</v>
      </c>
      <c r="G6" s="471">
        <v>2283152</v>
      </c>
      <c r="H6" s="471">
        <v>674565</v>
      </c>
      <c r="I6" s="466">
        <v>496338</v>
      </c>
      <c r="J6" s="474">
        <v>1326214</v>
      </c>
      <c r="K6" s="471">
        <v>496338</v>
      </c>
      <c r="L6" s="475"/>
      <c r="M6" s="468"/>
      <c r="N6" s="469"/>
    </row>
    <row r="7" spans="1:14" ht="13.5" customHeight="1" x14ac:dyDescent="0.2">
      <c r="A7" s="473" t="s">
        <v>438</v>
      </c>
      <c r="B7" s="470">
        <v>140</v>
      </c>
      <c r="C7" s="476">
        <v>0</v>
      </c>
      <c r="D7" s="467"/>
      <c r="E7" s="467"/>
      <c r="F7" s="467"/>
      <c r="G7" s="467"/>
      <c r="H7" s="467"/>
      <c r="I7" s="467"/>
      <c r="J7" s="467"/>
      <c r="K7" s="467"/>
      <c r="L7" s="477"/>
      <c r="M7" s="468"/>
      <c r="N7" s="469"/>
    </row>
    <row r="8" spans="1:14" ht="13.5" customHeight="1" x14ac:dyDescent="0.2">
      <c r="A8" s="473" t="s">
        <v>287</v>
      </c>
      <c r="B8" s="470">
        <v>150</v>
      </c>
      <c r="C8" s="476">
        <v>1940659</v>
      </c>
      <c r="D8" s="467"/>
      <c r="E8" s="467"/>
      <c r="F8" s="467">
        <v>443265</v>
      </c>
      <c r="G8" s="478"/>
      <c r="H8" s="467"/>
      <c r="I8" s="474"/>
      <c r="J8" s="474"/>
      <c r="K8" s="479"/>
      <c r="L8" s="480"/>
      <c r="M8" s="468"/>
      <c r="N8" s="469"/>
    </row>
    <row r="9" spans="1:14" ht="13.5" customHeight="1" x14ac:dyDescent="0.2">
      <c r="A9" s="473" t="s">
        <v>288</v>
      </c>
      <c r="B9" s="470">
        <v>160</v>
      </c>
      <c r="C9" s="476">
        <f>47200+969</f>
        <v>48169</v>
      </c>
      <c r="D9" s="467">
        <v>118</v>
      </c>
      <c r="E9" s="467"/>
      <c r="F9" s="467">
        <v>275</v>
      </c>
      <c r="G9" s="467">
        <v>993</v>
      </c>
      <c r="H9" s="478">
        <v>11</v>
      </c>
      <c r="I9" s="467"/>
      <c r="J9" s="467">
        <v>1864</v>
      </c>
      <c r="K9" s="467"/>
      <c r="L9" s="467"/>
      <c r="M9" s="468"/>
      <c r="N9" s="469"/>
    </row>
    <row r="10" spans="1:14" ht="13.5" customHeight="1" x14ac:dyDescent="0.2">
      <c r="A10" s="473" t="s">
        <v>1048</v>
      </c>
      <c r="B10" s="470">
        <v>170</v>
      </c>
      <c r="C10" s="465">
        <v>29372</v>
      </c>
      <c r="D10" s="466"/>
      <c r="E10" s="467"/>
      <c r="F10" s="466"/>
      <c r="G10" s="478"/>
      <c r="H10" s="481"/>
      <c r="I10" s="467"/>
      <c r="J10" s="467"/>
      <c r="K10" s="481"/>
      <c r="L10" s="481"/>
      <c r="M10" s="469"/>
      <c r="N10" s="469"/>
    </row>
    <row r="11" spans="1:14" ht="13.5" customHeight="1" x14ac:dyDescent="0.2">
      <c r="A11" s="473" t="s">
        <v>289</v>
      </c>
      <c r="B11" s="470">
        <v>180</v>
      </c>
      <c r="C11" s="476">
        <f>35333+39483</f>
        <v>74816</v>
      </c>
      <c r="D11" s="467">
        <v>2043</v>
      </c>
      <c r="E11" s="467"/>
      <c r="F11" s="467"/>
      <c r="G11" s="467"/>
      <c r="H11" s="467"/>
      <c r="I11" s="478"/>
      <c r="J11" s="478">
        <v>419</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70000773</v>
      </c>
      <c r="D13" s="1754">
        <f t="shared" ref="D13:L13" si="0">SUM(D4:D12)</f>
        <v>10741603</v>
      </c>
      <c r="E13" s="1754">
        <f t="shared" si="0"/>
        <v>6758340</v>
      </c>
      <c r="F13" s="1754">
        <f t="shared" si="0"/>
        <v>3585740</v>
      </c>
      <c r="G13" s="1754">
        <f t="shared" si="0"/>
        <v>5621508</v>
      </c>
      <c r="H13" s="1754">
        <f t="shared" si="0"/>
        <v>27577417</v>
      </c>
      <c r="I13" s="1754">
        <f t="shared" si="0"/>
        <v>12979112</v>
      </c>
      <c r="J13" s="1754">
        <f t="shared" si="0"/>
        <v>3079037</v>
      </c>
      <c r="K13" s="1754">
        <f t="shared" si="0"/>
        <v>1853637</v>
      </c>
      <c r="L13" s="1754">
        <f t="shared" si="0"/>
        <v>817825</v>
      </c>
      <c r="M13" s="468"/>
      <c r="N13" s="469"/>
    </row>
    <row r="14" spans="1:14" ht="18" customHeight="1" thickTop="1" x14ac:dyDescent="0.2">
      <c r="A14" s="2132" t="s">
        <v>149</v>
      </c>
      <c r="B14" s="2133"/>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1139143</v>
      </c>
      <c r="N16" s="484"/>
    </row>
    <row r="17" spans="1:14" s="485" customFormat="1" ht="12.75" customHeight="1" x14ac:dyDescent="0.2">
      <c r="A17" s="482" t="s">
        <v>1470</v>
      </c>
      <c r="B17" s="483">
        <v>230</v>
      </c>
      <c r="C17" s="477"/>
      <c r="D17" s="477"/>
      <c r="E17" s="477"/>
      <c r="F17" s="477"/>
      <c r="G17" s="477"/>
      <c r="H17" s="477"/>
      <c r="I17" s="477"/>
      <c r="J17" s="477"/>
      <c r="K17" s="477"/>
      <c r="L17" s="477"/>
      <c r="M17" s="467">
        <v>110943415</v>
      </c>
      <c r="N17" s="484"/>
    </row>
    <row r="18" spans="1:14" s="485" customFormat="1" ht="12.75" customHeight="1" x14ac:dyDescent="0.2">
      <c r="A18" s="482" t="s">
        <v>1471</v>
      </c>
      <c r="B18" s="483">
        <v>240</v>
      </c>
      <c r="C18" s="477"/>
      <c r="D18" s="477"/>
      <c r="E18" s="477"/>
      <c r="F18" s="477"/>
      <c r="G18" s="477"/>
      <c r="H18" s="477"/>
      <c r="I18" s="477"/>
      <c r="J18" s="477"/>
      <c r="K18" s="477"/>
      <c r="L18" s="477"/>
      <c r="M18" s="467">
        <v>8619398</v>
      </c>
      <c r="N18" s="484"/>
    </row>
    <row r="19" spans="1:14" s="485" customFormat="1" ht="12.75" customHeight="1" x14ac:dyDescent="0.2">
      <c r="A19" s="482" t="s">
        <v>1472</v>
      </c>
      <c r="B19" s="483">
        <v>250</v>
      </c>
      <c r="C19" s="477"/>
      <c r="D19" s="477"/>
      <c r="E19" s="477"/>
      <c r="F19" s="477"/>
      <c r="G19" s="477"/>
      <c r="H19" s="477"/>
      <c r="I19" s="477"/>
      <c r="J19" s="477"/>
      <c r="K19" s="477"/>
      <c r="L19" s="477"/>
      <c r="M19" s="467">
        <v>5050682</v>
      </c>
      <c r="N19" s="484"/>
    </row>
    <row r="20" spans="1:14" s="485" customFormat="1" ht="12.75" customHeight="1" x14ac:dyDescent="0.2">
      <c r="A20" s="482" t="s">
        <v>1473</v>
      </c>
      <c r="B20" s="483">
        <v>260</v>
      </c>
      <c r="C20" s="477"/>
      <c r="D20" s="477"/>
      <c r="E20" s="477"/>
      <c r="F20" s="477"/>
      <c r="G20" s="477"/>
      <c r="H20" s="477"/>
      <c r="I20" s="477"/>
      <c r="J20" s="477"/>
      <c r="K20" s="477"/>
      <c r="L20" s="477"/>
      <c r="M20" s="467">
        <v>11341658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39801552</v>
      </c>
    </row>
    <row r="23" spans="1:14" ht="13.5" customHeight="1" thickBot="1" x14ac:dyDescent="0.25">
      <c r="A23" s="1753" t="s">
        <v>664</v>
      </c>
      <c r="B23" s="1758"/>
      <c r="C23" s="468"/>
      <c r="D23" s="468"/>
      <c r="E23" s="468"/>
      <c r="F23" s="468"/>
      <c r="G23" s="468"/>
      <c r="H23" s="468"/>
      <c r="I23" s="468"/>
      <c r="J23" s="468"/>
      <c r="K23" s="468"/>
      <c r="L23" s="468"/>
      <c r="M23" s="1705">
        <f>SUM(M15:M22)</f>
        <v>137094296</v>
      </c>
      <c r="N23" s="1705">
        <f>SUM(N21:N22)</f>
        <v>39801552</v>
      </c>
    </row>
    <row r="24" spans="1:14" ht="18" customHeight="1" thickTop="1" x14ac:dyDescent="0.2">
      <c r="A24" s="2134" t="s">
        <v>619</v>
      </c>
      <c r="B24" s="2135"/>
      <c r="C24" s="1587"/>
      <c r="D24" s="1584"/>
      <c r="E24" s="1584"/>
      <c r="F24" s="1584"/>
      <c r="G24" s="1584"/>
      <c r="H24" s="1584"/>
      <c r="I24" s="1584"/>
      <c r="J24" s="1584"/>
      <c r="K24" s="1584"/>
      <c r="L24" s="1584"/>
      <c r="M24" s="1583"/>
      <c r="N24" s="1588"/>
    </row>
    <row r="25" spans="1:14" x14ac:dyDescent="0.2">
      <c r="A25" s="473" t="s">
        <v>666</v>
      </c>
      <c r="B25" s="470">
        <v>410</v>
      </c>
      <c r="C25" s="478">
        <v>0</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361093+1349973-1</f>
        <v>1711065</v>
      </c>
      <c r="D27" s="467">
        <v>599208</v>
      </c>
      <c r="E27" s="467"/>
      <c r="F27" s="467">
        <v>1989</v>
      </c>
      <c r="G27" s="467"/>
      <c r="H27" s="467">
        <v>1410564</v>
      </c>
      <c r="I27" s="467"/>
      <c r="J27" s="467">
        <v>6536</v>
      </c>
      <c r="K27" s="467">
        <v>302094</v>
      </c>
      <c r="L27" s="468"/>
      <c r="M27" s="468"/>
      <c r="N27" s="468"/>
    </row>
    <row r="28" spans="1:14" ht="13.5" customHeight="1" x14ac:dyDescent="0.2">
      <c r="A28" s="473" t="s">
        <v>669</v>
      </c>
      <c r="B28" s="470">
        <v>440</v>
      </c>
      <c r="C28" s="467"/>
      <c r="D28" s="467">
        <v>188414</v>
      </c>
      <c r="E28" s="474"/>
      <c r="F28" s="467"/>
      <c r="G28" s="474"/>
      <c r="H28" s="474">
        <v>484887</v>
      </c>
      <c r="I28" s="467"/>
      <c r="J28" s="467"/>
      <c r="K28" s="479">
        <v>44983</v>
      </c>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f>8397737+102-657021</f>
        <v>7740818</v>
      </c>
      <c r="D30" s="474">
        <v>8958</v>
      </c>
      <c r="E30" s="467"/>
      <c r="F30" s="467"/>
      <c r="G30" s="467">
        <v>241744</v>
      </c>
      <c r="H30" s="467"/>
      <c r="I30" s="467"/>
      <c r="J30" s="467"/>
      <c r="K30" s="478"/>
      <c r="L30" s="468"/>
      <c r="M30" s="468"/>
      <c r="N30" s="468"/>
    </row>
    <row r="31" spans="1:14" ht="13.5" customHeight="1" x14ac:dyDescent="0.2">
      <c r="A31" s="473" t="s">
        <v>672</v>
      </c>
      <c r="B31" s="470">
        <v>480</v>
      </c>
      <c r="C31" s="466">
        <v>23595</v>
      </c>
      <c r="D31" s="467"/>
      <c r="E31" s="467"/>
      <c r="F31" s="466"/>
      <c r="G31" s="467"/>
      <c r="H31" s="467"/>
      <c r="I31" s="467"/>
      <c r="J31" s="467"/>
      <c r="K31" s="467"/>
      <c r="L31" s="468"/>
      <c r="M31" s="468"/>
      <c r="N31" s="468"/>
    </row>
    <row r="32" spans="1:14" ht="13.5" customHeight="1" x14ac:dyDescent="0.2">
      <c r="A32" s="490" t="s">
        <v>673</v>
      </c>
      <c r="B32" s="491">
        <v>490</v>
      </c>
      <c r="C32" s="492">
        <v>27703830</v>
      </c>
      <c r="D32" s="492">
        <v>6024571</v>
      </c>
      <c r="E32" s="474">
        <v>3597070</v>
      </c>
      <c r="F32" s="474">
        <v>1150148</v>
      </c>
      <c r="G32" s="474">
        <v>1847536</v>
      </c>
      <c r="H32" s="474"/>
      <c r="I32" s="474">
        <v>401639</v>
      </c>
      <c r="J32" s="474">
        <v>1073177</v>
      </c>
      <c r="K32" s="479">
        <v>401638</v>
      </c>
      <c r="L32" s="468"/>
      <c r="M32" s="468"/>
      <c r="N32" s="468"/>
    </row>
    <row r="33" spans="1:14" ht="13.5" customHeight="1" x14ac:dyDescent="0.2">
      <c r="A33" s="493" t="s">
        <v>321</v>
      </c>
      <c r="B33" s="491">
        <v>493</v>
      </c>
      <c r="C33" s="467">
        <v>345</v>
      </c>
      <c r="D33" s="467"/>
      <c r="E33" s="467"/>
      <c r="F33" s="467"/>
      <c r="G33" s="467"/>
      <c r="H33" s="467"/>
      <c r="I33" s="467"/>
      <c r="J33" s="467"/>
      <c r="K33" s="467"/>
      <c r="L33" s="467">
        <v>817825</v>
      </c>
      <c r="M33" s="468"/>
      <c r="N33" s="469"/>
    </row>
    <row r="34" spans="1:14" ht="13.5" customHeight="1" thickBot="1" x14ac:dyDescent="0.25">
      <c r="A34" s="1755" t="s">
        <v>675</v>
      </c>
      <c r="B34" s="1756"/>
      <c r="C34" s="1757">
        <f>SUM(C25:C33)</f>
        <v>37179653</v>
      </c>
      <c r="D34" s="1757">
        <f t="shared" ref="D34:K34" si="1">SUM(D25:D33)</f>
        <v>6821151</v>
      </c>
      <c r="E34" s="1757">
        <f t="shared" si="1"/>
        <v>3597070</v>
      </c>
      <c r="F34" s="1757">
        <f t="shared" si="1"/>
        <v>1152137</v>
      </c>
      <c r="G34" s="1757">
        <f t="shared" si="1"/>
        <v>2089280</v>
      </c>
      <c r="H34" s="1757">
        <f t="shared" si="1"/>
        <v>1895451</v>
      </c>
      <c r="I34" s="1757">
        <f t="shared" si="1"/>
        <v>401639</v>
      </c>
      <c r="J34" s="1757">
        <f t="shared" si="1"/>
        <v>1079713</v>
      </c>
      <c r="K34" s="1757">
        <f t="shared" si="1"/>
        <v>748715</v>
      </c>
      <c r="L34" s="1738">
        <f>SUM(L33)</f>
        <v>817825</v>
      </c>
      <c r="M34" s="468"/>
      <c r="N34" s="480"/>
    </row>
    <row r="35" spans="1:14" ht="18" customHeight="1" thickTop="1" x14ac:dyDescent="0.2">
      <c r="A35" s="2136" t="s">
        <v>550</v>
      </c>
      <c r="B35" s="2137"/>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39801552</v>
      </c>
    </row>
    <row r="37" spans="1:14" ht="13.5" thickBot="1" x14ac:dyDescent="0.25">
      <c r="A37" s="1753" t="s">
        <v>674</v>
      </c>
      <c r="B37" s="1758"/>
      <c r="C37" s="477"/>
      <c r="D37" s="477"/>
      <c r="E37" s="477"/>
      <c r="F37" s="477"/>
      <c r="G37" s="477"/>
      <c r="H37" s="477"/>
      <c r="I37" s="477"/>
      <c r="J37" s="477"/>
      <c r="K37" s="477"/>
      <c r="L37" s="480"/>
      <c r="M37" s="468"/>
      <c r="N37" s="1705">
        <f>SUM(N36:N36)</f>
        <v>39801552</v>
      </c>
    </row>
    <row r="38" spans="1:14" s="329" customFormat="1" ht="13.5" customHeight="1" thickTop="1" x14ac:dyDescent="0.2">
      <c r="A38" s="496" t="s">
        <v>440</v>
      </c>
      <c r="B38" s="483">
        <v>714</v>
      </c>
      <c r="C38" s="466">
        <v>4980105</v>
      </c>
      <c r="D38" s="466">
        <f>685024+2043</f>
        <v>687067</v>
      </c>
      <c r="E38" s="466">
        <v>3161270</v>
      </c>
      <c r="F38" s="466">
        <v>2433603</v>
      </c>
      <c r="G38" s="466">
        <v>3532228</v>
      </c>
      <c r="H38" s="466">
        <v>25681966</v>
      </c>
      <c r="I38" s="466">
        <v>8198649</v>
      </c>
      <c r="J38" s="467">
        <v>1999324</v>
      </c>
      <c r="K38" s="466">
        <v>1104922</v>
      </c>
      <c r="L38" s="481"/>
      <c r="M38" s="497"/>
      <c r="N38" s="497"/>
    </row>
    <row r="39" spans="1:14" s="329" customFormat="1" ht="13.5" customHeight="1" x14ac:dyDescent="0.2">
      <c r="A39" s="496" t="s">
        <v>360</v>
      </c>
      <c r="B39" s="483">
        <v>730</v>
      </c>
      <c r="C39" s="466">
        <v>27841015</v>
      </c>
      <c r="D39" s="466">
        <f>3235428-2043</f>
        <v>3233385</v>
      </c>
      <c r="E39" s="466"/>
      <c r="F39" s="466"/>
      <c r="G39" s="466"/>
      <c r="H39" s="466"/>
      <c r="I39" s="466">
        <v>4378824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137094296</v>
      </c>
      <c r="N40" s="497"/>
    </row>
    <row r="41" spans="1:14" ht="13.5" customHeight="1" thickBot="1" x14ac:dyDescent="0.25">
      <c r="A41" s="1753" t="s">
        <v>676</v>
      </c>
      <c r="B41" s="1723"/>
      <c r="C41" s="1705">
        <f>(SUM(C34,C37,C38,C39))</f>
        <v>70000773</v>
      </c>
      <c r="D41" s="1705">
        <f t="shared" ref="D41:L41" si="2">SUM(D34,D37,D38:D39)</f>
        <v>10741603</v>
      </c>
      <c r="E41" s="1705">
        <f t="shared" si="2"/>
        <v>6758340</v>
      </c>
      <c r="F41" s="1705">
        <f t="shared" si="2"/>
        <v>3585740</v>
      </c>
      <c r="G41" s="1705">
        <f t="shared" si="2"/>
        <v>5621508</v>
      </c>
      <c r="H41" s="1705">
        <f t="shared" si="2"/>
        <v>27577417</v>
      </c>
      <c r="I41" s="1705">
        <f t="shared" si="2"/>
        <v>12979112</v>
      </c>
      <c r="J41" s="1705">
        <f t="shared" si="2"/>
        <v>3079037</v>
      </c>
      <c r="K41" s="1705">
        <f t="shared" si="2"/>
        <v>1853637</v>
      </c>
      <c r="L41" s="1705">
        <f t="shared" si="2"/>
        <v>817825</v>
      </c>
      <c r="M41" s="1705">
        <f>SUM(M40)</f>
        <v>137094296</v>
      </c>
      <c r="N41" s="1705">
        <f>SUM(N37)</f>
        <v>39801552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5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sqref="A1:M1"/>
      <selection pane="bottomLeft" sqref="A1:M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2"/>
      <c r="D3" s="1593"/>
      <c r="E3" s="1593"/>
      <c r="F3" s="1593"/>
      <c r="G3" s="1593"/>
      <c r="H3" s="1593"/>
      <c r="I3" s="1593"/>
      <c r="J3" s="1593"/>
      <c r="K3" s="1594"/>
      <c r="L3" s="506"/>
    </row>
    <row r="4" spans="1:13" ht="15.75" customHeight="1" x14ac:dyDescent="0.2">
      <c r="A4" s="1946" t="s">
        <v>1579</v>
      </c>
      <c r="B4" s="1947">
        <v>1000</v>
      </c>
      <c r="C4" s="1759">
        <f>'Revenues 9-14'!C109</f>
        <v>36089981</v>
      </c>
      <c r="D4" s="1759">
        <f>'Revenues 9-14'!D109</f>
        <v>10826927</v>
      </c>
      <c r="E4" s="1759">
        <f>'Revenues 9-14'!E109</f>
        <v>4014303</v>
      </c>
      <c r="F4" s="1759">
        <f>'Revenues 9-14'!F109</f>
        <v>925730</v>
      </c>
      <c r="G4" s="1759">
        <f>'Revenues 9-14'!G109</f>
        <v>2455856</v>
      </c>
      <c r="H4" s="1759">
        <f>'Revenues 9-14'!H109</f>
        <v>8296394</v>
      </c>
      <c r="I4" s="1759">
        <f>'Revenues 9-14'!I109</f>
        <v>647104</v>
      </c>
      <c r="J4" s="1759">
        <f>'Revenues 9-14'!J109</f>
        <v>1151662</v>
      </c>
      <c r="K4" s="1759">
        <f>'Revenues 9-14'!K109</f>
        <v>456168</v>
      </c>
      <c r="L4" s="347"/>
    </row>
    <row r="5" spans="1:13" ht="15.75" customHeight="1" x14ac:dyDescent="0.2">
      <c r="A5" s="1595" t="s">
        <v>1580</v>
      </c>
      <c r="B5" s="1596">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5" t="s">
        <v>1581</v>
      </c>
      <c r="B6" s="1597">
        <v>3000</v>
      </c>
      <c r="C6" s="1760">
        <f>'Revenues 9-14'!C173</f>
        <v>22309426</v>
      </c>
      <c r="D6" s="1760">
        <f>'Revenues 9-14'!D173</f>
        <v>0</v>
      </c>
      <c r="E6" s="1760">
        <f>'Revenues 9-14'!E173</f>
        <v>0</v>
      </c>
      <c r="F6" s="1760">
        <f>'Revenues 9-14'!F173</f>
        <v>365841</v>
      </c>
      <c r="G6" s="1760">
        <f>'Revenues 9-14'!G173</f>
        <v>0</v>
      </c>
      <c r="H6" s="1760">
        <f>'Revenues 9-14'!H173</f>
        <v>0</v>
      </c>
      <c r="I6" s="1760">
        <f>'Revenues 9-14'!I173</f>
        <v>0</v>
      </c>
      <c r="J6" s="1760">
        <f>'Revenues 9-14'!J173</f>
        <v>0</v>
      </c>
      <c r="K6" s="1760">
        <f>'Revenues 9-14'!K173</f>
        <v>0</v>
      </c>
      <c r="L6" s="347"/>
      <c r="M6" s="513"/>
    </row>
    <row r="7" spans="1:13" ht="15.75" customHeight="1" x14ac:dyDescent="0.2">
      <c r="A7" s="1595" t="s">
        <v>1582</v>
      </c>
      <c r="B7" s="1597">
        <v>4000</v>
      </c>
      <c r="C7" s="1760">
        <f>'Revenues 9-14'!C274</f>
        <v>6471428</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64870835</v>
      </c>
      <c r="D8" s="1705">
        <f t="shared" ref="D8:K8" si="0">SUM(D4:D7)</f>
        <v>10826927</v>
      </c>
      <c r="E8" s="1705">
        <f t="shared" si="0"/>
        <v>4014303</v>
      </c>
      <c r="F8" s="1705">
        <f t="shared" si="0"/>
        <v>1291571</v>
      </c>
      <c r="G8" s="1705">
        <f t="shared" si="0"/>
        <v>2455856</v>
      </c>
      <c r="H8" s="1705">
        <f t="shared" si="0"/>
        <v>8296394</v>
      </c>
      <c r="I8" s="1705">
        <f t="shared" si="0"/>
        <v>647104</v>
      </c>
      <c r="J8" s="1705">
        <f t="shared" si="0"/>
        <v>1151662</v>
      </c>
      <c r="K8" s="1705">
        <f t="shared" si="0"/>
        <v>456168</v>
      </c>
      <c r="L8" s="347"/>
    </row>
    <row r="9" spans="1:13" ht="15.75" thickTop="1" x14ac:dyDescent="0.2">
      <c r="A9" s="514" t="s">
        <v>1752</v>
      </c>
      <c r="B9" s="515">
        <v>3998</v>
      </c>
      <c r="C9" s="481">
        <v>4410879</v>
      </c>
      <c r="D9" s="516"/>
      <c r="E9" s="481"/>
      <c r="F9" s="481"/>
      <c r="G9" s="517"/>
      <c r="H9" s="481"/>
      <c r="I9" s="509" t="s">
        <v>1231</v>
      </c>
      <c r="J9" s="478"/>
      <c r="K9" s="481"/>
      <c r="L9" s="347"/>
    </row>
    <row r="10" spans="1:13" s="519" customFormat="1" ht="13.5" thickBot="1" x14ac:dyDescent="0.25">
      <c r="A10" s="1753" t="s">
        <v>1235</v>
      </c>
      <c r="B10" s="1726"/>
      <c r="C10" s="1705">
        <f>SUM(C8:C9)</f>
        <v>69281714</v>
      </c>
      <c r="D10" s="1705">
        <f t="shared" ref="D10:K10" si="1">SUM(D8:D9)</f>
        <v>10826927</v>
      </c>
      <c r="E10" s="1705">
        <f t="shared" si="1"/>
        <v>4014303</v>
      </c>
      <c r="F10" s="1705">
        <f t="shared" si="1"/>
        <v>1291571</v>
      </c>
      <c r="G10" s="1705">
        <f t="shared" si="1"/>
        <v>2455856</v>
      </c>
      <c r="H10" s="1705">
        <f t="shared" si="1"/>
        <v>8296394</v>
      </c>
      <c r="I10" s="1705">
        <f t="shared" si="1"/>
        <v>647104</v>
      </c>
      <c r="J10" s="1705">
        <f t="shared" si="1"/>
        <v>1151662</v>
      </c>
      <c r="K10" s="1705">
        <f t="shared" si="1"/>
        <v>456168</v>
      </c>
      <c r="L10" s="518"/>
    </row>
    <row r="11" spans="1:13" s="519" customFormat="1" ht="16.7" customHeight="1" thickTop="1" x14ac:dyDescent="0.2">
      <c r="A11" s="2132" t="s">
        <v>1238</v>
      </c>
      <c r="B11" s="2133"/>
      <c r="C11" s="1589"/>
      <c r="D11" s="1590"/>
      <c r="E11" s="1590"/>
      <c r="F11" s="1590"/>
      <c r="G11" s="1590"/>
      <c r="H11" s="1590"/>
      <c r="I11" s="1590"/>
      <c r="J11" s="1590"/>
      <c r="K11" s="1591"/>
      <c r="L11" s="518"/>
    </row>
    <row r="12" spans="1:13" ht="15.75" customHeight="1" x14ac:dyDescent="0.2">
      <c r="A12" s="1595" t="s">
        <v>476</v>
      </c>
      <c r="B12" s="1597">
        <v>1000</v>
      </c>
      <c r="C12" s="1759">
        <f>'Expenditures 15-22'!K33</f>
        <v>45304606</v>
      </c>
      <c r="D12" s="520" t="s">
        <v>1231</v>
      </c>
      <c r="E12" s="468" t="s">
        <v>1231</v>
      </c>
      <c r="F12" s="468" t="s">
        <v>1231</v>
      </c>
      <c r="G12" s="1759">
        <f>'Expenditures 15-22'!K229</f>
        <v>796191</v>
      </c>
      <c r="H12" s="521"/>
      <c r="I12" s="468" t="s">
        <v>1231</v>
      </c>
      <c r="J12" s="468" t="s">
        <v>1231</v>
      </c>
      <c r="K12" s="521" t="s">
        <v>1231</v>
      </c>
      <c r="L12" s="347"/>
    </row>
    <row r="13" spans="1:13" ht="15.75" customHeight="1" x14ac:dyDescent="0.2">
      <c r="A13" s="1595" t="s">
        <v>477</v>
      </c>
      <c r="B13" s="1597">
        <v>2000</v>
      </c>
      <c r="C13" s="1760">
        <f>'Expenditures 15-22'!K74</f>
        <v>16208780</v>
      </c>
      <c r="D13" s="1760">
        <f>'Expenditures 15-22'!K129</f>
        <v>10435022</v>
      </c>
      <c r="E13" s="469" t="s">
        <v>1231</v>
      </c>
      <c r="F13" s="1760">
        <f>'Expenditures 15-22'!K184</f>
        <v>999577</v>
      </c>
      <c r="G13" s="1760">
        <f>'Expenditures 15-22'!K279</f>
        <v>1586518</v>
      </c>
      <c r="H13" s="1760">
        <f>'Expenditures 15-22'!K303</f>
        <v>6165393</v>
      </c>
      <c r="I13" s="468" t="s">
        <v>1231</v>
      </c>
      <c r="J13" s="1760">
        <f>'Expenditures 15-22'!K330</f>
        <v>966350</v>
      </c>
      <c r="K13" s="1764">
        <f>'Expenditures 15-22'!K352</f>
        <v>877357</v>
      </c>
      <c r="L13" s="347"/>
    </row>
    <row r="14" spans="1:13" ht="15.75" customHeight="1" x14ac:dyDescent="0.2">
      <c r="A14" s="1595" t="s">
        <v>469</v>
      </c>
      <c r="B14" s="1597">
        <v>3000</v>
      </c>
      <c r="C14" s="1760">
        <f>'Expenditures 15-22'!K75</f>
        <v>351000</v>
      </c>
      <c r="D14" s="1760">
        <f>'Expenditures 15-22'!K130</f>
        <v>0</v>
      </c>
      <c r="E14" s="520" t="s">
        <v>1231</v>
      </c>
      <c r="F14" s="1760">
        <f>'Expenditures 15-22'!K185</f>
        <v>0</v>
      </c>
      <c r="G14" s="1760">
        <f>'Expenditures 15-22'!K280</f>
        <v>752</v>
      </c>
      <c r="H14" s="512"/>
      <c r="I14" s="468" t="s">
        <v>1231</v>
      </c>
      <c r="J14" s="468" t="s">
        <v>1231</v>
      </c>
      <c r="K14" s="512" t="s">
        <v>1231</v>
      </c>
      <c r="L14" s="347"/>
    </row>
    <row r="15" spans="1:13" ht="15.75" customHeight="1" x14ac:dyDescent="0.2">
      <c r="A15" s="1595" t="s">
        <v>109</v>
      </c>
      <c r="B15" s="1597">
        <v>4000</v>
      </c>
      <c r="C15" s="1760">
        <f>'Expenditures 15-22'!K102</f>
        <v>277300</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5" t="s">
        <v>470</v>
      </c>
      <c r="B16" s="1597">
        <v>5000</v>
      </c>
      <c r="C16" s="1760">
        <f>'Expenditures 15-22'!K112</f>
        <v>0</v>
      </c>
      <c r="D16" s="1760">
        <f>'Expenditures 15-22'!K149</f>
        <v>0</v>
      </c>
      <c r="E16" s="1760">
        <f>'Expenditures 15-22'!K172</f>
        <v>6999751</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62141686</v>
      </c>
      <c r="D17" s="1705">
        <f t="shared" si="2"/>
        <v>10435022</v>
      </c>
      <c r="E17" s="1705">
        <f t="shared" si="2"/>
        <v>6999751</v>
      </c>
      <c r="F17" s="1705">
        <f t="shared" si="2"/>
        <v>999577</v>
      </c>
      <c r="G17" s="1705">
        <f t="shared" si="2"/>
        <v>2383461</v>
      </c>
      <c r="H17" s="1705">
        <f t="shared" si="2"/>
        <v>6165393</v>
      </c>
      <c r="I17" s="468"/>
      <c r="J17" s="1705">
        <f>SUM(J12:J16)</f>
        <v>966350</v>
      </c>
      <c r="K17" s="1705">
        <f>SUM(K12:K16)</f>
        <v>877357</v>
      </c>
      <c r="L17" s="347"/>
    </row>
    <row r="18" spans="1:12" ht="15" customHeight="1" thickTop="1" x14ac:dyDescent="0.2">
      <c r="A18" s="1761" t="s">
        <v>1753</v>
      </c>
      <c r="B18" s="1762">
        <v>4180</v>
      </c>
      <c r="C18" s="1759">
        <f t="shared" ref="C18:H18" si="3">C9</f>
        <v>4410879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66552565</v>
      </c>
      <c r="D19" s="1705">
        <f t="shared" si="4"/>
        <v>10435022</v>
      </c>
      <c r="E19" s="1705">
        <f t="shared" si="4"/>
        <v>6999751</v>
      </c>
      <c r="F19" s="1705">
        <f t="shared" si="4"/>
        <v>999577</v>
      </c>
      <c r="G19" s="1705">
        <f t="shared" si="4"/>
        <v>2383461</v>
      </c>
      <c r="H19" s="1705">
        <f t="shared" si="4"/>
        <v>6165393</v>
      </c>
      <c r="I19" s="468"/>
      <c r="J19" s="1705">
        <f>SUM(J17:J18)</f>
        <v>966350</v>
      </c>
      <c r="K19" s="1705">
        <f>SUM(K17:K18)</f>
        <v>877357</v>
      </c>
      <c r="L19" s="347"/>
    </row>
    <row r="20" spans="1:12" ht="16.5" thickTop="1" thickBot="1" x14ac:dyDescent="0.25">
      <c r="A20" s="2148" t="s">
        <v>1754</v>
      </c>
      <c r="B20" s="2149"/>
      <c r="C20" s="1763">
        <f>C8-C17</f>
        <v>2729149</v>
      </c>
      <c r="D20" s="1763">
        <f t="shared" ref="D20:K20" si="5">D8-D17</f>
        <v>391905</v>
      </c>
      <c r="E20" s="1763">
        <f t="shared" si="5"/>
        <v>-2985448</v>
      </c>
      <c r="F20" s="1763">
        <f t="shared" si="5"/>
        <v>291994</v>
      </c>
      <c r="G20" s="1763">
        <f t="shared" si="5"/>
        <v>72395</v>
      </c>
      <c r="H20" s="1763">
        <f t="shared" si="5"/>
        <v>2131001</v>
      </c>
      <c r="I20" s="1763">
        <f t="shared" si="5"/>
        <v>647104</v>
      </c>
      <c r="J20" s="1763">
        <f t="shared" si="5"/>
        <v>185312</v>
      </c>
      <c r="K20" s="1763">
        <f t="shared" si="5"/>
        <v>-421189</v>
      </c>
      <c r="L20" s="347"/>
    </row>
    <row r="21" spans="1:12" ht="16.7" customHeight="1" thickTop="1" x14ac:dyDescent="0.2">
      <c r="A21" s="2160" t="s">
        <v>616</v>
      </c>
      <c r="B21" s="2161"/>
      <c r="C21" s="1589"/>
      <c r="D21" s="1590"/>
      <c r="E21" s="1590"/>
      <c r="F21" s="1590"/>
      <c r="G21" s="1590"/>
      <c r="H21" s="1590"/>
      <c r="I21" s="1590"/>
      <c r="J21" s="1590"/>
      <c r="K21" s="1591"/>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1895</v>
      </c>
      <c r="B30" s="527">
        <v>7160</v>
      </c>
      <c r="C30" s="477"/>
      <c r="D30" s="467"/>
      <c r="E30" s="477"/>
      <c r="F30" s="477"/>
      <c r="G30" s="477"/>
      <c r="H30" s="477"/>
      <c r="I30" s="477"/>
      <c r="J30" s="477"/>
      <c r="K30" s="477"/>
      <c r="L30" s="524"/>
    </row>
    <row r="31" spans="1:12" s="485" customFormat="1" ht="26.25" x14ac:dyDescent="0.2">
      <c r="A31" s="1508" t="s">
        <v>1899</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08" t="s">
        <v>432</v>
      </c>
      <c r="B33" s="525">
        <v>7210</v>
      </c>
      <c r="C33" s="467"/>
      <c r="D33" s="467"/>
      <c r="E33" s="467">
        <v>3076000</v>
      </c>
      <c r="F33" s="467"/>
      <c r="G33" s="477"/>
      <c r="H33" s="467">
        <v>21925000</v>
      </c>
      <c r="I33" s="467"/>
      <c r="J33" s="467"/>
      <c r="K33" s="467"/>
      <c r="L33" s="524"/>
    </row>
    <row r="34" spans="1:12" s="485" customFormat="1" x14ac:dyDescent="0.2">
      <c r="A34" s="1508" t="s">
        <v>1058</v>
      </c>
      <c r="B34" s="525">
        <v>7220</v>
      </c>
      <c r="C34" s="467"/>
      <c r="D34" s="467"/>
      <c r="E34" s="467"/>
      <c r="F34" s="467"/>
      <c r="G34" s="477"/>
      <c r="H34" s="478">
        <v>498557</v>
      </c>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0">
        <f>SUM(C54:D57,H54:H57)</f>
        <v>0</v>
      </c>
      <c r="F37" s="475"/>
      <c r="G37" s="475"/>
      <c r="H37" s="475"/>
      <c r="I37" s="477"/>
      <c r="J37" s="475"/>
      <c r="K37" s="475"/>
      <c r="L37" s="524"/>
    </row>
    <row r="38" spans="1:12" s="485" customFormat="1" x14ac:dyDescent="0.2">
      <c r="A38" s="1508" t="s">
        <v>462</v>
      </c>
      <c r="B38" s="525">
        <v>7500</v>
      </c>
      <c r="C38" s="477"/>
      <c r="D38" s="477"/>
      <c r="E38" s="1760">
        <f>SUM(C58:D61,H58:H61)</f>
        <v>0</v>
      </c>
      <c r="F38" s="477"/>
      <c r="G38" s="477"/>
      <c r="H38" s="477"/>
      <c r="I38" s="477"/>
      <c r="J38" s="477"/>
      <c r="K38" s="477"/>
      <c r="L38" s="524"/>
    </row>
    <row r="39" spans="1:12" s="485" customFormat="1" x14ac:dyDescent="0.2">
      <c r="A39" s="1508" t="s">
        <v>463</v>
      </c>
      <c r="B39" s="525">
        <v>7600</v>
      </c>
      <c r="C39" s="477"/>
      <c r="D39" s="477"/>
      <c r="E39" s="1760">
        <f>SUM(C62:D65)</f>
        <v>0</v>
      </c>
      <c r="F39" s="477"/>
      <c r="G39" s="477"/>
      <c r="H39" s="477"/>
      <c r="I39" s="477"/>
      <c r="J39" s="477"/>
      <c r="K39" s="477"/>
      <c r="L39" s="524"/>
    </row>
    <row r="40" spans="1:12" s="485" customFormat="1" ht="13.5" customHeight="1" x14ac:dyDescent="0.2">
      <c r="A40" s="1508" t="s">
        <v>663</v>
      </c>
      <c r="B40" s="483">
        <v>7700</v>
      </c>
      <c r="C40" s="477"/>
      <c r="D40" s="477"/>
      <c r="E40" s="1760">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0">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0">
        <f>SUM(C24:C43)</f>
        <v>0</v>
      </c>
      <c r="D44" s="1720">
        <f t="shared" ref="D44:K44" si="6">SUM(D24:D43)</f>
        <v>0</v>
      </c>
      <c r="E44" s="1720">
        <f t="shared" si="6"/>
        <v>3076000</v>
      </c>
      <c r="F44" s="1720">
        <f t="shared" si="6"/>
        <v>0</v>
      </c>
      <c r="G44" s="1720">
        <f t="shared" si="6"/>
        <v>0</v>
      </c>
      <c r="H44" s="1720">
        <f t="shared" si="6"/>
        <v>22423557</v>
      </c>
      <c r="I44" s="1720">
        <f t="shared" si="6"/>
        <v>0</v>
      </c>
      <c r="J44" s="1720">
        <f t="shared" si="6"/>
        <v>0</v>
      </c>
      <c r="K44" s="1720">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0">
        <f>SUM(C24,C25:H25,J25:K25)</f>
        <v>0</v>
      </c>
      <c r="J47" s="477"/>
      <c r="K47" s="477"/>
      <c r="L47" s="529"/>
    </row>
    <row r="48" spans="1:12" s="485" customFormat="1" ht="15" x14ac:dyDescent="0.2">
      <c r="A48" s="1509" t="s">
        <v>1759</v>
      </c>
      <c r="B48" s="483">
        <v>8120</v>
      </c>
      <c r="C48" s="480"/>
      <c r="D48" s="480"/>
      <c r="E48" s="477"/>
      <c r="F48" s="480"/>
      <c r="G48" s="477"/>
      <c r="H48" s="477"/>
      <c r="I48" s="1760">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0">
        <f>SUM(D29)</f>
        <v>0</v>
      </c>
      <c r="I51" s="477"/>
      <c r="J51" s="475"/>
      <c r="K51" s="480"/>
      <c r="L51" s="524"/>
    </row>
    <row r="52" spans="1:12" s="485" customFormat="1" ht="26.25" x14ac:dyDescent="0.2">
      <c r="A52" s="1509" t="s">
        <v>1898</v>
      </c>
      <c r="B52" s="483">
        <v>8160</v>
      </c>
      <c r="C52" s="477"/>
      <c r="D52" s="477"/>
      <c r="E52" s="477"/>
      <c r="F52" s="477"/>
      <c r="G52" s="477"/>
      <c r="H52" s="477"/>
      <c r="I52" s="477"/>
      <c r="J52" s="477"/>
      <c r="K52" s="1760">
        <f>D30</f>
        <v>0</v>
      </c>
      <c r="L52" s="524"/>
    </row>
    <row r="53" spans="1:12" s="485" customFormat="1" ht="26.25" x14ac:dyDescent="0.2">
      <c r="A53" s="1509" t="s">
        <v>1897</v>
      </c>
      <c r="B53" s="483">
        <v>8170</v>
      </c>
      <c r="C53" s="480"/>
      <c r="D53" s="480"/>
      <c r="E53" s="477"/>
      <c r="F53" s="477"/>
      <c r="G53" s="477"/>
      <c r="H53" s="480"/>
      <c r="I53" s="477"/>
      <c r="J53" s="477"/>
      <c r="K53" s="1760">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v>220130</v>
      </c>
      <c r="I75" s="530"/>
      <c r="J75" s="530"/>
      <c r="K75" s="532"/>
      <c r="L75" s="524"/>
    </row>
    <row r="76" spans="1:12" s="485" customFormat="1" ht="14.25" thickTop="1" thickBot="1" x14ac:dyDescent="0.25">
      <c r="A76" s="2138" t="s">
        <v>460</v>
      </c>
      <c r="B76" s="2139"/>
      <c r="C76" s="1720">
        <f t="shared" ref="C76:K76" si="7">SUM(C47:C75)</f>
        <v>0</v>
      </c>
      <c r="D76" s="1720">
        <f t="shared" si="7"/>
        <v>0</v>
      </c>
      <c r="E76" s="1720">
        <f t="shared" si="7"/>
        <v>0</v>
      </c>
      <c r="F76" s="1720">
        <f t="shared" si="7"/>
        <v>0</v>
      </c>
      <c r="G76" s="1720">
        <f t="shared" si="7"/>
        <v>0</v>
      </c>
      <c r="H76" s="1720">
        <f t="shared" si="7"/>
        <v>220130</v>
      </c>
      <c r="I76" s="1720">
        <f t="shared" si="7"/>
        <v>0</v>
      </c>
      <c r="J76" s="1720">
        <f t="shared" si="7"/>
        <v>0</v>
      </c>
      <c r="K76" s="1720">
        <f t="shared" si="7"/>
        <v>0</v>
      </c>
      <c r="L76" s="524"/>
    </row>
    <row r="77" spans="1:12" ht="14.25" thickTop="1" thickBot="1" x14ac:dyDescent="0.25">
      <c r="A77" s="2140" t="s">
        <v>1239</v>
      </c>
      <c r="B77" s="2141"/>
      <c r="C77" s="1720">
        <f t="shared" ref="C77:K77" si="8">C44-C76</f>
        <v>0</v>
      </c>
      <c r="D77" s="1720">
        <f t="shared" si="8"/>
        <v>0</v>
      </c>
      <c r="E77" s="1720">
        <f t="shared" si="8"/>
        <v>3076000</v>
      </c>
      <c r="F77" s="1720">
        <f t="shared" si="8"/>
        <v>0</v>
      </c>
      <c r="G77" s="1720">
        <f t="shared" si="8"/>
        <v>0</v>
      </c>
      <c r="H77" s="1720">
        <f t="shared" si="8"/>
        <v>22203427</v>
      </c>
      <c r="I77" s="1720">
        <f t="shared" si="8"/>
        <v>0</v>
      </c>
      <c r="J77" s="1720">
        <f t="shared" si="8"/>
        <v>0</v>
      </c>
      <c r="K77" s="1720">
        <f t="shared" si="8"/>
        <v>0</v>
      </c>
      <c r="L77" s="347"/>
    </row>
    <row r="78" spans="1:12" ht="21.75" customHeight="1" thickTop="1" thickBot="1" x14ac:dyDescent="0.25">
      <c r="A78" s="2144" t="s">
        <v>618</v>
      </c>
      <c r="B78" s="2145"/>
      <c r="C78" s="1719">
        <f t="shared" ref="C78:K78" si="9">C20+C77</f>
        <v>2729149</v>
      </c>
      <c r="D78" s="1719">
        <f t="shared" si="9"/>
        <v>391905</v>
      </c>
      <c r="E78" s="1719">
        <f t="shared" si="9"/>
        <v>90552</v>
      </c>
      <c r="F78" s="1719">
        <f t="shared" si="9"/>
        <v>291994</v>
      </c>
      <c r="G78" s="1719">
        <f t="shared" si="9"/>
        <v>72395</v>
      </c>
      <c r="H78" s="1719">
        <f t="shared" si="9"/>
        <v>24334428</v>
      </c>
      <c r="I78" s="1719">
        <f t="shared" si="9"/>
        <v>647104</v>
      </c>
      <c r="J78" s="1719">
        <f t="shared" si="9"/>
        <v>185312</v>
      </c>
      <c r="K78" s="1719">
        <f t="shared" si="9"/>
        <v>-421189</v>
      </c>
      <c r="L78" s="533"/>
    </row>
    <row r="79" spans="1:12" ht="13.5" thickTop="1" x14ac:dyDescent="0.2">
      <c r="A79" s="1513" t="s">
        <v>2069</v>
      </c>
      <c r="B79" s="534"/>
      <c r="C79" s="478">
        <v>30091971</v>
      </c>
      <c r="D79" s="535">
        <v>3528547</v>
      </c>
      <c r="E79" s="535">
        <v>3070718</v>
      </c>
      <c r="F79" s="535">
        <v>2141609</v>
      </c>
      <c r="G79" s="535">
        <v>3459833</v>
      </c>
      <c r="H79" s="535">
        <v>1347538</v>
      </c>
      <c r="I79" s="535">
        <v>11930369</v>
      </c>
      <c r="J79" s="535">
        <v>1814012</v>
      </c>
      <c r="K79" s="535">
        <v>1526111</v>
      </c>
      <c r="L79" s="347"/>
    </row>
    <row r="80" spans="1:12" x14ac:dyDescent="0.2">
      <c r="A80" s="2150" t="s">
        <v>1896</v>
      </c>
      <c r="B80" s="2151"/>
      <c r="C80" s="467"/>
      <c r="D80" s="467"/>
      <c r="E80" s="467"/>
      <c r="F80" s="467"/>
      <c r="G80" s="467"/>
      <c r="H80" s="467"/>
      <c r="I80" s="467"/>
      <c r="J80" s="467"/>
      <c r="K80" s="467"/>
      <c r="L80" s="347"/>
    </row>
    <row r="81" spans="1:12" ht="13.5" thickBot="1" x14ac:dyDescent="0.25">
      <c r="A81" s="2142" t="s">
        <v>2070</v>
      </c>
      <c r="B81" s="2143"/>
      <c r="C81" s="1705">
        <f>(SUM(C78:C80))</f>
        <v>32821120</v>
      </c>
      <c r="D81" s="1705">
        <f>SUM(D78:D80)</f>
        <v>3920452</v>
      </c>
      <c r="E81" s="1705">
        <f t="shared" ref="E81:K81" si="10">SUM(E78:E80)</f>
        <v>3161270</v>
      </c>
      <c r="F81" s="1705">
        <f t="shared" si="10"/>
        <v>2433603</v>
      </c>
      <c r="G81" s="1705">
        <f t="shared" si="10"/>
        <v>3532228</v>
      </c>
      <c r="H81" s="1705">
        <f t="shared" si="10"/>
        <v>25681966</v>
      </c>
      <c r="I81" s="1705">
        <f t="shared" si="10"/>
        <v>12577473</v>
      </c>
      <c r="J81" s="1705">
        <f t="shared" si="10"/>
        <v>1999324</v>
      </c>
      <c r="K81" s="1705">
        <f t="shared" si="10"/>
        <v>1104922</v>
      </c>
      <c r="L81" s="347"/>
    </row>
    <row r="82" spans="1:12" ht="0.75" customHeight="1" thickTop="1" thickBot="1" x14ac:dyDescent="0.25">
      <c r="A82" s="536" t="s">
        <v>361</v>
      </c>
      <c r="B82" s="537"/>
      <c r="C82" s="538">
        <f>(C81-C79)</f>
        <v>2729149</v>
      </c>
      <c r="D82" s="538">
        <f t="shared" ref="D82:K82" si="11">(D81-D79)</f>
        <v>391905</v>
      </c>
      <c r="E82" s="538">
        <f t="shared" si="11"/>
        <v>90552</v>
      </c>
      <c r="F82" s="538">
        <f t="shared" si="11"/>
        <v>291994</v>
      </c>
      <c r="G82" s="538">
        <f t="shared" si="11"/>
        <v>72395</v>
      </c>
      <c r="H82" s="538">
        <f t="shared" si="11"/>
        <v>24334428</v>
      </c>
      <c r="I82" s="538">
        <f t="shared" si="11"/>
        <v>647104</v>
      </c>
      <c r="J82" s="538">
        <f t="shared" si="11"/>
        <v>185312</v>
      </c>
      <c r="K82" s="538">
        <f t="shared" si="11"/>
        <v>-421189</v>
      </c>
    </row>
    <row r="83" spans="1:12" ht="14.25" hidden="1" thickTop="1" thickBot="1" x14ac:dyDescent="0.25">
      <c r="A83" s="539" t="s">
        <v>362</v>
      </c>
      <c r="B83" s="464"/>
      <c r="C83" s="540">
        <f>C82/C81</f>
        <v>8.3152220277674868E-2</v>
      </c>
      <c r="D83" s="540">
        <f t="shared" ref="D83:K83" si="12">D82/D81</f>
        <v>9.9964238817360856E-2</v>
      </c>
      <c r="E83" s="540">
        <f t="shared" si="12"/>
        <v>2.8644184141183766E-2</v>
      </c>
      <c r="F83" s="540">
        <f t="shared" si="12"/>
        <v>0.11998423736328398</v>
      </c>
      <c r="G83" s="540">
        <f t="shared" si="12"/>
        <v>2.0495562574103371E-2</v>
      </c>
      <c r="H83" s="540">
        <f t="shared" si="12"/>
        <v>0.94752979581080354</v>
      </c>
      <c r="I83" s="540">
        <f t="shared" si="12"/>
        <v>5.1449444574438757E-2</v>
      </c>
      <c r="J83" s="540">
        <f t="shared" si="12"/>
        <v>9.2687328316971143E-2</v>
      </c>
      <c r="K83" s="540">
        <f t="shared" si="12"/>
        <v>-0.38119342360818231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sqref="A1:M1"/>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1903</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27888405</v>
      </c>
      <c r="D5" s="481">
        <v>6396424</v>
      </c>
      <c r="E5" s="466">
        <v>3845831</v>
      </c>
      <c r="F5" s="548">
        <v>911719</v>
      </c>
      <c r="G5" s="466">
        <v>965221</v>
      </c>
      <c r="H5" s="466"/>
      <c r="I5" s="466">
        <v>426429</v>
      </c>
      <c r="J5" s="467">
        <v>1140180</v>
      </c>
      <c r="K5" s="466">
        <v>426428</v>
      </c>
    </row>
    <row r="6" spans="1:12" ht="15" x14ac:dyDescent="0.2">
      <c r="A6" s="463" t="s">
        <v>1761</v>
      </c>
      <c r="B6" s="470">
        <v>1130</v>
      </c>
      <c r="C6" s="466">
        <v>426428</v>
      </c>
      <c r="D6" s="466"/>
      <c r="E6" s="475"/>
      <c r="F6" s="475"/>
      <c r="G6" s="468"/>
      <c r="H6" s="468"/>
      <c r="I6" s="468"/>
      <c r="J6" s="468"/>
      <c r="K6" s="468"/>
    </row>
    <row r="7" spans="1:12" x14ac:dyDescent="0.2">
      <c r="A7" s="463" t="s">
        <v>112</v>
      </c>
      <c r="B7" s="549">
        <v>1140</v>
      </c>
      <c r="C7" s="466">
        <v>341143</v>
      </c>
      <c r="D7" s="466"/>
      <c r="E7" s="468"/>
      <c r="F7" s="467"/>
      <c r="G7" s="467"/>
      <c r="H7" s="467"/>
      <c r="I7" s="468"/>
      <c r="J7" s="468"/>
      <c r="K7" s="468"/>
    </row>
    <row r="8" spans="1:12" x14ac:dyDescent="0.2">
      <c r="A8" s="463" t="s">
        <v>433</v>
      </c>
      <c r="B8" s="470">
        <v>1150</v>
      </c>
      <c r="C8" s="475"/>
      <c r="D8" s="475"/>
      <c r="E8" s="477"/>
      <c r="F8" s="477"/>
      <c r="G8" s="481">
        <v>961969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28655976</v>
      </c>
      <c r="D12" s="1724">
        <f t="shared" si="0"/>
        <v>6396424</v>
      </c>
      <c r="E12" s="1724">
        <f t="shared" si="0"/>
        <v>3845831</v>
      </c>
      <c r="F12" s="1724">
        <f t="shared" si="0"/>
        <v>911719</v>
      </c>
      <c r="G12" s="1724">
        <f t="shared" si="0"/>
        <v>1927190</v>
      </c>
      <c r="H12" s="1724">
        <f t="shared" si="0"/>
        <v>0</v>
      </c>
      <c r="I12" s="1724">
        <f t="shared" si="0"/>
        <v>426429</v>
      </c>
      <c r="J12" s="1724">
        <f t="shared" si="0"/>
        <v>1140180</v>
      </c>
      <c r="K12" s="1705">
        <f t="shared" si="0"/>
        <v>426428</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4358036</v>
      </c>
      <c r="D16" s="466"/>
      <c r="E16" s="466"/>
      <c r="F16" s="466"/>
      <c r="G16" s="466">
        <v>507913</v>
      </c>
      <c r="H16" s="466"/>
      <c r="I16" s="466"/>
      <c r="J16" s="467"/>
      <c r="K16" s="466"/>
    </row>
    <row r="17" spans="1:11" ht="12.75" customHeight="1" x14ac:dyDescent="0.2">
      <c r="A17" s="463" t="s">
        <v>840</v>
      </c>
      <c r="B17" s="470">
        <v>1290</v>
      </c>
      <c r="C17" s="551">
        <v>93417</v>
      </c>
      <c r="D17" s="466"/>
      <c r="E17" s="466"/>
      <c r="F17" s="466"/>
      <c r="G17" s="466"/>
      <c r="H17" s="466"/>
      <c r="I17" s="466"/>
      <c r="J17" s="467"/>
      <c r="K17" s="466"/>
    </row>
    <row r="18" spans="1:11" ht="12.75" customHeight="1" thickBot="1" x14ac:dyDescent="0.25">
      <c r="A18" s="1725" t="s">
        <v>558</v>
      </c>
      <c r="B18" s="1726"/>
      <c r="C18" s="1727">
        <f>SUM(C14:C17)</f>
        <v>4451453</v>
      </c>
      <c r="D18" s="1727">
        <f t="shared" ref="D18:K18" si="1">SUM(D14:D17)</f>
        <v>0</v>
      </c>
      <c r="E18" s="1727">
        <f t="shared" si="1"/>
        <v>0</v>
      </c>
      <c r="F18" s="1727">
        <f t="shared" si="1"/>
        <v>0</v>
      </c>
      <c r="G18" s="1727">
        <f t="shared" si="1"/>
        <v>507913</v>
      </c>
      <c r="H18" s="1727">
        <f t="shared" si="1"/>
        <v>0</v>
      </c>
      <c r="I18" s="1727">
        <f t="shared" si="1"/>
        <v>0</v>
      </c>
      <c r="J18" s="1727">
        <f t="shared" si="1"/>
        <v>0</v>
      </c>
      <c r="K18" s="1728">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v>10605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2697</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618603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5" t="s">
        <v>559</v>
      </c>
      <c r="B40" s="1726"/>
      <c r="C40" s="1705">
        <f>SUM(C20:C39)</f>
        <v>631905</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f>181207+131365</f>
        <v>312572</v>
      </c>
      <c r="D65" s="466">
        <v>20796</v>
      </c>
      <c r="E65" s="466">
        <v>17750</v>
      </c>
      <c r="F65" s="467">
        <v>14011</v>
      </c>
      <c r="G65" s="466">
        <v>20753</v>
      </c>
      <c r="H65" s="466">
        <v>212530</v>
      </c>
      <c r="I65" s="466">
        <v>220675</v>
      </c>
      <c r="J65" s="467">
        <v>11482</v>
      </c>
      <c r="K65" s="466">
        <v>29740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312572</v>
      </c>
      <c r="D67" s="1705">
        <f t="shared" ref="D67:K67" si="2">SUM(D65:D66)</f>
        <v>20796</v>
      </c>
      <c r="E67" s="1705">
        <f t="shared" si="2"/>
        <v>17750</v>
      </c>
      <c r="F67" s="1705">
        <f t="shared" si="2"/>
        <v>14011</v>
      </c>
      <c r="G67" s="1705">
        <f t="shared" si="2"/>
        <v>20753</v>
      </c>
      <c r="H67" s="1705">
        <f t="shared" si="2"/>
        <v>212530</v>
      </c>
      <c r="I67" s="1705">
        <f t="shared" si="2"/>
        <v>220675</v>
      </c>
      <c r="J67" s="1705">
        <f t="shared" si="2"/>
        <v>11482</v>
      </c>
      <c r="K67" s="1705">
        <f t="shared" si="2"/>
        <v>29740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520304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276038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8981</v>
      </c>
      <c r="D73" s="468"/>
      <c r="E73" s="468"/>
      <c r="F73" s="468"/>
      <c r="G73" s="468"/>
      <c r="H73" s="468"/>
      <c r="I73" s="468"/>
      <c r="J73" s="468"/>
      <c r="K73" s="468"/>
    </row>
    <row r="74" spans="1:11" ht="12.75" customHeight="1" x14ac:dyDescent="0.2">
      <c r="A74" s="463" t="s">
        <v>25</v>
      </c>
      <c r="B74" s="470">
        <v>1690</v>
      </c>
      <c r="C74" s="551">
        <v>36725</v>
      </c>
      <c r="D74" s="468"/>
      <c r="E74" s="468"/>
      <c r="F74" s="468"/>
      <c r="G74" s="468"/>
      <c r="H74" s="468"/>
      <c r="I74" s="468"/>
      <c r="J74" s="468"/>
      <c r="K74" s="468"/>
    </row>
    <row r="75" spans="1:11" ht="12.75" customHeight="1" thickBot="1" x14ac:dyDescent="0.25">
      <c r="A75" s="1725" t="s">
        <v>569</v>
      </c>
      <c r="B75" s="1726"/>
      <c r="C75" s="1705">
        <f>SUM(C69:C74)</f>
        <v>842048</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123538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17685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5" t="s">
        <v>259</v>
      </c>
      <c r="B82" s="1726"/>
      <c r="C82" s="1724">
        <f>SUM(C77:C81)</f>
        <v>141223</v>
      </c>
      <c r="D82" s="1705">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286393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203</v>
      </c>
      <c r="D92" s="468"/>
      <c r="E92" s="468"/>
      <c r="F92" s="468"/>
      <c r="G92" s="468"/>
      <c r="H92" s="468"/>
      <c r="I92" s="468"/>
      <c r="J92" s="468"/>
      <c r="K92" s="468"/>
    </row>
    <row r="93" spans="1:11" ht="12.75" customHeight="1" thickBot="1" x14ac:dyDescent="0.25">
      <c r="A93" s="1725" t="s">
        <v>261</v>
      </c>
      <c r="B93" s="1726"/>
      <c r="C93" s="1705">
        <f>SUM(C84:C92)</f>
        <v>286596</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v>40847</v>
      </c>
      <c r="E95" s="521"/>
      <c r="F95" s="521"/>
      <c r="G95" s="521"/>
      <c r="H95" s="521"/>
      <c r="I95" s="521"/>
      <c r="J95" s="521"/>
      <c r="K95" s="521"/>
    </row>
    <row r="96" spans="1:11" ht="12.75" customHeight="1" x14ac:dyDescent="0.2">
      <c r="A96" s="463" t="s">
        <v>409</v>
      </c>
      <c r="B96" s="470">
        <v>1920</v>
      </c>
      <c r="C96" s="551">
        <v>90197</v>
      </c>
      <c r="D96" s="551"/>
      <c r="E96" s="479"/>
      <c r="F96" s="478"/>
      <c r="G96" s="478"/>
      <c r="H96" s="478">
        <v>4400000</v>
      </c>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28942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3513031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v>150722</v>
      </c>
      <c r="F106" s="467"/>
      <c r="G106" s="467"/>
      <c r="H106" s="467"/>
      <c r="I106" s="521"/>
      <c r="J106" s="467"/>
      <c r="K106" s="467"/>
    </row>
    <row r="107" spans="1:12" ht="12.75" customHeight="1" x14ac:dyDescent="0.2">
      <c r="A107" s="463" t="s">
        <v>80</v>
      </c>
      <c r="B107" s="470">
        <v>1999</v>
      </c>
      <c r="C107" s="551">
        <v>649069</v>
      </c>
      <c r="D107" s="466">
        <v>4368860</v>
      </c>
      <c r="E107" s="466"/>
      <c r="F107" s="466"/>
      <c r="G107" s="466"/>
      <c r="H107" s="466">
        <v>170833</v>
      </c>
      <c r="I107" s="466"/>
      <c r="J107" s="467"/>
      <c r="K107" s="466"/>
    </row>
    <row r="108" spans="1:12" ht="12.75" customHeight="1" thickBot="1" x14ac:dyDescent="0.25">
      <c r="A108" s="1725" t="s">
        <v>508</v>
      </c>
      <c r="B108" s="1729"/>
      <c r="C108" s="1724">
        <f>SUM(C95:C107)</f>
        <v>768208</v>
      </c>
      <c r="D108" s="1724">
        <f t="shared" ref="D108:K108" si="3">SUM(D95:D107)</f>
        <v>4409707</v>
      </c>
      <c r="E108" s="1724">
        <f t="shared" si="3"/>
        <v>150722</v>
      </c>
      <c r="F108" s="1724">
        <f t="shared" si="3"/>
        <v>0</v>
      </c>
      <c r="G108" s="1724">
        <f t="shared" si="3"/>
        <v>0</v>
      </c>
      <c r="H108" s="1724">
        <f t="shared" si="3"/>
        <v>8083864</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36089981</v>
      </c>
      <c r="D109" s="1732">
        <f t="shared" si="4"/>
        <v>10826927</v>
      </c>
      <c r="E109" s="1732">
        <f t="shared" si="4"/>
        <v>4014303</v>
      </c>
      <c r="F109" s="1732">
        <f t="shared" si="4"/>
        <v>925730</v>
      </c>
      <c r="G109" s="1732">
        <f t="shared" si="4"/>
        <v>2455856</v>
      </c>
      <c r="H109" s="1732">
        <f t="shared" si="4"/>
        <v>8296394</v>
      </c>
      <c r="I109" s="1732">
        <f t="shared" si="4"/>
        <v>647104</v>
      </c>
      <c r="J109" s="1732">
        <f t="shared" si="4"/>
        <v>1151662</v>
      </c>
      <c r="K109" s="1719">
        <f t="shared" si="4"/>
        <v>456168</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19146998</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5" t="s">
        <v>1902</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19146998</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149092</v>
      </c>
      <c r="D124" s="561"/>
      <c r="E124" s="468"/>
      <c r="F124" s="548"/>
      <c r="G124" s="468"/>
      <c r="H124" s="468"/>
      <c r="I124" s="468"/>
      <c r="J124" s="468"/>
      <c r="K124" s="468"/>
    </row>
    <row r="125" spans="1:11" ht="12.75" customHeight="1" x14ac:dyDescent="0.2">
      <c r="A125" s="463" t="s">
        <v>1521</v>
      </c>
      <c r="B125" s="562">
        <v>3105</v>
      </c>
      <c r="C125" s="466">
        <v>242534</v>
      </c>
      <c r="D125" s="561"/>
      <c r="E125" s="468"/>
      <c r="F125" s="466"/>
      <c r="G125" s="468"/>
      <c r="H125" s="468"/>
      <c r="I125" s="468"/>
      <c r="J125" s="468"/>
      <c r="K125" s="468"/>
    </row>
    <row r="126" spans="1:11" ht="12.75" customHeight="1" x14ac:dyDescent="0.2">
      <c r="A126" s="463" t="s">
        <v>922</v>
      </c>
      <c r="B126" s="562">
        <v>3110</v>
      </c>
      <c r="C126" s="551">
        <v>255610</v>
      </c>
      <c r="D126" s="466"/>
      <c r="E126" s="468"/>
      <c r="F126" s="466"/>
      <c r="G126" s="468"/>
      <c r="H126" s="468"/>
      <c r="I126" s="468"/>
      <c r="J126" s="468"/>
      <c r="K126" s="468"/>
    </row>
    <row r="127" spans="1:11" ht="12.75" customHeight="1" x14ac:dyDescent="0.2">
      <c r="A127" s="463" t="s">
        <v>107</v>
      </c>
      <c r="B127" s="562">
        <v>3120</v>
      </c>
      <c r="C127" s="466">
        <v>184554</v>
      </c>
      <c r="D127" s="561"/>
      <c r="E127" s="468"/>
      <c r="F127" s="466"/>
      <c r="G127" s="468"/>
      <c r="H127" s="468"/>
      <c r="I127" s="468"/>
      <c r="J127" s="468"/>
      <c r="K127" s="468"/>
    </row>
    <row r="128" spans="1:11" ht="12.75" customHeight="1" x14ac:dyDescent="0.2">
      <c r="A128" s="463" t="s">
        <v>1522</v>
      </c>
      <c r="B128" s="562">
        <v>3130</v>
      </c>
      <c r="C128" s="466">
        <v>39844</v>
      </c>
      <c r="D128" s="561"/>
      <c r="E128" s="468"/>
      <c r="F128" s="466"/>
      <c r="G128" s="468"/>
      <c r="H128" s="468"/>
      <c r="I128" s="468"/>
      <c r="J128" s="468"/>
      <c r="K128" s="468"/>
    </row>
    <row r="129" spans="1:11" ht="12.75" customHeight="1" x14ac:dyDescent="0.2">
      <c r="A129" s="463" t="s">
        <v>139</v>
      </c>
      <c r="B129" s="562">
        <v>3145</v>
      </c>
      <c r="C129" s="466">
        <v>7306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878940</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137556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137556</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403875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403875</v>
      </c>
      <c r="D144" s="468"/>
      <c r="E144" s="509"/>
      <c r="F144" s="468"/>
      <c r="G144" s="1738">
        <f>SUM(G142:G143)</f>
        <v>0</v>
      </c>
      <c r="H144" s="468"/>
      <c r="I144" s="468"/>
      <c r="J144" s="468"/>
      <c r="K144" s="468"/>
    </row>
    <row r="145" spans="1:11" s="202" customFormat="1" ht="12.75" customHeight="1" thickTop="1" x14ac:dyDescent="0.2">
      <c r="A145" s="1517" t="s">
        <v>1116</v>
      </c>
      <c r="B145" s="568">
        <v>3360</v>
      </c>
      <c r="C145" s="569">
        <v>28691</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75025</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365841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365841</v>
      </c>
      <c r="G154" s="1724">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1450269</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188072</v>
      </c>
      <c r="D171" s="580"/>
      <c r="E171" s="580"/>
      <c r="F171" s="580"/>
      <c r="G171" s="581"/>
      <c r="H171" s="582"/>
      <c r="I171" s="581"/>
      <c r="J171" s="581"/>
      <c r="K171" s="582"/>
    </row>
    <row r="172" spans="1:11" ht="12.75" customHeight="1" thickTop="1" thickBot="1" x14ac:dyDescent="0.25">
      <c r="A172" s="2166" t="s">
        <v>418</v>
      </c>
      <c r="B172" s="2167"/>
      <c r="C172" s="1739">
        <f t="shared" ref="C172:K172" si="6">SUM(C131,C140,C144,C145:C149,C154,C155:C170,C171)</f>
        <v>3162428</v>
      </c>
      <c r="D172" s="1739">
        <f t="shared" si="6"/>
        <v>0</v>
      </c>
      <c r="E172" s="1739">
        <f t="shared" si="6"/>
        <v>0</v>
      </c>
      <c r="F172" s="1739">
        <f t="shared" si="6"/>
        <v>365841</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22309426</v>
      </c>
      <c r="D173" s="1732">
        <f>SUM(D121,D172)</f>
        <v>0</v>
      </c>
      <c r="E173" s="1732">
        <f>SUM(E121,E172)</f>
        <v>0</v>
      </c>
      <c r="F173" s="1732">
        <f t="shared" ref="F173:K173" si="7">SUM(F121,F172)</f>
        <v>365841</v>
      </c>
      <c r="G173" s="1732">
        <f t="shared" si="7"/>
        <v>0</v>
      </c>
      <c r="H173" s="1732">
        <f t="shared" si="7"/>
        <v>0</v>
      </c>
      <c r="I173" s="1732">
        <f t="shared" si="7"/>
        <v>0</v>
      </c>
      <c r="J173" s="1732">
        <f t="shared" si="7"/>
        <v>0</v>
      </c>
      <c r="K173" s="1719">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70" t="s">
        <v>1904</v>
      </c>
      <c r="B185" s="2171"/>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1688007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309710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1997717</v>
      </c>
      <c r="D201" s="468"/>
      <c r="E201" s="468"/>
      <c r="F201" s="468"/>
      <c r="G201" s="1705">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1813741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1813741</v>
      </c>
      <c r="D211" s="1724">
        <f>SUM(D203:D210)</f>
        <v>0</v>
      </c>
      <c r="E211" s="468"/>
      <c r="F211" s="1724">
        <f>SUM(F203:F210)</f>
        <v>0</v>
      </c>
      <c r="G211" s="1724">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19530</v>
      </c>
      <c r="D213" s="466"/>
      <c r="E213" s="468"/>
      <c r="F213" s="466"/>
      <c r="G213" s="466"/>
      <c r="H213" s="468"/>
      <c r="I213" s="468"/>
      <c r="J213" s="468"/>
      <c r="K213" s="468"/>
    </row>
    <row r="214" spans="1:11" ht="12.75" customHeight="1" x14ac:dyDescent="0.2">
      <c r="A214" s="463" t="s">
        <v>1528</v>
      </c>
      <c r="B214" s="470">
        <v>4421</v>
      </c>
      <c r="C214" s="551">
        <v>217759</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237289</v>
      </c>
      <c r="D216" s="1724">
        <f>SUM(D213:D215)</f>
        <v>0</v>
      </c>
      <c r="E216" s="468" t="s">
        <v>1231</v>
      </c>
      <c r="F216" s="1724">
        <f>SUM(F213:F215)</f>
        <v>0</v>
      </c>
      <c r="G216" s="1724">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16754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1468999</v>
      </c>
      <c r="D220" s="466"/>
      <c r="E220" s="468"/>
      <c r="F220" s="466"/>
      <c r="G220" s="466"/>
      <c r="H220" s="468"/>
      <c r="I220" s="468"/>
      <c r="J220" s="468"/>
      <c r="K220" s="468"/>
    </row>
    <row r="221" spans="1:11" ht="12.75" customHeight="1" x14ac:dyDescent="0.2">
      <c r="A221" s="463" t="s">
        <v>1114</v>
      </c>
      <c r="B221" s="470">
        <v>4625</v>
      </c>
      <c r="C221" s="551">
        <v>145103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1630856</v>
      </c>
      <c r="D224" s="1724">
        <f>SUM(D218:D223)</f>
        <v>0</v>
      </c>
      <c r="E224" s="468"/>
      <c r="F224" s="1724">
        <f>SUM(F218:F223)</f>
        <v>0</v>
      </c>
      <c r="G224" s="1724">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4422</v>
      </c>
      <c r="D263" s="468"/>
      <c r="E263" s="468"/>
      <c r="F263" s="578"/>
      <c r="G263" s="573"/>
      <c r="H263" s="468"/>
      <c r="I263" s="468"/>
      <c r="J263" s="468"/>
      <c r="K263" s="468"/>
    </row>
    <row r="264" spans="1:11" ht="12.75" customHeight="1" thickTop="1" thickBot="1" x14ac:dyDescent="0.25">
      <c r="A264" s="463" t="s">
        <v>1532</v>
      </c>
      <c r="B264" s="470">
        <v>4909</v>
      </c>
      <c r="C264" s="576">
        <v>119692</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312394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166852</v>
      </c>
      <c r="D270" s="576"/>
      <c r="E270" s="468"/>
      <c r="F270" s="576"/>
      <c r="G270" s="576"/>
      <c r="H270" s="468"/>
      <c r="I270" s="468"/>
      <c r="J270" s="468"/>
      <c r="K270" s="468"/>
    </row>
    <row r="271" spans="1:11" ht="12.75" customHeight="1" thickTop="1" thickBot="1" x14ac:dyDescent="0.25">
      <c r="A271" s="463" t="s">
        <v>395</v>
      </c>
      <c r="B271" s="470">
        <v>4992</v>
      </c>
      <c r="C271" s="575">
        <v>188465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1765</v>
      </c>
      <c r="B273" s="1744"/>
      <c r="C273" s="1732">
        <f t="shared" ref="C273:H273" si="10">SUM(C191,C201,C211,C216,C224,C228,C229,C259:C272)</f>
        <v>6471428</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6471428</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64870835</v>
      </c>
      <c r="D275" s="1732">
        <f t="shared" si="12"/>
        <v>10826927</v>
      </c>
      <c r="E275" s="1732">
        <f t="shared" si="12"/>
        <v>4014303</v>
      </c>
      <c r="F275" s="1732">
        <f t="shared" si="12"/>
        <v>1291571</v>
      </c>
      <c r="G275" s="1732">
        <f t="shared" si="12"/>
        <v>2455856</v>
      </c>
      <c r="H275" s="1732">
        <f t="shared" si="12"/>
        <v>8296394</v>
      </c>
      <c r="I275" s="1732">
        <f t="shared" si="12"/>
        <v>647104</v>
      </c>
      <c r="J275" s="1732">
        <f t="shared" si="12"/>
        <v>1151662</v>
      </c>
      <c r="K275" s="1719">
        <f t="shared" si="12"/>
        <v>456168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ecureFile" ma:contentTypeID="0x0101006BE055A632A248738A5C034DC95772A1009A557FED44C6C7478E9592306C2F1238" ma:contentTypeVersion="" ma:contentTypeDescription="My Content Type" ma:contentTypeScope="" ma:versionID="6fd3f985690c16988800a1676c9fcf68">
  <xsd:schema xmlns:xsd="http://www.w3.org/2001/XMLSchema" xmlns:xs="http://www.w3.org/2001/XMLSchema" xmlns:p="http://schemas.microsoft.com/office/2006/metadata/properties" xmlns:ns1="http://schemas.microsoft.com/sharepoint/v3" xmlns:ns2="b2eafa5f-caf1-4a68-8bf2-819f68a0b7c8" targetNamespace="http://schemas.microsoft.com/office/2006/metadata/properties" ma:root="true" ma:fieldsID="07e5c19ff72228a06d871462f0697a27" ns1:_="" ns2:_="">
    <xsd:import namespace="http://schemas.microsoft.com/sharepoint/v3"/>
    <xsd:import namespace="b2eafa5f-caf1-4a68-8bf2-819f68a0b7c8"/>
    <xsd:element name="properties">
      <xsd:complexType>
        <xsd:sequence>
          <xsd:element name="documentManagement">
            <xsd:complexType>
              <xsd:all>
                <xsd:element ref="ns2:SecureFile"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9" nillable="true" ma:displayName="Original Expiration Date" ma:hidden="true" ma:internalName="_dlc_ExpireDateSaved" ma:readOnly="true">
      <xsd:simpleType>
        <xsd:restriction base="dms:DateTime"/>
      </xsd:simpleType>
    </xsd:element>
    <xsd:element name="_dlc_ExpireDate" ma:index="10" nillable="true" ma:displayName="Expiration Date" ma:description="" ma:hidden="true" ma:indexed="true" ma:internalName="_dlc_ExpireDate"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eafa5f-caf1-4a68-8bf2-819f68a0b7c8" elementFormDefault="qualified">
    <xsd:import namespace="http://schemas.microsoft.com/office/2006/documentManagement/types"/>
    <xsd:import namespace="http://schemas.microsoft.com/office/infopath/2007/PartnerControls"/>
    <xsd:element name="SecureFile" ma:index="8" nillable="true" ma:displayName="Mark the box to restrict access to this file" ma:default="0" ma:internalName="SecureFil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cureFile xmlns="b2eafa5f-caf1-4a68-8bf2-819f68a0b7c8">false</SecureFile>
    <_dlc_ExpireDateSaved xmlns="http://schemas.microsoft.com/sharepoint/v3" xsi:nil="true"/>
    <_dlc_ExpireDate xmlns="http://schemas.microsoft.com/sharepoint/v3">2019-09-02T17:16:34+00:00</_dlc_ExpireDate>
  </documentManagement>
</p:properties>
</file>

<file path=customXml/itemProps1.xml><?xml version="1.0" encoding="utf-8"?>
<ds:datastoreItem xmlns:ds="http://schemas.openxmlformats.org/officeDocument/2006/customXml" ds:itemID="{2FFC8492-5DC8-40D7-8775-7FF34EF9D3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eafa5f-caf1-4a68-8bf2-819f68a0b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http://schemas.microsoft.com/office/infopath/2007/PartnerControls"/>
    <ds:schemaRef ds:uri="b2eafa5f-caf1-4a68-8bf2-819f68a0b7c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17</vt:i4>
      </vt:variant>
    </vt:vector>
  </HeadingPairs>
  <TitlesOfParts>
    <vt:vector size="56"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vt:lpstr>
      <vt:lpstr>SEFA2</vt:lpstr>
      <vt:lpstr>SEFA3</vt:lpstr>
      <vt:lpstr>SEFA4</vt:lpstr>
      <vt:lpstr>SEFA5</vt:lpstr>
      <vt:lpstr>SF&amp;QC Sec-1</vt:lpstr>
      <vt:lpstr>SF&amp;QC Sec-2</vt:lpstr>
      <vt:lpstr>SF&amp;QC Sec-3</vt:lpstr>
      <vt:lpstr>SSPAF</vt:lpstr>
      <vt:lpstr>' SEFA'!Print_Area</vt:lpstr>
      <vt:lpstr>'Assets-Liab 5-6'!Print_Area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2018-12-11T14:55:15Z</cp:lastPrinted>
  <dcterms:created xsi:type="dcterms:W3CDTF">2003-10-29T19:06:34Z</dcterms:created>
  <dcterms:modified xsi:type="dcterms:W3CDTF">2018-12-11T14:59:17Z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0x0101006BE055A632A248738A5C034DC95772A1009A557FED44C6C7478E9592306C2F1238</vt:lpwstr>
  </property>
  <property fmtid="{D5CDD505-2E9C-101B-9397-08002B2CF9AE}" pid="3" name="TaxKeyword">
    <vt:lpwstr/>
  </property>
  <property fmtid="{D5CDD505-2E9C-101B-9397-08002B2CF9AE}" pid="4" name="_dlc_policyId">
    <vt:lpwstr>/clients/00019432/Shared Documents</vt:lpwstr>
  </property>
  <property fmtid="{D5CDD505-2E9C-101B-9397-08002B2CF9AE}" pid="5" name="ItemRetentionFormula">
    <vt:lpwstr>&lt;formula id="Microsoft.Office.RecordsManagement.PolicyFeatures.Expiration.Formula.BuiltIn"&gt;&lt;number&gt;1&lt;/number&gt;&lt;property&gt;Created&lt;/property&gt;&lt;period&gt;years&lt;/period&gt;&lt;/formula&gt;</vt:lpwstr>
  </property>
</Properties>
</file>