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360" tabRatio="792"/>
  </bookViews>
  <sheets>
    <sheet name="COVER" sheetId="24" r:id="rId1"/>
    <sheet name="TOC" sheetId="168" r:id="rId2"/>
    <sheet name="Aud Quest 2" sheetId="28" r:id="rId3"/>
    <sheet name="Audit quest signature" sheetId="184"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WF SEFA " sheetId="183" r:id="rId31"/>
    <sheet name="SF&amp;QC Sec-1" sheetId="174" r:id="rId32"/>
    <sheet name="SF&amp;QC Sec-2" sheetId="175" r:id="rId33"/>
    <sheet name="SF&amp;QC Sec-3" sheetId="176" r:id="rId34"/>
    <sheet name="SSPAF" sheetId="177" r:id="rId35"/>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1">'SF&amp;QC Sec-1'!$A$1:$J$62</definedName>
    <definedName name="_xlnm.Print_Area" localSheetId="33">'SF&amp;QC Sec-3'!$A$1:$K$52</definedName>
    <definedName name="_xlnm.Print_Area" localSheetId="17">'Shared Outsourced Services 31'!$A$2:$F$43</definedName>
    <definedName name="_xlnm.Print_Area" localSheetId="26">'Single Audit Checklist'!$A$1:$D$124</definedName>
    <definedName name="_xlnm.Print_Area" localSheetId="25">'Single Audit Cover'!$A$1:$L$52</definedName>
    <definedName name="_xlnm.Print_Area" localSheetId="30">'WF SEFA '!$A$1:$P$104</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_xlnm.Print_Titles" localSheetId="30">'WF SEFA '!$1:$6</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C38" i="3" l="1"/>
  <c r="D44" i="174" l="1"/>
  <c r="G38" i="174"/>
  <c r="D35" i="171"/>
  <c r="M52" i="183"/>
  <c r="M51" i="183"/>
  <c r="M50" i="183"/>
  <c r="M44" i="183"/>
  <c r="M43" i="183"/>
  <c r="M42" i="183"/>
  <c r="M36" i="183"/>
  <c r="M35" i="183"/>
  <c r="M34" i="183"/>
  <c r="L101" i="183"/>
  <c r="F91" i="183"/>
  <c r="M10" i="183"/>
  <c r="I21" i="183"/>
  <c r="M26" i="183" l="1"/>
  <c r="M25" i="183"/>
  <c r="M24" i="183"/>
  <c r="M23" i="183"/>
  <c r="M20" i="183"/>
  <c r="M19" i="183"/>
  <c r="M18" i="183"/>
  <c r="M17" i="183"/>
  <c r="M16" i="183"/>
  <c r="M15" i="183"/>
  <c r="M14" i="183"/>
  <c r="M13" i="183"/>
  <c r="M12" i="183"/>
  <c r="M11" i="183"/>
  <c r="J99" i="183"/>
  <c r="H99" i="183"/>
  <c r="G99" i="183"/>
  <c r="F99" i="183"/>
  <c r="M98" i="183"/>
  <c r="N98" i="183" s="1"/>
  <c r="N99" i="183" s="1"/>
  <c r="M97" i="183"/>
  <c r="M96" i="183"/>
  <c r="M99" i="183" s="1"/>
  <c r="M88" i="183"/>
  <c r="M87" i="183"/>
  <c r="M86" i="183"/>
  <c r="M89" i="183" s="1"/>
  <c r="J89" i="183"/>
  <c r="H89" i="183"/>
  <c r="G89" i="183"/>
  <c r="F89" i="183"/>
  <c r="J83" i="183"/>
  <c r="H83" i="183"/>
  <c r="G83" i="183"/>
  <c r="F83" i="183"/>
  <c r="M82" i="183"/>
  <c r="M81" i="183"/>
  <c r="N76" i="183"/>
  <c r="N77" i="183" s="1"/>
  <c r="M76" i="183"/>
  <c r="M75" i="183"/>
  <c r="M74" i="183"/>
  <c r="J77" i="183"/>
  <c r="H77" i="183"/>
  <c r="G77" i="183"/>
  <c r="F77" i="183"/>
  <c r="M72" i="183"/>
  <c r="N57" i="183"/>
  <c r="M58" i="183"/>
  <c r="N58" i="183" s="1"/>
  <c r="M57" i="183"/>
  <c r="M56" i="183"/>
  <c r="J59" i="183"/>
  <c r="H59" i="183"/>
  <c r="G59" i="183"/>
  <c r="F59" i="183"/>
  <c r="J52" i="183"/>
  <c r="H52" i="183"/>
  <c r="G52" i="183"/>
  <c r="F52" i="183"/>
  <c r="L45" i="183"/>
  <c r="L91" i="183" s="1"/>
  <c r="J45" i="183"/>
  <c r="H45" i="183"/>
  <c r="G45" i="183"/>
  <c r="F45" i="183"/>
  <c r="N36" i="183"/>
  <c r="N37" i="183" s="1"/>
  <c r="J37" i="183"/>
  <c r="H37" i="183"/>
  <c r="H91" i="183" s="1"/>
  <c r="G37" i="183"/>
  <c r="F37" i="183"/>
  <c r="M37" i="183"/>
  <c r="J27" i="183"/>
  <c r="H27" i="183"/>
  <c r="G27" i="183"/>
  <c r="F27" i="183"/>
  <c r="M21" i="183"/>
  <c r="J21" i="183"/>
  <c r="H21" i="183"/>
  <c r="G21" i="183"/>
  <c r="F21" i="183"/>
  <c r="M27" i="183" l="1"/>
  <c r="G91" i="183"/>
  <c r="J91" i="183"/>
  <c r="M77" i="183"/>
  <c r="M83" i="183"/>
  <c r="M29" i="183"/>
  <c r="M59" i="183"/>
  <c r="F29" i="183"/>
  <c r="N59" i="183"/>
  <c r="M45" i="183"/>
  <c r="N44" i="183"/>
  <c r="N45" i="183" s="1"/>
  <c r="H29" i="183"/>
  <c r="H101" i="183" s="1"/>
  <c r="J29" i="183"/>
  <c r="G29" i="183"/>
  <c r="G101" i="183" s="1"/>
  <c r="D182" i="34"/>
  <c r="N91" i="183" l="1"/>
  <c r="N101" i="183" s="1"/>
  <c r="J101" i="183"/>
  <c r="F101" i="183"/>
  <c r="M91" i="183"/>
  <c r="M101" i="183"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s="1"/>
  <c r="B6394" i="106"/>
  <c r="D6394" i="106" s="1"/>
  <c r="B6395" i="106"/>
  <c r="D6395" i="106"/>
  <c r="B6398" i="106"/>
  <c r="D6398" i="106" s="1"/>
  <c r="B6399" i="106"/>
  <c r="D6399" i="106"/>
  <c r="B6401" i="106"/>
  <c r="D6401" i="106" s="1"/>
  <c r="B6402" i="106"/>
  <c r="D6402" i="106" s="1"/>
  <c r="B6403" i="106"/>
  <c r="D6403" i="106" s="1"/>
  <c r="B6404" i="106"/>
  <c r="D6404" i="106" s="1"/>
  <c r="B6405" i="106"/>
  <c r="D6405" i="106" s="1"/>
  <c r="B6406" i="106"/>
  <c r="D6406" i="106"/>
  <c r="B6407" i="106"/>
  <c r="D6407" i="106" s="1"/>
  <c r="B6408" i="106"/>
  <c r="D6408" i="106"/>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s="1"/>
  <c r="B6619" i="106"/>
  <c r="D6619" i="106" s="1"/>
  <c r="B6620" i="106"/>
  <c r="D6620" i="106" s="1"/>
  <c r="B6621" i="106"/>
  <c r="D6621" i="106" s="1"/>
  <c r="B6622" i="106"/>
  <c r="D6622" i="106"/>
  <c r="B6623" i="106"/>
  <c r="D6623" i="106" s="1"/>
  <c r="B6624" i="106"/>
  <c r="D6624" i="106"/>
  <c r="B6625" i="106"/>
  <c r="D6625" i="106" s="1"/>
  <c r="B6626" i="106"/>
  <c r="D6626" i="106"/>
  <c r="B6627" i="106"/>
  <c r="D6627" i="106" s="1"/>
  <c r="B6628" i="106"/>
  <c r="D6628" i="106" s="1"/>
  <c r="B6629" i="106"/>
  <c r="D6629" i="106" s="1"/>
  <c r="B6630" i="106"/>
  <c r="D6630" i="106"/>
  <c r="B6631" i="106"/>
  <c r="D6631" i="106" s="1"/>
  <c r="B6632" i="106"/>
  <c r="D6632" i="106"/>
  <c r="B6633" i="106"/>
  <c r="D6633" i="106" s="1"/>
  <c r="B6634" i="106"/>
  <c r="D6634" i="106"/>
  <c r="B6635" i="106"/>
  <c r="D6635" i="106" s="1"/>
  <c r="B6636" i="106"/>
  <c r="D6636" i="106" s="1"/>
  <c r="B6637" i="106"/>
  <c r="D6637" i="106" s="1"/>
  <c r="B6638" i="106"/>
  <c r="D6638" i="106"/>
  <c r="B6639" i="106"/>
  <c r="D6639" i="106" s="1"/>
  <c r="B6640" i="106"/>
  <c r="D6640" i="106"/>
  <c r="B6641" i="106"/>
  <c r="D6641" i="106" s="1"/>
  <c r="B6642" i="106"/>
  <c r="D6642" i="106"/>
  <c r="B6643" i="106"/>
  <c r="D6643" i="106" s="1"/>
  <c r="B6644" i="106"/>
  <c r="D6644" i="106" s="1"/>
  <c r="B6645" i="106"/>
  <c r="D6645" i="106" s="1"/>
  <c r="B6646" i="106"/>
  <c r="D6646" i="106"/>
  <c r="B6647" i="106"/>
  <c r="D6647" i="106" s="1"/>
  <c r="B6648" i="106"/>
  <c r="D6648" i="106"/>
  <c r="B6649" i="106"/>
  <c r="D6649" i="106" s="1"/>
  <c r="B6650" i="106"/>
  <c r="D6650" i="106"/>
  <c r="B6651" i="106"/>
  <c r="D6651" i="106" s="1"/>
  <c r="B6652" i="106"/>
  <c r="D6652" i="106" s="1"/>
  <c r="B6653" i="106"/>
  <c r="D6653" i="106" s="1"/>
  <c r="B6654" i="106"/>
  <c r="D6654" i="106"/>
  <c r="B6655" i="106"/>
  <c r="D6655" i="106" s="1"/>
  <c r="B6656" i="106"/>
  <c r="D6656" i="106"/>
  <c r="B6657" i="106"/>
  <c r="D6657" i="106" s="1"/>
  <c r="B6658" i="106"/>
  <c r="D6658" i="106"/>
  <c r="B6659" i="106"/>
  <c r="D6659" i="106" s="1"/>
  <c r="B6660" i="106"/>
  <c r="D6660" i="106" s="1"/>
  <c r="B6661" i="106"/>
  <c r="D6661" i="106" s="1"/>
  <c r="B6662" i="106"/>
  <c r="D6662" i="106"/>
  <c r="B6663" i="106"/>
  <c r="D6663" i="106" s="1"/>
  <c r="B6664" i="106"/>
  <c r="D6664" i="106"/>
  <c r="B6665" i="106"/>
  <c r="D6665" i="106" s="1"/>
  <c r="B6666" i="106"/>
  <c r="D6666" i="106"/>
  <c r="B6667" i="106"/>
  <c r="D6667" i="106" s="1"/>
  <c r="B6668" i="106"/>
  <c r="D6668" i="106" s="1"/>
  <c r="B6669" i="106"/>
  <c r="D6669" i="106" s="1"/>
  <c r="B6670" i="106"/>
  <c r="D6670" i="106"/>
  <c r="B6671" i="106"/>
  <c r="D6671" i="106" s="1"/>
  <c r="B6672" i="106"/>
  <c r="D6672" i="106"/>
  <c r="B6673" i="106"/>
  <c r="D6673" i="106" s="1"/>
  <c r="B6674" i="106"/>
  <c r="D6674" i="106"/>
  <c r="B6675" i="106"/>
  <c r="D6675" i="106" s="1"/>
  <c r="B6676" i="106"/>
  <c r="D6676" i="106" s="1"/>
  <c r="B6677" i="106"/>
  <c r="D6677" i="106" s="1"/>
  <c r="B6678" i="106"/>
  <c r="D6678" i="106"/>
  <c r="B6679" i="106"/>
  <c r="D6679" i="106" s="1"/>
  <c r="B6680" i="106"/>
  <c r="D6680" i="106"/>
  <c r="B6681" i="106"/>
  <c r="D6681" i="106" s="1"/>
  <c r="B6682" i="106"/>
  <c r="D6682" i="106"/>
  <c r="B6683" i="106"/>
  <c r="D6683" i="106" s="1"/>
  <c r="B6684" i="106"/>
  <c r="D6684" i="106" s="1"/>
  <c r="B6685" i="106"/>
  <c r="D6685" i="106" s="1"/>
  <c r="B6686" i="106"/>
  <c r="D6686" i="106"/>
  <c r="B6687" i="106"/>
  <c r="D6687" i="106" s="1"/>
  <c r="B6688" i="106"/>
  <c r="D6688" i="106"/>
  <c r="B6689" i="106"/>
  <c r="D6689" i="106" s="1"/>
  <c r="B6690" i="106"/>
  <c r="D6690" i="106"/>
  <c r="B6691" i="106"/>
  <c r="D6691" i="106" s="1"/>
  <c r="B6692" i="106"/>
  <c r="D6692" i="106" s="1"/>
  <c r="B6693" i="106"/>
  <c r="D6693" i="106" s="1"/>
  <c r="B6694" i="106"/>
  <c r="D6694" i="106"/>
  <c r="B6695" i="106"/>
  <c r="D6695" i="106" s="1"/>
  <c r="B6696" i="106"/>
  <c r="D6696" i="106"/>
  <c r="B6697" i="106"/>
  <c r="D6697" i="106" s="1"/>
  <c r="B6698" i="106"/>
  <c r="D6698" i="106"/>
  <c r="B6699" i="106"/>
  <c r="D6699" i="106" s="1"/>
  <c r="B6700" i="106"/>
  <c r="D6700" i="106" s="1"/>
  <c r="B6701" i="106"/>
  <c r="D6701" i="106" s="1"/>
  <c r="B6702" i="106"/>
  <c r="D6702" i="106"/>
  <c r="B6703" i="106"/>
  <c r="D6703" i="106" s="1"/>
  <c r="B6704" i="106"/>
  <c r="D6704" i="106"/>
  <c r="B6705" i="106"/>
  <c r="D6705" i="106" s="1"/>
  <c r="B6706" i="106"/>
  <c r="D6706" i="106"/>
  <c r="B6707" i="106"/>
  <c r="D6707" i="106" s="1"/>
  <c r="B6708" i="106"/>
  <c r="D6708" i="106" s="1"/>
  <c r="B6709" i="106"/>
  <c r="D6709" i="106" s="1"/>
  <c r="B6710" i="106"/>
  <c r="D6710" i="106"/>
  <c r="B6711" i="106"/>
  <c r="D6711" i="106" s="1"/>
  <c r="B6712" i="106"/>
  <c r="D6712" i="106"/>
  <c r="B6713" i="106"/>
  <c r="D6713" i="106" s="1"/>
  <c r="B6714" i="106"/>
  <c r="D6714" i="106"/>
  <c r="B6715" i="106"/>
  <c r="D6715" i="106" s="1"/>
  <c r="B6716" i="106"/>
  <c r="D6716" i="106" s="1"/>
  <c r="B6717" i="106"/>
  <c r="D6717" i="106" s="1"/>
  <c r="B6718" i="106"/>
  <c r="D6718" i="106"/>
  <c r="B6719" i="106"/>
  <c r="D6719" i="106" s="1"/>
  <c r="B6720" i="106"/>
  <c r="D6720" i="106"/>
  <c r="B6721" i="106"/>
  <c r="D6721" i="106" s="1"/>
  <c r="B6722" i="106"/>
  <c r="D6722" i="106" s="1"/>
  <c r="B6723" i="106"/>
  <c r="D6723" i="106" s="1"/>
  <c r="B6724" i="106"/>
  <c r="D6724" i="106" s="1"/>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c r="B6743" i="106"/>
  <c r="D6743" i="106" s="1"/>
  <c r="B6744" i="106"/>
  <c r="D6744" i="106" s="1"/>
  <c r="B6745" i="106"/>
  <c r="D6745" i="106" s="1"/>
  <c r="B6746" i="106"/>
  <c r="D6746" i="106" s="1"/>
  <c r="B6747" i="106"/>
  <c r="D6747" i="106" s="1"/>
  <c r="B6748" i="106"/>
  <c r="D6748" i="106"/>
  <c r="B6749" i="106"/>
  <c r="D6749" i="106" s="1"/>
  <c r="B6750" i="106"/>
  <c r="D6750" i="106"/>
  <c r="B6751" i="106"/>
  <c r="D6751" i="106" s="1"/>
  <c r="B6752" i="106"/>
  <c r="D6752" i="106" s="1"/>
  <c r="B6753" i="106"/>
  <c r="D6753" i="106" s="1"/>
  <c r="B6754" i="106"/>
  <c r="D6754" i="106" s="1"/>
  <c r="B6755" i="106"/>
  <c r="D6755" i="106" s="1"/>
  <c r="B6756" i="106"/>
  <c r="D6756" i="106"/>
  <c r="B6757" i="106"/>
  <c r="D6757" i="106" s="1"/>
  <c r="B6758" i="106"/>
  <c r="D6758" i="106"/>
  <c r="B6759" i="106"/>
  <c r="D6759" i="106" s="1"/>
  <c r="B6760" i="106"/>
  <c r="D6760" i="106" s="1"/>
  <c r="B6761" i="106"/>
  <c r="D6761" i="106" s="1"/>
  <c r="B6762" i="106"/>
  <c r="D6762" i="106" s="1"/>
  <c r="B6763" i="106"/>
  <c r="D6763" i="106" s="1"/>
  <c r="B6764" i="106"/>
  <c r="D6764" i="106"/>
  <c r="B6765" i="106"/>
  <c r="D6765" i="106" s="1"/>
  <c r="B6766" i="106"/>
  <c r="D6766" i="106"/>
  <c r="B6767" i="106"/>
  <c r="D6767" i="106" s="1"/>
  <c r="B6768" i="106"/>
  <c r="D6768" i="106" s="1"/>
  <c r="B6769" i="106"/>
  <c r="D6769" i="106" s="1"/>
  <c r="B6770" i="106"/>
  <c r="D6770" i="106" s="1"/>
  <c r="B6771" i="106"/>
  <c r="D6771" i="106" s="1"/>
  <c r="B6772" i="106"/>
  <c r="D6772" i="106"/>
  <c r="B6773" i="106"/>
  <c r="D6773" i="106" s="1"/>
  <c r="B6774" i="106"/>
  <c r="D6774" i="106"/>
  <c r="B6775" i="106"/>
  <c r="D6775" i="106" s="1"/>
  <c r="B6776" i="106"/>
  <c r="D6776" i="106" s="1"/>
  <c r="B6777" i="106"/>
  <c r="D6777" i="106" s="1"/>
  <c r="B6778" i="106"/>
  <c r="D6778" i="106" s="1"/>
  <c r="B6779" i="106"/>
  <c r="D6779" i="106" s="1"/>
  <c r="B6780" i="106"/>
  <c r="D6780" i="106"/>
  <c r="B6781" i="106"/>
  <c r="D6781" i="106" s="1"/>
  <c r="B6782" i="106"/>
  <c r="D6782" i="106"/>
  <c r="B6783" i="106"/>
  <c r="D6783" i="106" s="1"/>
  <c r="B6784" i="106"/>
  <c r="D6784" i="106" s="1"/>
  <c r="B6785" i="106"/>
  <c r="D6785" i="106" s="1"/>
  <c r="B6786" i="106"/>
  <c r="D6786" i="106" s="1"/>
  <c r="B6787" i="106"/>
  <c r="D6787" i="106" s="1"/>
  <c r="B6788" i="106"/>
  <c r="D6788" i="106"/>
  <c r="B6789" i="106"/>
  <c r="D6789" i="106" s="1"/>
  <c r="B6790" i="106"/>
  <c r="D6790" i="106"/>
  <c r="B6791" i="106"/>
  <c r="D6791" i="106" s="1"/>
  <c r="B6792" i="106"/>
  <c r="D6792" i="106" s="1"/>
  <c r="B6793" i="106"/>
  <c r="D6793" i="106" s="1"/>
  <c r="B6794" i="106"/>
  <c r="D6794" i="106" s="1"/>
  <c r="B6795" i="106"/>
  <c r="D6795" i="106" s="1"/>
  <c r="B6796" i="106"/>
  <c r="D6796" i="106"/>
  <c r="B6797" i="106"/>
  <c r="D6797" i="106" s="1"/>
  <c r="B6798" i="106"/>
  <c r="D6798" i="106"/>
  <c r="B6799" i="106"/>
  <c r="D6799" i="106" s="1"/>
  <c r="B6800" i="106"/>
  <c r="D6800" i="106" s="1"/>
  <c r="B6801" i="106"/>
  <c r="D6801" i="106" s="1"/>
  <c r="B6802" i="106"/>
  <c r="D6802" i="106" s="1"/>
  <c r="B6803" i="106"/>
  <c r="D6803" i="106" s="1"/>
  <c r="B6804" i="106"/>
  <c r="D6804" i="106"/>
  <c r="B6805" i="106"/>
  <c r="D6805" i="106" s="1"/>
  <c r="B6806" i="106"/>
  <c r="D6806" i="106"/>
  <c r="B6807" i="106"/>
  <c r="D6807" i="106" s="1"/>
  <c r="B6808" i="106"/>
  <c r="D6808" i="106" s="1"/>
  <c r="B6809" i="106"/>
  <c r="D6809" i="106" s="1"/>
  <c r="B6810" i="106"/>
  <c r="D6810" i="106" s="1"/>
  <c r="B6811" i="106"/>
  <c r="D6811" i="106" s="1"/>
  <c r="B6812" i="106"/>
  <c r="D6812" i="106"/>
  <c r="B6813" i="106"/>
  <c r="D6813" i="106" s="1"/>
  <c r="B6814" i="106"/>
  <c r="D6814" i="106"/>
  <c r="B6815" i="106"/>
  <c r="D6815" i="106" s="1"/>
  <c r="B6816" i="106"/>
  <c r="D6816" i="106" s="1"/>
  <c r="B6817" i="106"/>
  <c r="D6817" i="106" s="1"/>
  <c r="B6818" i="106"/>
  <c r="D6818" i="106" s="1"/>
  <c r="B6819" i="106"/>
  <c r="D6819" i="106" s="1"/>
  <c r="B6820" i="106"/>
  <c r="D6820" i="106"/>
  <c r="B6821" i="106"/>
  <c r="D6821" i="106" s="1"/>
  <c r="B6822" i="106"/>
  <c r="D6822" i="106"/>
  <c r="B6823" i="106"/>
  <c r="D6823" i="106" s="1"/>
  <c r="B6824" i="106"/>
  <c r="D6824" i="106" s="1"/>
  <c r="B6825" i="106"/>
  <c r="D6825" i="106" s="1"/>
  <c r="B6826" i="106"/>
  <c r="D6826" i="106" s="1"/>
  <c r="B6827" i="106"/>
  <c r="D6827" i="106" s="1"/>
  <c r="B6828" i="106"/>
  <c r="D6828" i="106"/>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2" i="127"/>
  <c r="B63" i="127"/>
  <c r="D26" i="108"/>
  <c r="E26" i="108"/>
  <c r="F26" i="108"/>
  <c r="G26" i="108"/>
  <c r="D27" i="108"/>
  <c r="E27" i="108"/>
  <c r="F27" i="108"/>
  <c r="G27" i="108"/>
  <c r="F31" i="108"/>
  <c r="F36" i="108"/>
  <c r="G28" i="108"/>
  <c r="E29" i="108"/>
  <c r="G29" i="108"/>
  <c r="E30" i="108"/>
  <c r="G30" i="108"/>
  <c r="D31" i="108"/>
  <c r="D36" i="108"/>
  <c r="E31" i="108"/>
  <c r="G31" i="108"/>
  <c r="E33" i="108"/>
  <c r="G33"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H18" i="5"/>
  <c r="B5878" i="106"/>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c r="D5526" i="106" s="1"/>
  <c r="F108" i="5"/>
  <c r="B5587" i="106" s="1"/>
  <c r="D5587" i="106" s="1"/>
  <c r="G108" i="5"/>
  <c r="B5737" i="106" s="1"/>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c r="D6400" i="106" s="1"/>
  <c r="K178" i="5"/>
  <c r="B4951" i="106" s="1"/>
  <c r="D4951" i="106" s="1"/>
  <c r="C184" i="5"/>
  <c r="B5232" i="106"/>
  <c r="D5232" i="106" s="1"/>
  <c r="D184" i="5"/>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F131" i="34" s="1"/>
  <c r="G216" i="5"/>
  <c r="B4414" i="106" s="1"/>
  <c r="D4414" i="106" s="1"/>
  <c r="B5286" i="106"/>
  <c r="D5286" i="106" s="1"/>
  <c r="D224" i="5"/>
  <c r="B5470" i="106" s="1"/>
  <c r="D5470" i="106" s="1"/>
  <c r="F224" i="5"/>
  <c r="B5703" i="106" s="1"/>
  <c r="D5703" i="106" s="1"/>
  <c r="G224" i="5"/>
  <c r="B5829" i="106" s="1"/>
  <c r="D5829" i="106" s="1"/>
  <c r="B5304" i="106"/>
  <c r="D5304" i="106" s="1"/>
  <c r="D228" i="5"/>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J22" i="37"/>
  <c r="L22" i="37"/>
  <c r="D24" i="37"/>
  <c r="B4270" i="106" s="1"/>
  <c r="D4270" i="106" s="1"/>
  <c r="L5" i="11"/>
  <c r="B2056" i="106" s="1"/>
  <c r="D2056" i="106" s="1"/>
  <c r="D4" i="7"/>
  <c r="B1760" i="106" s="1"/>
  <c r="D1760" i="106" s="1"/>
  <c r="F130" i="34"/>
  <c r="B5752" i="106"/>
  <c r="D5752" i="106" s="1"/>
  <c r="B5599" i="106"/>
  <c r="D5599" i="106" s="1"/>
  <c r="K274" i="5"/>
  <c r="D7" i="7"/>
  <c r="B1763" i="106" s="1"/>
  <c r="D1763" i="106" s="1"/>
  <c r="B1746" i="106"/>
  <c r="D1746" i="106" s="1"/>
  <c r="D12" i="7"/>
  <c r="B1769" i="106" s="1"/>
  <c r="D1769" i="106" s="1"/>
  <c r="D15" i="7"/>
  <c r="B1772" i="106" s="1"/>
  <c r="D1772" i="106" s="1"/>
  <c r="H33" i="118" l="1"/>
  <c r="D54" i="36"/>
  <c r="D69" i="36"/>
  <c r="K350" i="29"/>
  <c r="B3670" i="106" s="1"/>
  <c r="D3670" i="106" s="1"/>
  <c r="F106" i="34"/>
  <c r="D9" i="7"/>
  <c r="B1767" i="106" s="1"/>
  <c r="D1767" i="106" s="1"/>
  <c r="I173" i="5"/>
  <c r="B4216" i="106" s="1"/>
  <c r="D4216" i="106" s="1"/>
  <c r="H342" i="29"/>
  <c r="B7221" i="106" s="1"/>
  <c r="D7221" i="106" s="1"/>
  <c r="D17" i="7"/>
  <c r="B4104" i="106" s="1"/>
  <c r="D4104" i="106" s="1"/>
  <c r="F45" i="34"/>
  <c r="D109" i="5"/>
  <c r="D13" i="7"/>
  <c r="B3726" i="106" s="1"/>
  <c r="D3726" i="106" s="1"/>
  <c r="D5" i="4"/>
  <c r="B3406" i="106" s="1"/>
  <c r="D3406" i="106" s="1"/>
  <c r="L367" i="29"/>
  <c r="F19" i="7"/>
  <c r="B1807" i="106" s="1"/>
  <c r="D1807" i="106" s="1"/>
  <c r="F71" i="34"/>
  <c r="F34" i="34"/>
  <c r="F28" i="108"/>
  <c r="F41" i="108" s="1"/>
  <c r="G43" i="108" s="1"/>
  <c r="B7076" i="106"/>
  <c r="D7076" i="106" s="1"/>
  <c r="K352" i="29"/>
  <c r="K13" i="4" s="1"/>
  <c r="B3572" i="106" s="1"/>
  <c r="D3572" i="106" s="1"/>
  <c r="H365" i="29"/>
  <c r="B7242" i="106" s="1"/>
  <c r="D7242" i="106" s="1"/>
  <c r="H76" i="4"/>
  <c r="B3298" i="106" s="1"/>
  <c r="D3298" i="106" s="1"/>
  <c r="F21" i="8"/>
  <c r="B1126" i="106"/>
  <c r="D1126" i="106" s="1"/>
  <c r="F128" i="34"/>
  <c r="D5" i="7"/>
  <c r="B1761" i="106" s="1"/>
  <c r="D1761" i="106" s="1"/>
  <c r="B4413" i="106"/>
  <c r="D4413" i="106" s="1"/>
  <c r="F49" i="34"/>
  <c r="F35" i="34"/>
  <c r="D37" i="108"/>
  <c r="F37" i="108"/>
  <c r="E28" i="108"/>
  <c r="J77" i="4"/>
  <c r="B6262" i="106" s="1"/>
  <c r="D6262" i="106" s="1"/>
  <c r="G352" i="29"/>
  <c r="B6191" i="106"/>
  <c r="D6191" i="106" s="1"/>
  <c r="J41" i="3"/>
  <c r="B6216" i="106" s="1"/>
  <c r="D6216" i="106" s="1"/>
  <c r="B1752" i="106"/>
  <c r="D1752" i="106" s="1"/>
  <c r="D11" i="7"/>
  <c r="B1768" i="106" s="1"/>
  <c r="D1768" i="106" s="1"/>
  <c r="B5886" i="106"/>
  <c r="D5886" i="106" s="1"/>
  <c r="H109" i="5"/>
  <c r="B5518" i="106"/>
  <c r="D5518" i="106" s="1"/>
  <c r="E109" i="5"/>
  <c r="E4" i="4" s="1"/>
  <c r="B2630" i="106" s="1"/>
  <c r="D2630" i="106" s="1"/>
  <c r="B4373" i="106"/>
  <c r="D4373" i="106" s="1"/>
  <c r="I274" i="5"/>
  <c r="B4435" i="106" s="1"/>
  <c r="D4435" i="106" s="1"/>
  <c r="B5730" i="106"/>
  <c r="D5730" i="106" s="1"/>
  <c r="G109" i="5"/>
  <c r="B5112" i="106"/>
  <c r="D5112" i="106" s="1"/>
  <c r="C109" i="5"/>
  <c r="B5121" i="106" s="1"/>
  <c r="D5121" i="106" s="1"/>
  <c r="H173" i="5"/>
  <c r="J274" i="5"/>
  <c r="B7054" i="106" s="1"/>
  <c r="D7054" i="106" s="1"/>
  <c r="B7041" i="106"/>
  <c r="D7041" i="106" s="1"/>
  <c r="B5488" i="106"/>
  <c r="D5488" i="106" s="1"/>
  <c r="F136" i="34"/>
  <c r="B5425" i="106"/>
  <c r="D5425" i="106" s="1"/>
  <c r="F127" i="34"/>
  <c r="B5178" i="106"/>
  <c r="D5178" i="106" s="1"/>
  <c r="C172" i="5"/>
  <c r="B5214" i="106" s="1"/>
  <c r="D5214" i="106" s="1"/>
  <c r="F111" i="34"/>
  <c r="B6858" i="106"/>
  <c r="D6858" i="106" s="1"/>
  <c r="F36" i="34"/>
  <c r="L342" i="29"/>
  <c r="C342" i="29"/>
  <c r="B7216" i="106" s="1"/>
  <c r="D7216" i="106" s="1"/>
  <c r="G5" i="4"/>
  <c r="B3409" i="106" s="1"/>
  <c r="D3409" i="106" s="1"/>
  <c r="K173" i="5"/>
  <c r="K6" i="4" s="1"/>
  <c r="B3570" i="106" s="1"/>
  <c r="D3570" i="106" s="1"/>
  <c r="G172" i="5"/>
  <c r="F172" i="5"/>
  <c r="B5644" i="106" s="1"/>
  <c r="D5644" i="106" s="1"/>
  <c r="L312" i="29"/>
  <c r="F77" i="4"/>
  <c r="B3255" i="106" s="1"/>
  <c r="D3255" i="106" s="1"/>
  <c r="B1223" i="106"/>
  <c r="D1223" i="106" s="1"/>
  <c r="K24" i="12"/>
  <c r="B3621" i="106"/>
  <c r="D3621" i="106" s="1"/>
  <c r="C367" i="29"/>
  <c r="B3622" i="106" s="1"/>
  <c r="D3622" i="106" s="1"/>
  <c r="K41" i="3"/>
  <c r="L15" i="11"/>
  <c r="B3459" i="106" s="1"/>
  <c r="D3459" i="106" s="1"/>
  <c r="L13" i="11"/>
  <c r="B2060" i="106" s="1"/>
  <c r="D2060" i="106" s="1"/>
  <c r="D6103" i="106"/>
  <c r="K76" i="4"/>
  <c r="B3586" i="106" s="1"/>
  <c r="D3586" i="106" s="1"/>
  <c r="I24" i="12"/>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44" i="36" l="1"/>
  <c r="F173" i="5"/>
  <c r="L114" i="29"/>
  <c r="B3672" i="106"/>
  <c r="D3672" i="106" s="1"/>
  <c r="C114" i="29"/>
  <c r="B757" i="106" s="1"/>
  <c r="D757" i="106" s="1"/>
  <c r="K365" i="29"/>
  <c r="K367" i="29" s="1"/>
  <c r="I7" i="4"/>
  <c r="B4444" i="106" s="1"/>
  <c r="D4444" i="106" s="1"/>
  <c r="B6014" i="106"/>
  <c r="D6014" i="106" s="1"/>
  <c r="B1879" i="106"/>
  <c r="D1879" i="106" s="1"/>
  <c r="H22" i="37"/>
  <c r="B5356" i="106"/>
  <c r="D5356" i="106" s="1"/>
  <c r="D4" i="4"/>
  <c r="B2564" i="106" s="1"/>
  <c r="D2564" i="106" s="1"/>
  <c r="D51" i="36"/>
  <c r="B1317" i="106"/>
  <c r="D1317" i="106" s="1"/>
  <c r="D19" i="7"/>
  <c r="B1775" i="106" s="1"/>
  <c r="D1775" i="106" s="1"/>
  <c r="C4" i="4"/>
  <c r="B2551" i="106" s="1"/>
  <c r="D2551" i="106" s="1"/>
  <c r="H367" i="29"/>
  <c r="B3660" i="106" s="1"/>
  <c r="D3660" i="106" s="1"/>
  <c r="B3568" i="106"/>
  <c r="D3568" i="106" s="1"/>
  <c r="D52" i="36"/>
  <c r="G173" i="5"/>
  <c r="B5770" i="106"/>
  <c r="D5770" i="106" s="1"/>
  <c r="B5906" i="106"/>
  <c r="D5906" i="106" s="1"/>
  <c r="H6" i="4"/>
  <c r="B2656" i="106" s="1"/>
  <c r="D2656" i="106" s="1"/>
  <c r="B6024" i="106"/>
  <c r="D6024" i="106" s="1"/>
  <c r="G4" i="4"/>
  <c r="B2603" i="106" s="1"/>
  <c r="D2603" i="106" s="1"/>
  <c r="B3628" i="106"/>
  <c r="D3628" i="106" s="1"/>
  <c r="B5527" i="106"/>
  <c r="D5527" i="106" s="1"/>
  <c r="F274" i="5"/>
  <c r="F275" i="5" s="1"/>
  <c r="B5720" i="106" s="1"/>
  <c r="D5720" i="106" s="1"/>
  <c r="B1996" i="106"/>
  <c r="D1996" i="106" s="1"/>
  <c r="I26" i="12"/>
  <c r="B7741" i="106" s="1"/>
  <c r="D7741" i="106" s="1"/>
  <c r="B6025" i="106"/>
  <c r="D6025" i="106" s="1"/>
  <c r="H4" i="4"/>
  <c r="L16" i="11"/>
  <c r="B2061" i="106" s="1"/>
  <c r="D2061" i="106" s="1"/>
  <c r="K342" i="29"/>
  <c r="F13" i="34" s="1"/>
  <c r="B7733" i="106"/>
  <c r="D7733" i="106" s="1"/>
  <c r="K26" i="12"/>
  <c r="B7743" i="106" s="1"/>
  <c r="D7743"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B5653" i="106" l="1"/>
  <c r="D5653" i="106" s="1"/>
  <c r="F6" i="4"/>
  <c r="B2593" i="106" s="1"/>
  <c r="D2593" i="106" s="1"/>
  <c r="J17" i="4"/>
  <c r="G41" i="108"/>
  <c r="G44" i="108" s="1"/>
  <c r="G45" i="108" s="1"/>
  <c r="F8" i="4"/>
  <c r="F10" i="4" s="1"/>
  <c r="B4125" i="106" s="1"/>
  <c r="D4125" i="106" s="1"/>
  <c r="E41" i="108"/>
  <c r="E44" i="108" s="1"/>
  <c r="E45" i="108" s="1"/>
  <c r="B5223" i="106"/>
  <c r="D5223" i="106" s="1"/>
  <c r="C6" i="4"/>
  <c r="B2553" i="106" s="1"/>
  <c r="D2553" i="106" s="1"/>
  <c r="B2655" i="106"/>
  <c r="D2655" i="106" s="1"/>
  <c r="H8" i="4"/>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8" i="146" l="1"/>
  <c r="B2595" i="106"/>
  <c r="D2595" i="106" s="1"/>
  <c r="F76" i="34"/>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<sst xmlns="http://schemas.openxmlformats.org/spreadsheetml/2006/main" count="5334" uniqueCount="2249">
  <si>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</si>
  <si>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</si>
  <si>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</si>
  <si>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</si>
  <si>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</si>
  <si>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</si>
  <si>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</si>
  <si>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</si>
  <si>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</si>
  <si>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</si>
  <si>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</si>
  <si>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</si>
  <si>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</si>
  <si>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</si>
  <si>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</si>
  <si>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</si>
  <si>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</si>
  <si>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</si>
  <si>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</si>
  <si>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</si>
  <si>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</si>
  <si>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</si>
  <si>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</si>
  <si>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</si>
  <si>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</si>
  <si>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</si>
  <si>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</si>
  <si>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</si>
  <si>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</si>
  <si>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</si>
  <si>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</si>
  <si>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</si>
  <si>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</si>
  <si>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</si>
  <si>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</si>
  <si>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</si>
  <si>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</si>
  <si>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</si>
  <si>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</si>
  <si>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</si>
  <si>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</si>
  <si>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</si>
  <si>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</si>
  <si>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</si>
  <si>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</si>
  <si>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</si>
  <si>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</si>
  <si>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</si>
  <si>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</si>
  <si>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</si>
  <si>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</si>
  <si>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</si>
  <si>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</si>
  <si>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</si>
  <si>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</si>
  <si>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</si>
  <si>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</si>
  <si>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</si>
  <si>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</si>
  <si>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</si>
  <si>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</si>
  <si>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</si>
  <si>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</si>
  <si>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</si>
  <si>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</si>
  <si>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</si>
  <si>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</si>
  <si>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</si>
  <si>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</si>
  <si>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</si>
  <si>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</si>
  <si>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</si>
  <si>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</si>
  <si>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</si>
  <si>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</si>
  <si>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</si>
  <si>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</si>
  <si>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</si>
  <si>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</si>
  <si>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</si>
  <si>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</si>
  <si>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</si>
  <si>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</si>
  <si>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</si>
  <si>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</si>
  <si>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</si>
  <si>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</si>
  <si>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</si>
  <si>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</si>
  <si>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</si>
  <si>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</si>
  <si>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</si>
  <si>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</si>
  <si>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</si>
  <si>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</si>
  <si>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</si>
  <si>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</si>
  <si>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</si>
  <si>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</si>
  <si>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</si>
  <si>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</si>
  <si>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</si>
  <si>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</si>
  <si>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</si>
  <si>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</si>
  <si>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</si>
  <si>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</si>
  <si>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</si>
  <si>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</si>
  <si>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</si>
  <si>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</si>
  <si>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</si>
  <si>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</si>
  <si>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</si>
  <si>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</si>
  <si>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</si>
  <si>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</si>
  <si>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</si>
  <si>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</si>
  <si>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</si>
  <si>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</si>
  <si>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</si>
  <si>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</si>
  <si>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</si>
  <si>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</si>
  <si>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</si>
  <si>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</si>
  <si>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</si>
  <si>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</si>
  <si>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</si>
  <si>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</si>
  <si>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</si>
  <si>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</si>
  <si>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</si>
  <si>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</si>
  <si>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</si>
  <si>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</si>
  <si>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</si>
  <si>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</si>
  <si>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</si>
  <si>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</si>
  <si>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</si>
  <si>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</si>
  <si>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</si>
  <si>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</si>
  <si>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</si>
  <si>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</si>
  <si>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</si>
  <si>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</si>
  <si>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</si>
  <si>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</si>
  <si>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</si>
  <si>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</si>
  <si>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</si>
  <si>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</si>
  <si>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</si>
  <si>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</si>
  <si>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</si>
  <si>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</si>
  <si>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</si>
  <si>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</si>
  <si>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</si>
  <si>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</si>
  <si>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</si>
  <si>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</si>
  <si>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</si>
  <si>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</si>
  <si>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</si>
  <si>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</si>
  <si>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</si>
  <si>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</si>
  <si>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</si>
  <si>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</si>
  <si>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</si>
  <si>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</si>
  <si>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</si>
  <si>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</si>
  <si>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</si>
  <si>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</si>
  <si>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</si>
  <si>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</si>
  <si>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</si>
  <si>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</si>
  <si>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</si>
  <si>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</si>
  <si>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</si>
  <si>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</si>
  <si>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</si>
  <si>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</si>
  <si>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</si>
  <si>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</si>
  <si>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</si>
  <si>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</si>
  <si>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</si>
  <si>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</si>
  <si>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</si>
  <si>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</si>
  <si>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</si>
  <si>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</si>
  <si>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</si>
  <si>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</si>
  <si>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</si>
  <si>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</si>
  <si>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</si>
  <si>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</si>
  <si>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</si>
  <si>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</si>
  <si>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</si>
  <si>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</si>
  <si>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</si>
  <si>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</si>
  <si>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</si>
  <si>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</si>
  <si>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</si>
  <si>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</si>
  <si>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</si>
  <si>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</si>
  <si>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</si>
  <si>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</si>
  <si>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</si>
  <si>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</si>
  <si>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</si>
  <si>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</si>
  <si>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</si>
  <si>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</si>
  <si>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</si>
  <si>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</si>
  <si>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</si>
  <si>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</si>
  <si>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</si>
  <si>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</si>
  <si>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</si>
  <si>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</si>
  <si>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</si>
  <si>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</si>
  <si>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</si>
  <si>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</si>
  <si>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</si>
  <si>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</si>
  <si>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</si>
  <si>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</si>
  <si>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</si>
  <si>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</si>
  <si>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</si>
  <si>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</si>
  <si>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</si>
  <si>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</si>
  <si>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</si>
  <si>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</si>
  <si>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</si>
  <si>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</si>
  <si>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</si>
  <si>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</si>
  <si>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</si>
  <si>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</si>
  <si>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</si>
  <si>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</si>
  <si>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</si>
  <si>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</si>
  <si>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</si>
  <si>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</si>
  <si>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</si>
  <si>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</si>
  <si>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</si>
  <si>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</si>
  <si>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</si>
  <si>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</si>
  <si>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</si>
  <si>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</si>
  <si>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</si>
  <si>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</si>
  <si>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</si>
  <si>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</si>
  <si>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</si>
  <si>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</si>
  <si>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</si>
  <si>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</si>
  <si>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</si>
  <si>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</si>
  <si>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</si>
  <si>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</si>
  <si>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</si>
  <si>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</si>
  <si>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</si>
  <si>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</si>
  <si>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</si>
  <si>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</si>
  <si>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</si>
  <si>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</si>
  <si>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</si>
  <si>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</si>
  <si>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</si>
  <si>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</si>
  <si>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</si>
  <si>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</si>
  <si>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</si>
  <si>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</si>
  <si>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</si>
  <si>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</si>
  <si>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</si>
  <si>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</si>
  <si>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</si>
  <si>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</si>
  <si>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</si>
  <si>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</si>
  <si>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</si>
  <si>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</si>
  <si>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</si>
  <si>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</si>
  <si>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</si>
  <si>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</si>
  <si>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</si>
  <si>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</si>
  <si>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</si>
  <si>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</si>
  <si>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</si>
  <si>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</si>
  <si>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</si>
  <si>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</si>
  <si>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</si>
  <si>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</si>
  <si>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</si>
  <si>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</si>
  <si>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</si>
  <si>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</si>
  <si>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</si>
  <si>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</si>
  <si>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</si>
  <si>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</si>
  <si>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</si>
  <si>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</si>
  <si>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</si>
  <si>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</si>
  <si>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</si>
  <si>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</si>
  <si>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</si>
  <si>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</si>
  <si>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</si>
  <si>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</si>
  <si>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</si>
  <si>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</si>
  <si>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</si>
  <si>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</si>
  <si>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</si>
  <si>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</si>
  <si>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</si>
  <si>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</si>
  <si>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</si>
  <si>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</si>
  <si>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</si>
  <si>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</si>
  <si>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</si>
  <si>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</si>
  <si>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</si>
  <si>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</si>
  <si>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</si>
  <si>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</si>
  <si>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</si>
  <si>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</si>
  <si>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</si>
  <si>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</si>
  <si>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</si>
  <si>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</si>
  <si>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</si>
  <si>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</si>
  <si>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</si>
  <si>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</si>
  <si>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</si>
  <si>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</si>
  <si>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</si>
  <si>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</si>
  <si>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</si>
  <si>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</si>
  <si>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</si>
  <si>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</si>
  <si>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</si>
  <si>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</si>
  <si>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</si>
  <si>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</si>
  <si>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</si>
  <si>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</si>
  <si>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</si>
  <si>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</si>
  <si>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</si>
  <si>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</si>
  <si>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</si>
  <si>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</si>
  <si>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</si>
  <si>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</si>
  <si>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</si>
  <si>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</si>
  <si>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</si>
  <si>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</si>
  <si>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</si>
  <si>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</si>
  <si>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</si>
  <si>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</si>
  <si>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</si>
  <si>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</si>
  <si>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</si>
  <si>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</si>
  <si>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</si>
  <si>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</si>
  <si>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</si>
  <si>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</si>
  <si>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</si>
  <si>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</si>
  <si>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</si>
  <si>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</si>
  <si>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</si>
  <si>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</si>
  <si>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</si>
  <si>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</si>
  <si>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</si>
  <si>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</si>
  <si>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</si>
  <si>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</si>
  <si>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</si>
  <si>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</si>
  <si>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</si>
  <si>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</si>
  <si>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</si>
  <si>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</si>
  <si>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</si>
  <si>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</si>
  <si>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</si>
  <si>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</si>
  <si>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</si>
  <si>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</si>
  <si>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</si>
  <si>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</si>
  <si>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</si>
  <si>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</si>
  <si>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</si>
  <si>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</si>
  <si>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</si>
  <si>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</si>
  <si>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</si>
  <si>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</si>
  <si>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</si>
  <si>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</si>
  <si>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</si>
  <si>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</si>
  <si>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</si>
  <si>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</si>
  <si>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</si>
  <si>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</si>
  <si>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</si>
  <si>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</si>
  <si>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</si>
  <si>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</si>
  <si>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</si>
  <si>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</si>
  <si>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</si>
  <si>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</si>
  <si>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</si>
  <si>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</si>
  <si>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</si>
  <si>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</si>
  <si>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</si>
  <si>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</si>
  <si>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</si>
  <si>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</si>
  <si>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</si>
  <si>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</si>
  <si>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</si>
  <si>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</si>
  <si>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</si>
  <si>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</si>
  <si>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</si>
  <si>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</si>
  <si>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</si>
  <si>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</si>
  <si>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</si>
  <si>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</si>
  <si>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</si>
  <si>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</si>
  <si>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</si>
  <si>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</si>
  <si>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</si>
  <si>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</si>
  <si>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</si>
  <si>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</si>
  <si>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</si>
  <si>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</si>
  <si>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</si>
  <si>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</si>
  <si>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</si>
  <si>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</si>
  <si>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</si>
  <si>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</si>
  <si>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</si>
  <si>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</si>
  <si>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</si>
  <si>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</si>
  <si>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</si>
  <si>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</si>
  <si>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</si>
  <si>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</si>
  <si>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</si>
  <si>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</si>
  <si>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</si>
  <si>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</si>
  <si>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</si>
  <si>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</si>
  <si>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</si>
  <si>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</si>
  <si>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</si>
  <si>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</si>
  <si>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</si>
  <si>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</si>
  <si>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</si>
  <si>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</si>
  <si>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</si>
  <si>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</si>
  <si>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</si>
  <si>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</si>
  <si>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</si>
  <si>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</si>
  <si>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</si>
  <si>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</si>
  <si>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</si>
  <si>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</si>
  <si>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</si>
  <si>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</si>
  <si>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</si>
  <si>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</si>
  <si>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</si>
  <si>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</si>
  <si>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</si>
  <si>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</si>
  <si>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</si>
  <si>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</si>
  <si>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</si>
  <si>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</si>
  <si>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</si>
  <si>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</si>
  <si>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</si>
  <si>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</si>
  <si>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</si>
  <si>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</si>
  <si>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</si>
  <si>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</si>
  <si>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</si>
  <si>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</si>
  <si>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</si>
  <si>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</si>
  <si>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</si>
  <si>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</si>
  <si>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</si>
  <si>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</si>
  <si>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</si>
  <si>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</si>
  <si>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</si>
  <si>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</si>
  <si>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</si>
  <si>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</si>
  <si>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</si>
  <si>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</si>
  <si>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</si>
  <si>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</si>
  <si>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</si>
  <si>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</si>
  <si>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</si>
  <si>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</si>
  <si>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</si>
  <si>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</si>
  <si>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</si>
  <si>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</si>
  <si>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</si>
  <si>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</si>
  <si>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</si>
  <si>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</si>
  <si>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</si>
  <si>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</si>
  <si>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</si>
  <si>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</si>
  <si>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</si>
  <si>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</si>
  <si>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</si>
  <si>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</si>
  <si>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</si>
  <si>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</si>
  <si>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</si>
  <si>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</si>
  <si>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</si>
  <si>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</si>
  <si>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</si>
  <si>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</si>
  <si>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</si>
  <si>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</si>
  <si>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</si>
  <si>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</si>
  <si>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</si>
  <si>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</si>
  <si>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</si>
  <si>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</si>
  <si>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</si>
  <si>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</si>
  <si>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</si>
  <si>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</si>
  <si>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</si>
  <si>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</si>
  <si>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</si>
  <si>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</si>
  <si>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</si>
  <si>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</si>
  <si>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</si>
  <si>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</si>
  <si>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</si>
  <si>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</si>
  <si>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</si>
  <si>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</si>
  <si>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</si>
  <si>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</si>
  <si>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</si>
  <si>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</si>
  <si>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</si>
  <si>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</si>
  <si>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</si>
  <si>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</si>
  <si>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</si>
  <si>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</si>
  <si>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</si>
  <si>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</si>
  <si>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</si>
  <si>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</si>
  <si>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</si>
  <si>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</si>
  <si>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</si>
  <si>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</si>
  <si>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</si>
  <si>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</si>
  <si>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</si>
  <si>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</si>
  <si>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</si>
  <si>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</si>
  <si>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</si>
  <si>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</si>
  <si>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</si>
  <si>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</si>
  <si>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</si>
  <si>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</si>
  <si>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</si>
  <si>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</si>
  <si>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</si>
  <si>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</si>
  <si>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</si>
  <si>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</si>
  <si>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</si>
  <si>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</si>
  <si>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</si>
  <si>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</si>
  <si>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</si>
  <si>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</si>
  <si>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</si>
  <si>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</si>
  <si>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</si>
  <si>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</si>
  <si>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</si>
  <si>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</si>
  <si>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</si>
  <si>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</si>
  <si>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</si>
  <si>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</si>
  <si>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</si>
  <si>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</si>
  <si>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</si>
  <si>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</si>
  <si>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</si>
  <si>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</si>
  <si>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</si>
  <si>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</si>
  <si>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</si>
  <si>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</si>
  <si>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</si>
  <si>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</si>
  <si>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</si>
  <si>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</si>
  <si>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</si>
  <si>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</si>
  <si>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</si>
  <si>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</si>
  <si>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</si>
  <si>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</si>
  <si>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</si>
  <si>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</si>
  <si>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</si>
  <si>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</si>
  <si>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</si>
  <si>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</si>
  <si>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</si>
  <si>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</si>
  <si>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</si>
  <si>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</si>
  <si>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</si>
  <si>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</si>
  <si>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</si>
  <si>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</si>
  <si>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</si>
  <si>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</si>
  <si>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</si>
  <si>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</si>
  <si>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</si>
  <si>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</si>
  <si>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</si>
  <si>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</si>
  <si>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</si>
  <si>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</si>
  <si>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</si>
  <si>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</si>
  <si>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</si>
  <si>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</si>
  <si>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</si>
  <si>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</si>
  <si>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</si>
  <si>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</si>
  <si>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</si>
  <si>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</si>
  <si>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</si>
  <si>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</si>
  <si>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</si>
  <si>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</si>
  <si>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</si>
  <si>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</si>
  <si>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</si>
  <si>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</si>
  <si>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</si>
  <si>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</si>
  <si>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</si>
  <si>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</si>
  <si>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</si>
  <si>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</si>
  <si>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</si>
  <si>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</si>
  <si>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</si>
  <si>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</si>
  <si>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</si>
  <si>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</si>
  <si>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</si>
  <si>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</si>
  <si>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</si>
  <si>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</si>
  <si>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</si>
  <si>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</si>
  <si>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</si>
  <si>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</si>
  <si>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</si>
  <si>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</si>
  <si>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</si>
  <si>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</si>
  <si>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</si>
  <si>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</si>
  <si>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</si>
  <si>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</si>
  <si>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</si>
  <si>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</si>
  <si>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</si>
  <si>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</si>
  <si>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</si>
  <si>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</si>
  <si>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</si>
  <si>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</si>
  <si>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</si>
  <si>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</si>
  <si>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</si>
  <si>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</si>
  <si>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</si>
  <si>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</si>
  <si>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</si>
  <si>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</si>
  <si>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</si>
  <si>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</si>
  <si>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</si>
  <si>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</si>
  <si>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</si>
  <si>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</si>
  <si>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</si>
  <si>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</si>
  <si>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</si>
  <si>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</si>
  <si>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</si>
  <si>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</si>
  <si>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</si>
  <si>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</si>
  <si>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</si>
  <si>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</si>
  <si>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</si>
  <si>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</si>
  <si>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</si>
  <si>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</si>
  <si>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</si>
  <si>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</si>
  <si>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</si>
  <si>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</si>
  <si>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</si>
  <si>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</si>
  <si>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</si>
  <si>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</si>
  <si>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</si>
  <si>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</si>
  <si>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</si>
  <si>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</si>
  <si>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</si>
  <si>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</si>
  <si>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</si>
  <si>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</si>
  <si>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</si>
  <si>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</si>
  <si>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</si>
  <si>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</si>
  <si>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</si>
  <si>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</si>
  <si>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</si>
  <si>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</si>
  <si>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</si>
  <si>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</si>
  <si>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</si>
  <si>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</si>
  <si>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</si>
  <si>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</si>
  <si>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</si>
  <si>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</si>
  <si>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</si>
  <si>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</si>
  <si>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</si>
  <si>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</si>
  <si>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</si>
  <si>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</si>
  <si>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</si>
  <si>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</si>
  <si>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</si>
  <si>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</si>
  <si>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</si>
  <si>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</si>
  <si>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</si>
  <si>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</si>
  <si>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</si>
  <si>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</si>
  <si>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</si>
  <si>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</si>
  <si>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</si>
  <si>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</si>
  <si>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</si>
  <si>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</si>
  <si>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</si>
  <si>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</si>
  <si>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</si>
  <si>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</si>
  <si>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</si>
  <si>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</si>
  <si>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</si>
  <si>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</si>
  <si>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</si>
  <si>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</si>
  <si>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</si>
  <si>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</si>
  <si>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</si>
  <si>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</si>
  <si>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</si>
  <si>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</si>
  <si>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</si>
  <si>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</si>
  <si>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</si>
  <si>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</si>
  <si>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</si>
  <si>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</si>
  <si>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</si>
  <si>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</si>
  <si>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</si>
  <si>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</si>
  <si>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</si>
  <si>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</si>
  <si>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</si>
  <si>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</si>
  <si>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</si>
  <si>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</si>
  <si>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</si>
  <si>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</si>
  <si>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</si>
  <si>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</si>
  <si>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</si>
  <si>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</si>
  <si>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</si>
  <si>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</si>
  <si>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</si>
  <si>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</si>
  <si>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</si>
  <si>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</si>
  <si>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</si>
  <si>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</si>
  <si>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</si>
  <si>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</si>
  <si>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</si>
  <si>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</si>
  <si>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</si>
  <si>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</si>
  <si>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</si>
  <si>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</si>
  <si>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</si>
  <si>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</si>
  <si>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</si>
  <si>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</si>
  <si>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</si>
  <si>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</si>
  <si>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</si>
  <si>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</si>
  <si>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</si>
  <si>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</si>
  <si>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</si>
  <si>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</si>
  <si>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</si>
  <si>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</si>
  <si>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</si>
  <si>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</si>
  <si>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</si>
  <si>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</si>
  <si>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</si>
  <si>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</si>
  <si>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</si>
  <si>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</si>
  <si>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</si>
  <si>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</si>
  <si>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</si>
  <si>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</si>
  <si>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</si>
  <si>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</si>
  <si>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</si>
  <si>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</si>
  <si>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</si>
  <si>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</si>
  <si>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</si>
  <si>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</si>
  <si>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</si>
  <si>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</si>
  <si>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</si>
  <si>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</si>
  <si>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</si>
  <si>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</si>
  <si>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</si>
  <si>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</si>
  <si>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</si>
  <si>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</si>
  <si>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</si>
  <si>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</si>
  <si>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</si>
  <si>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</si>
  <si>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</si>
  <si>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</si>
  <si>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</si>
  <si>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</si>
  <si>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</si>
  <si>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</si>
  <si>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</si>
  <si>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</si>
  <si>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</si>
  <si>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</si>
  <si>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</si>
  <si>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</si>
  <si>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</si>
  <si>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</si>
  <si>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</si>
  <si>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</si>
  <si>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</si>
  <si>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</si>
  <si>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</si>
  <si>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</si>
  <si>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</si>
  <si>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</si>
  <si>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</si>
  <si>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</si>
  <si>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</si>
  <si>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</si>
  <si>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</si>
  <si>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</si>
  <si>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</si>
  <si>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</si>
  <si>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</si>
  <si>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</si>
  <si>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</si>
  <si>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</si>
  <si>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</si>
  <si>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</si>
  <si>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</si>
  <si>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</si>
  <si>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</si>
  <si>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</si>
  <si>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</si>
  <si>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</si>
  <si>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</si>
  <si>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</si>
  <si>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</si>
  <si>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</si>
  <si>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</si>
  <si>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</si>
  <si>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</si>
  <si>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</si>
  <si>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</si>
  <si>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</si>
  <si>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</si>
  <si>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</si>
  <si>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</si>
  <si>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</si>
  <si>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</si>
  <si>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</si>
  <si>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</si>
  <si>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</si>
  <si>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</si>
  <si>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</si>
  <si>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</si>
  <si>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</si>
  <si>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</si>
  <si>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</si>
  <si>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</si>
  <si>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</si>
  <si>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</si>
  <si>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</si>
  <si>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</si>
  <si>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</si>
  <si>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</si>
  <si>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</si>
  <si>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</si>
  <si>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</si>
  <si>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</si>
  <si>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</si>
  <si>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</si>
  <si>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</si>
  <si>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</si>
  <si>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</si>
  <si>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</si>
  <si>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</si>
  <si>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</si>
  <si>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</si>
  <si>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</si>
  <si>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</si>
  <si>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</si>
  <si>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</si>
  <si>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</si>
  <si>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</si>
  <si>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</si>
  <si>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</si>
  <si>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</si>
  <si>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</si>
  <si>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</si>
  <si>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</si>
  <si>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</si>
  <si>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</si>
  <si>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</si>
  <si>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</si>
  <si>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</si>
  <si>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</si>
  <si>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</si>
  <si>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</si>
  <si>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</si>
  <si>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</si>
  <si>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</si>
  <si>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</si>
  <si>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</si>
  <si>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</si>
  <si>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</si>
  <si>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</si>
  <si>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</si>
  <si>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</si>
  <si>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</si>
  <si>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</si>
  <si>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</si>
  <si>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</si>
  <si>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</si>
  <si>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</si>
  <si>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</si>
  <si>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</si>
  <si>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</si>
  <si>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</si>
  <si>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</si>
  <si>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</si>
  <si>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</si>
  <si>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</si>
  <si>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</si>
  <si>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</si>
  <si>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</si>
  <si>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</si>
  <si>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</si>
  <si>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</si>
  <si>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</si>
  <si>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</si>
  <si>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</si>
  <si>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</si>
  <si>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</si>
  <si>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</si>
  <si>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</si>
  <si>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</si>
  <si>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</si>
  <si>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</si>
  <si>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</si>
  <si>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</si>
  <si>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</si>
  <si>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</si>
  <si>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</si>
  <si>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</si>
  <si>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</si>
  <si>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</si>
  <si>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</si>
  <si>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</si>
  <si>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</si>
  <si>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</si>
  <si>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</si>
  <si>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</si>
  <si>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</si>
  <si>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</si>
  <si>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</si>
  <si>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</si>
  <si>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</si>
  <si>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</si>
  <si>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</si>
  <si>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</si>
  <si>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</si>
  <si>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</si>
  <si>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</si>
  <si>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</si>
  <si>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</si>
  <si>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</si>
  <si>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</si>
  <si>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</si>
  <si>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</si>
  <si>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</si>
  <si>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</si>
  <si>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</si>
  <si>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</si>
  <si>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</si>
  <si>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</si>
  <si>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</si>
  <si>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</si>
  <si>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</si>
  <si>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</si>
  <si>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</si>
  <si>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</si>
  <si>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</si>
  <si>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</si>
  <si>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</si>
  <si>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</si>
  <si>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</si>
  <si>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</si>
  <si>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</si>
  <si>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</si>
  <si>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</si>
  <si>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</si>
  <si>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</si>
  <si>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</si>
  <si>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</si>
  <si>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</si>
  <si>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</si>
  <si>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</si>
  <si>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</si>
  <si>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</si>
  <si>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</si>
  <si>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</si>
  <si>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</si>
  <si>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</si>
  <si>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</si>
  <si>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</si>
  <si>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</si>
  <si>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</si>
  <si>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</si>
  <si>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</si>
  <si>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</si>
  <si>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</si>
  <si>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</si>
  <si>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</si>
  <si>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</si>
  <si>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</si>
  <si>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</si>
  <si>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</si>
  <si>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</si>
  <si>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</si>
  <si>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</si>
  <si>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</si>
  <si>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</si>
  <si>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</si>
  <si>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</si>
  <si>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</si>
  <si>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</si>
  <si>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</si>
  <si>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</si>
  <si>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</si>
  <si>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</si>
  <si>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</si>
  <si>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</si>
  <si>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</si>
  <si>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</si>
  <si>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</si>
  <si>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</si>
  <si>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</si>
  <si>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</si>
  <si>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</si>
  <si>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</si>
  <si>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</si>
  <si>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</si>
  <si>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</si>
  <si>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</si>
  <si>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</si>
  <si>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</si>
  <si>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</si>
  <si>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</si>
  <si>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</si>
  <si>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</si>
  <si>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</si>
  <si>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</si>
  <si>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</si>
  <si>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</si>
  <si>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</si>
  <si>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</si>
  <si>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</si>
  <si>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</si>
  <si>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</si>
  <si>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</si>
  <si>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</si>
  <si>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</si>
  <si>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</si>
  <si>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</si>
  <si>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</si>
  <si>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</si>
  <si>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</si>
  <si>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</si>
  <si>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</si>
  <si>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</si>
  <si>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</si>
  <si>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</si>
  <si>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</si>
  <si>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</si>
  <si>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</si>
  <si>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</si>
  <si>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</si>
  <si>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</si>
  <si>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</si>
  <si>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</si>
  <si>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</si>
  <si>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</si>
  <si>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</si>
  <si>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</si>
  <si>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</si>
  <si>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</si>
  <si>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</si>
  <si>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</si>
  <si>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</si>
  <si>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</si>
  <si>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</si>
  <si>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</si>
  <si>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</si>
  <si>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</si>
  <si>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</si>
  <si>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</si>
  <si>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</si>
  <si>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</si>
  <si>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</si>
  <si>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</si>
  <si>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</si>
  <si>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</si>
  <si>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</si>
  <si>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</si>
  <si>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</si>
  <si>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</si>
  <si>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</si>
  <si>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</si>
  <si>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</si>
  <si>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</si>
  <si>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</si>
  <si>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</si>
  <si>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</si>
  <si>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</si>
  <si>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</si>
  <si>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</si>
  <si>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</si>
  <si>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</si>
  <si>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</si>
  <si>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</si>
  <si>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</si>
  <si>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</si>
  <si>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</si>
  <si>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</si>
  <si>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</si>
  <si>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</si>
  <si>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</si>
  <si>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</si>
  <si>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</si>
  <si>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</si>
  <si>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</si>
  <si>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</si>
  <si>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</si>
  <si>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</si>
  <si>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</si>
  <si>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</si>
  <si>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</si>
  <si>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</si>
  <si>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</si>
  <si>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</si>
  <si>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</si>
  <si>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</si>
  <si>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</si>
  <si>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</si>
  <si>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</si>
  <si>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</si>
  <si>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</si>
  <si>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</si>
  <si>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</si>
  <si>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</si>
  <si>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</si>
  <si>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</si>
  <si>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</si>
  <si>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</si>
  <si>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</si>
  <si>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</si>
  <si>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</si>
  <si>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</si>
  <si>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</si>
  <si>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</si>
  <si>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</si>
  <si>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</si>
  <si>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</si>
  <si>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</si>
  <si>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</si>
  <si>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</si>
  <si>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</si>
  <si>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</si>
  <si>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</si>
  <si>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</si>
  <si>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</si>
  <si>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</si>
  <si>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</si>
  <si>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</si>
  <si>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</si>
  <si>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</si>
  <si>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</si>
  <si>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</si>
  <si>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</si>
  <si>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</si>
  <si>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</si>
  <si>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</si>
  <si>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</si>
  <si>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</si>
  <si>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</si>
  <si>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</si>
  <si>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</si>
  <si>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</si>
  <si>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</si>
  <si>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</si>
  <si>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</si>
  <si>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</si>
  <si>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</si>
  <si>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</si>
  <si>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</si>
  <si>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</si>
  <si>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</si>
  <si>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</si>
  <si>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</si>
  <si>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</si>
  <si>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</si>
  <si>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</si>
  <si>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</si>
  <si>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</si>
  <si>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</si>
  <si>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</si>
  <si>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</si>
  <si>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</si>
  <si>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</si>
  <si>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</si>
  <si>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</si>
  <si>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</si>
  <si>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</si>
  <si>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</si>
  <si>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</si>
  <si>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</si>
  <si>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</si>
  <si>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</si>
  <si>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</si>
  <si>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</si>
  <si>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</si>
  <si>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</si>
  <si>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</si>
  <si>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</si>
  <si>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</si>
  <si>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</si>
  <si>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</si>
  <si>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</si>
  <si>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</si>
  <si>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</si>
  <si>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</si>
  <si>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</si>
  <si>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</si>
  <si>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</si>
  <si>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</si>
  <si>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</si>
  <si>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</si>
  <si>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</si>
  <si>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</si>
  <si>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</si>
  <si>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</si>
  <si>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</si>
  <si>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</si>
  <si>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</si>
  <si>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</si>
  <si>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</si>
  <si>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</si>
  <si>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</si>
  <si>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</si>
  <si>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</si>
  <si>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</si>
  <si>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</si>
  <si>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</si>
  <si>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</si>
  <si>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</si>
  <si>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</si>
  <si>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</si>
  <si>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</si>
  <si>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</si>
  <si>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</si>
  <si>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</si>
  <si>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</si>
  <si>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</si>
  <si>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</si>
  <si>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</si>
  <si>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</si>
  <si>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</si>
  <si>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</si>
  <si>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</si>
  <si>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</si>
  <si>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</si>
  <si>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</si>
  <si>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</si>
  <si>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</si>
  <si>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</si>
  <si>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</si>
  <si>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</si>
  <si>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</si>
  <si>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</si>
  <si>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</si>
  <si>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</si>
  <si>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</si>
  <si>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</si>
  <si>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</si>
  <si>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</si>
  <si>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</si>
  <si>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</si>
  <si>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</si>
  <si>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</si>
  <si>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</si>
  <si>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</si>
  <si>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</si>
  <si>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</si>
  <si>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</si>
  <si>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</si>
  <si>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</si>
  <si>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</si>
  <si>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</si>
  <si>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</si>
  <si>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</si>
  <si>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</si>
  <si>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</si>
  <si>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</si>
  <si>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</si>
  <si>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</si>
  <si>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</si>
  <si>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</si>
  <si>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</si>
  <si>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</si>
  <si>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</si>
  <si>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</si>
  <si>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</si>
  <si>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</si>
  <si>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</si>
  <si>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</si>
  <si>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</si>
  <si>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</si>
  <si>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</si>
  <si>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</si>
  <si>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</si>
  <si>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</si>
  <si>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</si>
  <si>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</si>
  <si>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</si>
  <si>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</si>
  <si>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</si>
  <si>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</si>
  <si>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</si>
  <si>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</si>
  <si>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</si>
  <si>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</si>
  <si>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</si>
  <si>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</si>
  <si>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</si>
  <si>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</si>
  <si>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</si>
  <si>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</si>
  <si>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</si>
  <si>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</si>
  <si>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</si>
  <si>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</si>
  <si>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</si>
  <si>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</si>
  <si>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</si>
  <si>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</si>
  <si>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</si>
  <si>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</si>
  <si>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</si>
  <si>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</si>
  <si>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</si>
  <si>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</si>
  <si>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</si>
  <si>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</si>
  <si>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</si>
  <si>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</si>
  <si>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</si>
  <si>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</si>
  <si>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</si>
  <si>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</si>
  <si>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</si>
  <si>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</si>
  <si>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</si>
  <si>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</si>
  <si>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</si>
  <si>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</si>
  <si>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</si>
  <si>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</si>
  <si>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</si>
  <si>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</si>
  <si>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</si>
  <si>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</si>
  <si>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</si>
  <si>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</si>
  <si>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</si>
  <si>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</si>
  <si>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</si>
  <si>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</si>
  <si>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</si>
  <si>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</si>
  <si>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</si>
  <si>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</si>
  <si>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</si>
  <si>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</si>
  <si>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</si>
  <si>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</si>
  <si>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</si>
  <si>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</si>
  <si>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</si>
  <si>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</si>
  <si>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</si>
  <si>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</si>
  <si>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</si>
  <si>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</si>
  <si>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</si>
  <si>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</si>
  <si>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</si>
  <si>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</si>
  <si>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</si>
  <si>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</si>
  <si>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</si>
  <si>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</si>
  <si>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</si>
  <si>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</si>
  <si>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</si>
  <si>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</si>
  <si>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</si>
  <si>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</si>
  <si>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</si>
  <si>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</si>
  <si>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</si>
  <si>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</si>
  <si>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</si>
  <si>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</si>
  <si>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</si>
  <si>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</si>
  <si>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</si>
  <si>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</si>
  <si>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</si>
  <si>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</si>
  <si>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</si>
  <si>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</si>
  <si>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</si>
  <si>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</si>
  <si>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</si>
  <si>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</si>
  <si>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</si>
  <si>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</si>
  <si>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</si>
  <si>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</si>
  <si>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</si>
  <si>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</si>
  <si>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</si>
  <si>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</si>
  <si>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</si>
  <si>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</si>
  <si>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</si>
  <si>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</si>
  <si>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</si>
  <si>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</si>
  <si>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</si>
  <si>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</si>
  <si>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</si>
  <si>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</si>
  <si>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</si>
  <si>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</si>
  <si>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</si>
  <si>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</si>
  <si>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</si>
  <si>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</si>
  <si>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</si>
  <si>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</si>
  <si>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</si>
  <si>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</si>
  <si>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</si>
  <si>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</si>
  <si>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</si>
  <si>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</si>
  <si>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</si>
  <si>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</si>
  <si>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</si>
  <si>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</si>
  <si>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</si>
  <si>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</si>
  <si>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</si>
  <si>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</si>
  <si>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</si>
  <si>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</si>
  <si>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</si>
  <si>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</si>
  <si>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</si>
  <si>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</si>
  <si>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</si>
  <si>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</si>
  <si>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</si>
  <si>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</si>
  <si>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</si>
  <si>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</si>
  <si>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</si>
  <si>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</si>
  <si>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</si>
  <si>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</si>
  <si>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</si>
  <si>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</si>
  <si>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</si>
  <si>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</si>
  <si>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</si>
  <si>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</si>
  <si>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</si>
  <si>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</si>
  <si>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</si>
  <si>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</si>
  <si>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</si>
  <si>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</si>
  <si>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</si>
  <si>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</si>
  <si>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</si>
  <si>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</si>
  <si>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</si>
  <si>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</si>
  <si>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</si>
  <si>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</si>
  <si>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</si>
  <si>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</si>
  <si>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</si>
  <si>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</si>
  <si>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</si>
  <si>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</si>
  <si>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</si>
  <si>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</si>
  <si>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</si>
  <si>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</si>
  <si>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</si>
  <si>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</si>
  <si>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</si>
  <si>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</si>
  <si>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</si>
  <si>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</si>
  <si>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</si>
  <si>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</si>
  <si>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</si>
  <si>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</si>
  <si>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</si>
  <si>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</si>
  <si>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</si>
  <si>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</si>
  <si>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</si>
  <si>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</si>
  <si>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</si>
  <si>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</si>
  <si>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</si>
  <si>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</si>
  <si>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</si>
  <si>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</si>
  <si>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</si>
  <si>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</si>
  <si>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</si>
  <si>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</si>
  <si>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</si>
  <si>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</si>
  <si>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</si>
  <si>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</si>
  <si>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</si>
  <si>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</si>
  <si>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</si>
  <si>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</si>
  <si>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</si>
  <si>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</si>
  <si>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</si>
  <si>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</si>
  <si>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</si>
  <si>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</si>
  <si>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</si>
  <si>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</si>
  <si>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</si>
  <si>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</si>
  <si>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</si>
  <si>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</si>
  <si>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</si>
  <si>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</si>
  <si>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</si>
  <si>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</si>
  <si>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</si>
  <si>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</si>
  <si>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</si>
  <si>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</si>
  <si>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</si>
  <si>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</si>
  <si>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</si>
  <si>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</si>
  <si>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</si>
  <si>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</si>
  <si>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</si>
  <si>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</si>
  <si>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</si>
  <si>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</si>
  <si>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</si>
  <si>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</si>
  <si>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</si>
  <si>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</si>
  <si>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</si>
  <si>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</si>
  <si>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</si>
  <si>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</si>
  <si>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</si>
  <si>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</si>
  <si>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</si>
  <si>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</si>
  <si>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</si>
  <si>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</si>
  <si>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</si>
  <si>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</si>
  <si>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</si>
  <si>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</si>
  <si>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</si>
  <si>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</si>
  <si>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</si>
  <si>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</si>
  <si>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</si>
  <si>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</si>
  <si>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</si>
  <si>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</si>
  <si>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</si>
  <si>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</si>
  <si>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</si>
  <si>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</si>
  <si>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</si>
  <si>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</si>
  <si>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</si>
  <si>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</si>
  <si>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</si>
  <si>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</si>
  <si>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</si>
  <si>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</si>
  <si>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</si>
  <si>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</si>
  <si>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</si>
  <si>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</si>
  <si>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</si>
  <si>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</si>
  <si>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</si>
  <si>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</si>
  <si>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</si>
  <si>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</si>
  <si>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</si>
  <si>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</si>
  <si>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</si>
  <si>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</si>
  <si>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</si>
  <si>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</si>
  <si>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</si>
  <si>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</si>
  <si>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</si>
  <si>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</si>
  <si>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</si>
  <si>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</si>
  <si>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</si>
  <si>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</si>
  <si>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</si>
  <si>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</si>
  <si>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</si>
  <si>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</si>
  <si>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</si>
  <si>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</si>
  <si>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</si>
  <si>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</si>
  <si>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</si>
  <si>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</si>
  <si>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</si>
  <si>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</si>
  <si>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</si>
  <si>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</si>
  <si>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</si>
  <si>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</si>
  <si>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</si>
  <si>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</si>
  <si>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</si>
  <si>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</si>
  <si>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</si>
  <si>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</si>
  <si>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</si>
  <si>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</si>
  <si>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</si>
  <si>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</si>
  <si>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</si>
  <si>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</si>
  <si>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</si>
  <si>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</si>
  <si>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</si>
  <si>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</si>
  <si>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</si>
  <si>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</si>
  <si>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</si>
  <si>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</si>
  <si>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</si>
  <si>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</si>
  <si>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</si>
  <si>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</si>
  <si>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</si>
  <si>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</si>
  <si>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</si>
  <si>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</si>
  <si>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</si>
  <si>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</si>
  <si>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</si>
  <si>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</si>
  <si>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</si>
  <si>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</si>
  <si>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</si>
  <si>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</si>
  <si>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</si>
  <si>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</si>
  <si>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</si>
  <si>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</si>
  <si>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</si>
  <si>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</si>
  <si>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</si>
  <si>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</si>
  <si>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</si>
  <si>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</si>
  <si>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</si>
  <si>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</si>
  <si>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</si>
  <si>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</si>
  <si>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</si>
  <si>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</si>
  <si>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</si>
  <si>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</si>
  <si>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</si>
  <si>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</si>
  <si>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</si>
  <si>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</si>
  <si>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</si>
  <si>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</si>
  <si>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</si>
  <si>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</si>
  <si>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</si>
  <si>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</si>
  <si>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</si>
  <si>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</si>
  <si>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</si>
  <si>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</si>
  <si>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</si>
  <si>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</si>
  <si>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</si>
  <si>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</si>
  <si>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</si>
  <si>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</si>
  <si>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</si>
  <si>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</si>
  <si>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</si>
  <si>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</si>
  <si>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</si>
  <si>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</si>
  <si>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</si>
  <si>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</si>
  <si>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</si>
  <si>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</si>
  <si>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</si>
  <si>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</si>
  <si>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</si>
  <si>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</si>
  <si>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</si>
  <si>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</si>
  <si>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</si>
  <si>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</si>
  <si>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</si>
  <si>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</si>
  <si>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</si>
  <si>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</si>
  <si>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</si>
  <si>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</si>
  <si>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</si>
  <si>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</si>
  <si>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</si>
  <si>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</si>
  <si>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</si>
  <si>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</si>
  <si>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</si>
  <si>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</si>
  <si>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</si>
  <si>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</si>
  <si>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</si>
  <si>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</si>
  <si>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</si>
  <si>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</si>
  <si>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</si>
  <si>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</si>
  <si>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</si>
  <si>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</si>
  <si>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</si>
  <si>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</si>
  <si>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</si>
  <si>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</si>
  <si>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</si>
  <si>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</si>
  <si>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</si>
  <si>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</si>
  <si>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</si>
  <si>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</si>
  <si>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</si>
  <si>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</si>
  <si>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</si>
  <si>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</si>
  <si>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</si>
  <si>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</si>
  <si>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</si>
  <si>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</si>
  <si>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</si>
  <si>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</si>
  <si>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</si>
  <si>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</si>
  <si>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</si>
  <si>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</si>
  <si>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</si>
  <si>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</si>
  <si>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</si>
  <si>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</si>
  <si>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</si>
  <si>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</si>
  <si>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</si>
  <si>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</si>
  <si>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</si>
  <si>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</si>
  <si>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</si>
  <si>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</si>
  <si>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</si>
  <si>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</si>
  <si>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</si>
  <si>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</si>
  <si>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</si>
  <si>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</si>
  <si>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</si>
  <si>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</si>
  <si>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</si>
  <si>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</si>
  <si>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</si>
  <si>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</si>
  <si>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</si>
  <si>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</si>
  <si>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</si>
  <si>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</si>
  <si>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</si>
  <si>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</si>
  <si>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</si>
  <si>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</si>
  <si>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</si>
  <si>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</si>
  <si>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</si>
  <si>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</si>
  <si>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</si>
  <si>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</si>
  <si>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</si>
  <si>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</si>
  <si>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</si>
  <si>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</si>
  <si>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</si>
  <si>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</si>
  <si>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</si>
  <si>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</si>
  <si>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</si>
  <si>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</si>
  <si>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</si>
  <si>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</si>
  <si>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</si>
  <si>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</si>
  <si>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</si>
  <si>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</si>
  <si>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</si>
  <si>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</si>
  <si>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</si>
  <si>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</si>
  <si>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</si>
  <si>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</si>
  <si>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</si>
  <si>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</si>
  <si>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</si>
  <si>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</si>
  <si>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</si>
  <si>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</si>
  <si>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</si>
  <si>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</si>
  <si>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</si>
  <si>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</si>
  <si>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</si>
  <si>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</si>
  <si>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</si>
  <si>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</si>
  <si>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</si>
  <si>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</si>
  <si>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</si>
  <si>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</si>
  <si>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</si>
  <si>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</si>
  <si>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</si>
  <si>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</si>
  <si>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</si>
  <si>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</si>
  <si>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</si>
  <si>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</si>
  <si>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</si>
  <si>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</si>
  <si>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</si>
  <si>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</si>
  <si>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</si>
  <si>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</si>
  <si>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</si>
  <si>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</si>
  <si>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</si>
  <si>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</si>
  <si>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</si>
  <si>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</si>
  <si>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</si>
  <si>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</si>
  <si>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</si>
  <si>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</si>
  <si>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</si>
  <si>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</si>
  <si>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</si>
  <si>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</si>
  <si>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</si>
  <si>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</si>
  <si>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</si>
  <si>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</si>
  <si>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</si>
  <si>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</si>
  <si>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</si>
  <si>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</si>
  <si>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</si>
  <si>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</si>
  <si>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</si>
  <si>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</si>
  <si>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</si>
  <si>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</si>
  <si>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</si>
  <si>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</si>
  <si>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</si>
  <si>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</si>
  <si>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</si>
  <si>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</si>
  <si>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Wipfli LLP</t>
  </si>
  <si>
    <t>Matthew Schueler</t>
  </si>
  <si>
    <t>403 East Third</t>
  </si>
  <si>
    <t>Sterling</t>
  </si>
  <si>
    <t>Illinois</t>
  </si>
  <si>
    <t>815-626-1277</t>
  </si>
  <si>
    <t>815-626-9118</t>
  </si>
  <si>
    <t>066-004023</t>
  </si>
  <si>
    <t>mschueler@wipfli.com</t>
  </si>
  <si>
    <t>East Moline School District #37</t>
  </si>
  <si>
    <t>49-081-0370-02</t>
  </si>
  <si>
    <t>CFDA#</t>
  </si>
  <si>
    <t>Identifying Number</t>
  </si>
  <si>
    <t>Grant Term</t>
  </si>
  <si>
    <t>Obligations</t>
  </si>
  <si>
    <t>Total Expenses</t>
  </si>
  <si>
    <t>Final Status</t>
  </si>
  <si>
    <t>US Dept of Agriculture</t>
  </si>
  <si>
    <t>Pass-thru: IL State Board of Education</t>
  </si>
  <si>
    <t>Child Nutrition Cluster (M)</t>
  </si>
  <si>
    <t>n/a</t>
  </si>
  <si>
    <t>16-4220-00</t>
  </si>
  <si>
    <t>09/01/15-10/15/16</t>
  </si>
  <si>
    <t>17-4220-00</t>
  </si>
  <si>
    <t>09/01/16-09/30/17</t>
  </si>
  <si>
    <t>16-4210-00</t>
  </si>
  <si>
    <t>17-4210-00</t>
  </si>
  <si>
    <t>Food Commodities</t>
  </si>
  <si>
    <t>Dept of Defense Fresf Fruit &amp; Vegetables</t>
  </si>
  <si>
    <t>17-49081037002</t>
  </si>
  <si>
    <t>16-4215-00</t>
  </si>
  <si>
    <t>Fresh Fruits and Vegetables</t>
  </si>
  <si>
    <t>07/01/16-09/30/17</t>
  </si>
  <si>
    <t>TOTAL US Dept of Agriculture</t>
  </si>
  <si>
    <t>US Dept of Education</t>
  </si>
  <si>
    <t>84.010</t>
  </si>
  <si>
    <t>16-4300-00</t>
  </si>
  <si>
    <t>09/29/15-08/31/16</t>
  </si>
  <si>
    <t>17-4300-00</t>
  </si>
  <si>
    <t>07/01/16-08/31/17</t>
  </si>
  <si>
    <t>Special Education Grant</t>
  </si>
  <si>
    <t>Pass-thru: Blackhawk Area Special Ed Coop</t>
  </si>
  <si>
    <t xml:space="preserve">Special Ed IDEA - Flow-through </t>
  </si>
  <si>
    <t>16-4620-00</t>
  </si>
  <si>
    <t>07/01/15-08/30/16</t>
  </si>
  <si>
    <t>17-4620-00</t>
  </si>
  <si>
    <t>07/01/16-08/30/17</t>
  </si>
  <si>
    <t>Special Education (IDEA) Cluster</t>
  </si>
  <si>
    <t>Pass-thru grantor: IL State Board of Education</t>
  </si>
  <si>
    <t>Special Ed IDEA - Flow-through</t>
  </si>
  <si>
    <t>16-4625-XC</t>
  </si>
  <si>
    <t>09/1/15-08/31/16</t>
  </si>
  <si>
    <t>Pass-thru: Rock Island County Regional Office of Education</t>
  </si>
  <si>
    <t>21st Century Community Learning Centers</t>
  </si>
  <si>
    <t>Lights on for Learning at Glenview Middle School</t>
  </si>
  <si>
    <t>16-4421-22</t>
  </si>
  <si>
    <t>07/01/15-08/31/16</t>
  </si>
  <si>
    <t>17-4421-25</t>
  </si>
  <si>
    <t>English Language Acquisition State Grants</t>
  </si>
  <si>
    <t>Title III - Immigrant Education Program</t>
  </si>
  <si>
    <t>16-4905-00</t>
  </si>
  <si>
    <t>09/01/15-08/31/16</t>
  </si>
  <si>
    <t>17-4905-00</t>
  </si>
  <si>
    <t>09/01/16-08/31/17</t>
  </si>
  <si>
    <t>Title III - Language Instruction Program - Limited English</t>
  </si>
  <si>
    <t>84.365</t>
  </si>
  <si>
    <t>16-4909-00</t>
  </si>
  <si>
    <t>17-4909-00</t>
  </si>
  <si>
    <t>English Language Acquisition State Grant</t>
  </si>
  <si>
    <t>84.365A</t>
  </si>
  <si>
    <t>Title III - Bilingual Educational Excellence Grant</t>
  </si>
  <si>
    <t>16-4998-EI</t>
  </si>
  <si>
    <t>05/01/16-9/30/16</t>
  </si>
  <si>
    <t>Title II - Improving Teacher Quality</t>
  </si>
  <si>
    <t>16-4932-00</t>
  </si>
  <si>
    <t>17-4932-00</t>
  </si>
  <si>
    <t>TOTAL US Dept of Education</t>
  </si>
  <si>
    <t>US Dept of Health and Human Services</t>
  </si>
  <si>
    <t>Pass-thru: IL Dept of Healthcare and Family Services</t>
  </si>
  <si>
    <t>Medical Assistance Program</t>
  </si>
  <si>
    <t>Medicaid Outreach</t>
  </si>
  <si>
    <t>FY2016</t>
  </si>
  <si>
    <t>07/01/15-06/30/16</t>
  </si>
  <si>
    <t>FY2017</t>
  </si>
  <si>
    <t>07/01/16-06/30/17</t>
  </si>
  <si>
    <t>TOTAL US Dept of Health and Human Services</t>
  </si>
  <si>
    <t>TOTALS</t>
  </si>
  <si>
    <t>(M)  Major Program</t>
  </si>
  <si>
    <t>x</t>
  </si>
  <si>
    <t>Rock Island</t>
  </si>
  <si>
    <t>3451 Morton Drive</t>
  </si>
  <si>
    <t xml:space="preserve">East Moline </t>
  </si>
  <si>
    <t>khumphries@emsd37.org</t>
  </si>
  <si>
    <t>Kristin Humphries</t>
  </si>
  <si>
    <t>309-792-2887</t>
  </si>
  <si>
    <t>309-792-6008</t>
  </si>
  <si>
    <t>Year Ended June 30, 2018</t>
  </si>
  <si>
    <t>18-4220-00</t>
  </si>
  <si>
    <t>09/01/17-09/30/18</t>
  </si>
  <si>
    <t>18-4210-00</t>
  </si>
  <si>
    <t>18-49081037002</t>
  </si>
  <si>
    <t>17-4240-16</t>
  </si>
  <si>
    <t>17-4240-17</t>
  </si>
  <si>
    <t>18-4240-17</t>
  </si>
  <si>
    <t>18-4240-18</t>
  </si>
  <si>
    <t>07/01/17-09/30/18</t>
  </si>
  <si>
    <t>18-4300-00</t>
  </si>
  <si>
    <t>07/01/17-08/31/18</t>
  </si>
  <si>
    <t>18-4620-00</t>
  </si>
  <si>
    <t>07/01/17-08/30/18</t>
  </si>
  <si>
    <t>17-4625-XC</t>
  </si>
  <si>
    <t>09/1/16-08/31/17</t>
  </si>
  <si>
    <t>18-4421-25</t>
  </si>
  <si>
    <t>18-4905-00</t>
  </si>
  <si>
    <t>09/01/17-08/31/18</t>
  </si>
  <si>
    <t>18-4909-00</t>
  </si>
  <si>
    <t>17-4998-EI</t>
  </si>
  <si>
    <t>18-4932-00</t>
  </si>
  <si>
    <t>FY2018</t>
  </si>
  <si>
    <t>07/01/17-06/30/18</t>
  </si>
  <si>
    <t>Page 11 - Capital Projects Fund - Acct #1999 : $321,766 Energy Rebates</t>
  </si>
  <si>
    <t>Page 19 - IMRF Fund - Acct #2190 : $25,373 - crossing guards and playground aides employee benefits</t>
  </si>
  <si>
    <t>Page 11 - IMRF Fund - Acct #1999 : $127 Miscellaneous revenue</t>
  </si>
  <si>
    <t>Page 11 - Transportation Fund - Acct #1999 : $20,347 Miscellaneous revenue</t>
  </si>
  <si>
    <t>Page 18 - Debt Services Fund - Acct #5400 : $1,900 - bank fees</t>
  </si>
  <si>
    <t>Page 11 - Operations &amp; Maintenance Fund - Acct #1999 : $92,148 payments from Silvis SD</t>
  </si>
  <si>
    <t>Page 11 - Educational Fund - Acct #1690 : $135 Miscellaneous food service</t>
  </si>
  <si>
    <t>Page 11 - Educational Fund - Acct #1999 : $3,709 Miscellaneous local revenues</t>
  </si>
  <si>
    <t>Page 12 - Educational Fund - Acct #3999 : $3,683 - Misc. Library Fee</t>
  </si>
  <si>
    <t>Page 15 - Educational Fund - Acct #2190 : $181,594 - crossing guard and playground aide salaries and employee benefits</t>
  </si>
  <si>
    <t>X</t>
  </si>
  <si>
    <t>N/A</t>
  </si>
  <si>
    <t>Black Hawk Area Education District</t>
  </si>
  <si>
    <t>Hampton School District #29, United Township School District #30, Silvis School District #34, Carbon Cliff School District #36, East Moline School District #37,</t>
  </si>
  <si>
    <t xml:space="preserve">Rock Island School District #41, Riverdale School District #100, Colona School District #190, Sherrard School District #200, Mercer County School District #404, </t>
  </si>
  <si>
    <t>Orion School District #223, Alwood School District #225, Rockridge School District #300, Moline-Coal Valley School District #40</t>
  </si>
  <si>
    <t>The accompanying Schedule of Expenditures of Federal Awards includes the federal grant activity of East Moline School District No. 37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</si>
  <si>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East Moline School District No. 37 provided federal awards to subrecipients as follows:</t>
  </si>
  <si>
    <r>
      <t xml:space="preserve">The following amounts were expended in the form of non-cash assistance by East Moline School District No. 37 and </t>
    </r>
    <r>
      <rPr>
        <b/>
        <sz val="9"/>
        <rFont val="Calibri"/>
        <family val="2"/>
        <scheme val="minor"/>
      </rPr>
      <t>should be</t>
    </r>
    <r>
      <rPr>
        <sz val="9"/>
        <rFont val="Calibri"/>
        <family val="2"/>
        <scheme val="minor"/>
      </rPr>
      <t xml:space="preserve"> included in the Schedule of Expenditures of Federal Awards:</t>
    </r>
  </si>
  <si>
    <t>Revenue (7/1/16-6/30/17)</t>
  </si>
  <si>
    <t>Revenue (7/1/17-6/30/18)</t>
  </si>
  <si>
    <t>Expenditures (7/1/17-6/30/18)</t>
  </si>
  <si>
    <t>Passed Through to Subrecipients (7/1/16-6/30/17)</t>
  </si>
  <si>
    <t>Passed Through to Subrecipients (7/1/17-6/30/18)</t>
  </si>
  <si>
    <t>PROGRAMS - NON LOAN PROGRAMS</t>
  </si>
  <si>
    <t>(M)</t>
  </si>
  <si>
    <t>Expenditures (7/1/16-6/30/17</t>
  </si>
  <si>
    <t>Title I, Part A Cluster</t>
  </si>
  <si>
    <t>09/01/17-09/31/18</t>
  </si>
  <si>
    <t>Medicaid Outreach Admin Assessment FY17</t>
  </si>
  <si>
    <t>Medicaid Outreach Admin Assessment FY18</t>
  </si>
  <si>
    <t>Rounding</t>
  </si>
  <si>
    <t>Unmodified</t>
  </si>
  <si>
    <t>10.553, 10.555, 10.556</t>
  </si>
  <si>
    <t>Child Nutrition Cluster</t>
  </si>
  <si>
    <t>Management is responsible for establishing and maintaining internal controls and for the fair presentation of the financial statements including the related disclosures, in conformity with the modified cash basis of accounting, which is a basis of accounting other than U.S. generally accepted accounting principles (GAAP).</t>
  </si>
  <si>
    <t>The District does not have an internal control policy in place over annual financial reporting that would enable management to prepare its annual financial statements and ensure related footnote disclosures are complete and presented in accordance with the modified cash basis of accounting.</t>
  </si>
  <si>
    <t>Management has informed us that they do not have an internal control policy in place over the annual financial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</si>
  <si>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</si>
  <si>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</si>
  <si>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</si>
  <si>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prepared by the external auditors.  The District believes this process to be the most economical and appropriate to help ensure complete and proper financial reporting.</t>
  </si>
  <si>
    <t>2017-001</t>
  </si>
  <si>
    <t xml:space="preserve">Financial statements drafted by auditors. </t>
  </si>
  <si>
    <t xml:space="preserve">No plan, not cost feasible to add staff. </t>
  </si>
  <si>
    <t>2016-001</t>
  </si>
  <si>
    <t>General Obligation Series 2013A</t>
  </si>
  <si>
    <t>General Obligation Series 2014</t>
  </si>
  <si>
    <t>General Obligation Series 2015</t>
  </si>
  <si>
    <t>General Obligation Series 2016</t>
  </si>
  <si>
    <t>General Obligation (Alternate Revenue Source) Series 2017A</t>
  </si>
  <si>
    <t>General Obligation (Alternate Revenue Source) Series 2017B</t>
  </si>
  <si>
    <t>D.  $10,845,000 of the long-term debt outstanding are General Obligation (Alternate Revenue Source) Bonds</t>
  </si>
  <si>
    <t>PDF in Opinion Page with signature</t>
  </si>
  <si>
    <t>East Moline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</si>
</sst>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2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b/>
      <sz val="10"/>
      <color theme="1"/>
      <name val="Arial"/>
      <family val="2"/>
    </font>
    <font>
      <sz val="10"/>
      <color theme="0"/>
      <name val="Arial"/>
      <family val="2"/>
    </font>
    <font>
      <sz val="11"/>
      <color rgb="FF9C6500"/>
      <name val="Calibri"/>
      <family val="2"/>
      <scheme val="minor"/>
    </font>
    <font>
      <b/>
      <sz val="18"/>
      <color theme="3"/>
      <name val="Cambria"/>
      <family val="2"/>
      <scheme val="major"/>
    </font>
    <font>
      <sz val="10"/>
      <color indexed="8"/>
      <name val="Arial"/>
      <family val="2"/>
    </font>
    <font>
      <sz val="12"/>
      <name val="Times New Roman"/>
      <family val="1"/>
    </font>
    <font>
      <sz val="12"/>
      <name val="MartinGotURWTLig"/>
    </font>
    <font>
      <sz val="10"/>
      <color rgb="FF9C0006"/>
      <name val="Arial"/>
      <family val="2"/>
    </font>
    <font>
      <b/>
      <sz val="10"/>
      <color rgb="FFFA7D00"/>
      <name val="Arial"/>
      <family val="2"/>
    </font>
    <font>
      <b/>
      <sz val="10"/>
      <color theme="0"/>
      <name val="Arial"/>
      <family val="2"/>
    </font>
    <font>
      <sz val="11"/>
      <color theme="1"/>
      <name val="Times New Roman"/>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b/>
      <sz val="10"/>
      <color rgb="FF3F3F3F"/>
      <name val="Arial"/>
      <family val="2"/>
    </font>
    <font>
      <sz val="10"/>
      <color rgb="FFFF0000"/>
      <name val="Arial"/>
      <family val="2"/>
    </font>
    <font>
      <sz val="11"/>
      <color indexed="8"/>
      <name val="Calibri"/>
      <family val="2"/>
    </font>
    <font>
      <sz val="10"/>
      <name val="MS Sans Serif"/>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b/>
      <sz val="18"/>
      <color indexed="62"/>
      <name val="Cambria"/>
      <family val="2"/>
      <scheme val="major"/>
    </font>
    <font>
      <u/>
      <sz val="7.5"/>
      <color indexed="12"/>
      <name val="Arial"/>
      <family val="2"/>
    </font>
    <font>
      <sz val="10"/>
      <color indexed="8"/>
      <name val="Arial"/>
    </font>
    <font>
      <sz val="12"/>
      <name val="Arial"/>
    </font>
    <font>
      <sz val="12"/>
      <name val="Times New Roman"/>
    </font>
    <font>
      <sz val="10"/>
      <color indexed="8"/>
      <name val="ARIAL"/>
      <charset val="1"/>
    </font>
    <font>
      <u/>
      <sz val="10"/>
      <color indexed="12"/>
      <name val="Arial"/>
      <family val="2"/>
    </font>
    <font>
      <b/>
      <i/>
      <sz val="8"/>
      <color rgb="FFFF0000"/>
      <name val="Arial"/>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2"/>
    </font>
    <font>
      <b/>
      <i/>
      <sz val="11"/>
      <color rgb="FF000000"/>
      <name val="Times New Roman"/>
      <family val="2"/>
    </font>
    <font>
      <b/>
      <sz val="11"/>
      <color rgb="FF800080"/>
      <name val="Arial"/>
      <family val="2"/>
    </font>
    <font>
      <b/>
      <sz val="8"/>
      <color rgb="FF000000"/>
      <name val="Arial"/>
      <family val="2"/>
    </font>
    <font>
      <b/>
      <sz val="8"/>
      <color rgb="FF000000"/>
      <name val="Times New Roman"/>
      <family val="2"/>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1"/>
      <color theme="1"/>
      <name val="GIF89a_x0010_"/>
    </font>
    <font>
      <sz val="77"/>
      <color rgb="FF996600"/>
      <name val="3"/>
    </font>
    <font>
      <sz val="38"/>
      <color rgb="FF0066CC"/>
      <name val="ÿf"/>
    </font>
    <font>
      <sz val="11"/>
      <color theme="1"/>
      <name val="Times New Roman"/>
      <family val="1"/>
    </font>
    <font>
      <sz val="10"/>
      <color rgb="FF000000"/>
      <name val="Courier New"/>
      <family val="3"/>
    </font>
    <font>
      <b/>
      <sz val="8"/>
      <color rgb="FF0058CD"/>
      <name val="Courier New"/>
      <family val="3"/>
    </font>
    <font>
      <sz val="11"/>
      <color indexed="8"/>
      <name val="Times New Roman"/>
      <family val="2"/>
    </font>
  </fonts>
  <fills count="74">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4"/>
      </patternFill>
    </fill>
  </fills>
  <borders count="18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top style="thin">
        <color indexed="56"/>
      </top>
      <bottom style="double">
        <color indexed="56"/>
      </bottom>
      <diagonal/>
    </border>
  </borders>
  <cellStyleXfs count="546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156" fillId="0" borderId="0" applyNumberFormat="0" applyFill="0" applyBorder="0" applyAlignment="0" applyProtection="0"/>
    <xf numFmtId="0" fontId="3" fillId="0" borderId="0"/>
    <xf numFmtId="0" fontId="151" fillId="36" borderId="0" applyNumberFormat="0" applyBorder="0" applyAlignment="0" applyProtection="0"/>
    <xf numFmtId="0" fontId="151" fillId="36" borderId="0" applyNumberFormat="0" applyBorder="0" applyAlignment="0" applyProtection="0"/>
    <xf numFmtId="0" fontId="3"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3"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3"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8" borderId="0" applyNumberFormat="0" applyBorder="0" applyAlignment="0" applyProtection="0"/>
    <xf numFmtId="0" fontId="151" fillId="48" borderId="0" applyNumberFormat="0" applyBorder="0" applyAlignment="0" applyProtection="0"/>
    <xf numFmtId="0" fontId="3" fillId="48" borderId="0" applyNumberFormat="0" applyBorder="0" applyAlignment="0" applyProtection="0"/>
    <xf numFmtId="0" fontId="151" fillId="48" borderId="0" applyNumberFormat="0" applyBorder="0" applyAlignment="0" applyProtection="0"/>
    <xf numFmtId="0" fontId="151" fillId="48" borderId="0" applyNumberFormat="0" applyBorder="0" applyAlignment="0" applyProtection="0"/>
    <xf numFmtId="0" fontId="151" fillId="52" borderId="0" applyNumberFormat="0" applyBorder="0" applyAlignment="0" applyProtection="0"/>
    <xf numFmtId="0" fontId="151" fillId="52" borderId="0" applyNumberFormat="0" applyBorder="0" applyAlignment="0" applyProtection="0"/>
    <xf numFmtId="0" fontId="3" fillId="52" borderId="0" applyNumberFormat="0" applyBorder="0" applyAlignment="0" applyProtection="0"/>
    <xf numFmtId="0" fontId="151" fillId="52" borderId="0" applyNumberFormat="0" applyBorder="0" applyAlignment="0" applyProtection="0"/>
    <xf numFmtId="0" fontId="151" fillId="52"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3" fillId="56"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3"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3"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3" fillId="45"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51" fillId="49" borderId="0" applyNumberFormat="0" applyBorder="0" applyAlignment="0" applyProtection="0"/>
    <xf numFmtId="0" fontId="151" fillId="49" borderId="0" applyNumberFormat="0" applyBorder="0" applyAlignment="0" applyProtection="0"/>
    <xf numFmtId="0" fontId="3" fillId="49" borderId="0" applyNumberFormat="0" applyBorder="0" applyAlignment="0" applyProtection="0"/>
    <xf numFmtId="0" fontId="151" fillId="49" borderId="0" applyNumberFormat="0" applyBorder="0" applyAlignment="0" applyProtection="0"/>
    <xf numFmtId="0" fontId="151" fillId="49" borderId="0" applyNumberFormat="0" applyBorder="0" applyAlignment="0" applyProtection="0"/>
    <xf numFmtId="0" fontId="151" fillId="53" borderId="0" applyNumberFormat="0" applyBorder="0" applyAlignment="0" applyProtection="0"/>
    <xf numFmtId="0" fontId="151" fillId="53" borderId="0" applyNumberFormat="0" applyBorder="0" applyAlignment="0" applyProtection="0"/>
    <xf numFmtId="0" fontId="3" fillId="53" borderId="0" applyNumberFormat="0" applyBorder="0" applyAlignment="0" applyProtection="0"/>
    <xf numFmtId="0" fontId="151" fillId="53" borderId="0" applyNumberFormat="0" applyBorder="0" applyAlignment="0" applyProtection="0"/>
    <xf numFmtId="0" fontId="151" fillId="53"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3" fillId="57"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3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42" borderId="0" applyNumberFormat="0" applyBorder="0" applyAlignment="0" applyProtection="0"/>
    <xf numFmtId="0" fontId="154" fillId="42" borderId="0" applyNumberFormat="0" applyBorder="0" applyAlignment="0" applyProtection="0"/>
    <xf numFmtId="0" fontId="134" fillId="42" borderId="0" applyNumberFormat="0" applyBorder="0" applyAlignment="0" applyProtection="0"/>
    <xf numFmtId="0" fontId="154" fillId="42" borderId="0" applyNumberFormat="0" applyBorder="0" applyAlignment="0" applyProtection="0"/>
    <xf numFmtId="0" fontId="154" fillId="42" borderId="0" applyNumberFormat="0" applyBorder="0" applyAlignment="0" applyProtection="0"/>
    <xf numFmtId="0" fontId="154" fillId="46" borderId="0" applyNumberFormat="0" applyBorder="0" applyAlignment="0" applyProtection="0"/>
    <xf numFmtId="0" fontId="154" fillId="46" borderId="0" applyNumberFormat="0" applyBorder="0" applyAlignment="0" applyProtection="0"/>
    <xf numFmtId="0" fontId="134" fillId="46" borderId="0" applyNumberFormat="0" applyBorder="0" applyAlignment="0" applyProtection="0"/>
    <xf numFmtId="0" fontId="154" fillId="46" borderId="0" applyNumberFormat="0" applyBorder="0" applyAlignment="0" applyProtection="0"/>
    <xf numFmtId="0" fontId="154" fillId="46" borderId="0" applyNumberFormat="0" applyBorder="0" applyAlignment="0" applyProtection="0"/>
    <xf numFmtId="0" fontId="154" fillId="50" borderId="0" applyNumberFormat="0" applyBorder="0" applyAlignment="0" applyProtection="0"/>
    <xf numFmtId="0" fontId="154" fillId="50" borderId="0" applyNumberFormat="0" applyBorder="0" applyAlignment="0" applyProtection="0"/>
    <xf numFmtId="0" fontId="134" fillId="50" borderId="0" applyNumberFormat="0" applyBorder="0" applyAlignment="0" applyProtection="0"/>
    <xf numFmtId="0" fontId="154" fillId="50" borderId="0" applyNumberFormat="0" applyBorder="0" applyAlignment="0" applyProtection="0"/>
    <xf numFmtId="0" fontId="154" fillId="50"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3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3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5" borderId="0" applyNumberFormat="0" applyBorder="0" applyAlignment="0" applyProtection="0"/>
    <xf numFmtId="0" fontId="154" fillId="35" borderId="0" applyNumberFormat="0" applyBorder="0" applyAlignment="0" applyProtection="0"/>
    <xf numFmtId="0" fontId="134" fillId="35" borderId="0" applyNumberFormat="0" applyBorder="0" applyAlignment="0" applyProtection="0"/>
    <xf numFmtId="0" fontId="154" fillId="35" borderId="0" applyNumberFormat="0" applyBorder="0" applyAlignment="0" applyProtection="0"/>
    <xf numFmtId="0" fontId="154" fillId="35"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3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34" fillId="43" borderId="0" applyNumberFormat="0" applyBorder="0" applyAlignment="0" applyProtection="0"/>
    <xf numFmtId="0" fontId="154" fillId="43" borderId="0" applyNumberFormat="0" applyBorder="0" applyAlignment="0" applyProtection="0"/>
    <xf numFmtId="0" fontId="154" fillId="43"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3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51" borderId="0" applyNumberFormat="0" applyBorder="0" applyAlignment="0" applyProtection="0"/>
    <xf numFmtId="0" fontId="154" fillId="51" borderId="0" applyNumberFormat="0" applyBorder="0" applyAlignment="0" applyProtection="0"/>
    <xf numFmtId="0" fontId="134" fillId="51" borderId="0" applyNumberFormat="0" applyBorder="0" applyAlignment="0" applyProtection="0"/>
    <xf numFmtId="0" fontId="154" fillId="51" borderId="0" applyNumberFormat="0" applyBorder="0" applyAlignment="0" applyProtection="0"/>
    <xf numFmtId="0" fontId="154" fillId="51"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3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60" fillId="29" borderId="0" applyNumberFormat="0" applyBorder="0" applyAlignment="0" applyProtection="0"/>
    <xf numFmtId="0" fontId="160" fillId="29" borderId="0" applyNumberFormat="0" applyBorder="0" applyAlignment="0" applyProtection="0"/>
    <xf numFmtId="0" fontId="143" fillId="29" borderId="0" applyNumberFormat="0" applyBorder="0" applyAlignment="0" applyProtection="0"/>
    <xf numFmtId="0" fontId="160" fillId="29" borderId="0" applyNumberFormat="0" applyBorder="0" applyAlignment="0" applyProtection="0"/>
    <xf numFmtId="0" fontId="160" fillId="29" borderId="0" applyNumberFormat="0" applyBorder="0" applyAlignment="0" applyProtection="0"/>
    <xf numFmtId="0" fontId="161" fillId="32" borderId="169" applyNumberFormat="0" applyAlignment="0" applyProtection="0"/>
    <xf numFmtId="0" fontId="161" fillId="32" borderId="169" applyNumberFormat="0" applyAlignment="0" applyProtection="0"/>
    <xf numFmtId="0" fontId="146" fillId="32" borderId="169" applyNumberFormat="0" applyAlignment="0" applyProtection="0"/>
    <xf numFmtId="0" fontId="161" fillId="32" borderId="169" applyNumberFormat="0" applyAlignment="0" applyProtection="0"/>
    <xf numFmtId="0" fontId="161" fillId="32" borderId="169" applyNumberFormat="0" applyAlignment="0" applyProtection="0"/>
    <xf numFmtId="0" fontId="162" fillId="33" borderId="172" applyNumberFormat="0" applyAlignment="0" applyProtection="0"/>
    <xf numFmtId="0" fontId="162" fillId="33" borderId="172" applyNumberFormat="0" applyAlignment="0" applyProtection="0"/>
    <xf numFmtId="0" fontId="148" fillId="33" borderId="172" applyNumberFormat="0" applyAlignment="0" applyProtection="0"/>
    <xf numFmtId="0" fontId="162" fillId="33" borderId="172" applyNumberFormat="0" applyAlignment="0" applyProtection="0"/>
    <xf numFmtId="0" fontId="162" fillId="33" borderId="172" applyNumberFormat="0" applyAlignment="0" applyProtection="0"/>
    <xf numFmtId="43" fontId="45"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1"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0"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51" fillId="0" borderId="0" applyFont="0" applyFill="0" applyBorder="0" applyAlignment="0" applyProtection="0"/>
    <xf numFmtId="43" fontId="3"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8" fillId="0" borderId="0" applyFont="0" applyFill="0" applyBorder="0" applyAlignment="0" applyProtection="0"/>
    <xf numFmtId="43" fontId="163" fillId="0" borderId="0" applyFont="0" applyFill="0" applyBorder="0" applyAlignment="0" applyProtection="0"/>
    <xf numFmtId="43" fontId="18" fillId="0" borderId="0" applyFont="0" applyFill="0" applyBorder="0" applyAlignment="0" applyProtection="0"/>
    <xf numFmtId="43" fontId="16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6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3" fillId="0" borderId="0" applyFont="0" applyFill="0" applyBorder="0" applyAlignment="0" applyProtection="0"/>
    <xf numFmtId="43" fontId="158" fillId="0" borderId="0" applyFont="0" applyFill="0" applyBorder="0" applyAlignment="0" applyProtection="0"/>
    <xf numFmtId="43" fontId="3" fillId="0" borderId="0" applyFont="0" applyFill="0" applyBorder="0" applyAlignment="0" applyProtection="0"/>
    <xf numFmtId="43" fontId="15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3"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50"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28" borderId="0" applyNumberFormat="0" applyBorder="0" applyAlignment="0" applyProtection="0"/>
    <xf numFmtId="0" fontId="165" fillId="28" borderId="0" applyNumberFormat="0" applyBorder="0" applyAlignment="0" applyProtection="0"/>
    <xf numFmtId="0" fontId="142" fillId="28" borderId="0" applyNumberFormat="0" applyBorder="0" applyAlignment="0" applyProtection="0"/>
    <xf numFmtId="0" fontId="165" fillId="28" borderId="0" applyNumberFormat="0" applyBorder="0" applyAlignment="0" applyProtection="0"/>
    <xf numFmtId="0" fontId="165" fillId="28" borderId="0" applyNumberFormat="0" applyBorder="0" applyAlignment="0" applyProtection="0"/>
    <xf numFmtId="0" fontId="166" fillId="0" borderId="166" applyNumberFormat="0" applyFill="0" applyAlignment="0" applyProtection="0"/>
    <xf numFmtId="0" fontId="166" fillId="0" borderId="166" applyNumberFormat="0" applyFill="0" applyAlignment="0" applyProtection="0"/>
    <xf numFmtId="0" fontId="139" fillId="0" borderId="166" applyNumberFormat="0" applyFill="0" applyAlignment="0" applyProtection="0"/>
    <xf numFmtId="0" fontId="166" fillId="0" borderId="166" applyNumberFormat="0" applyFill="0" applyAlignment="0" applyProtection="0"/>
    <xf numFmtId="0" fontId="166" fillId="0" borderId="166"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140" fillId="0" borderId="167"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0" fontId="168" fillId="0" borderId="168" applyNumberFormat="0" applyFill="0" applyAlignment="0" applyProtection="0"/>
    <xf numFmtId="0" fontId="168" fillId="0" borderId="168" applyNumberFormat="0" applyFill="0" applyAlignment="0" applyProtection="0"/>
    <xf numFmtId="0" fontId="141" fillId="0" borderId="168" applyNumberFormat="0" applyFill="0" applyAlignment="0" applyProtection="0"/>
    <xf numFmtId="0" fontId="168" fillId="0" borderId="168" applyNumberFormat="0" applyFill="0" applyAlignment="0" applyProtection="0"/>
    <xf numFmtId="0" fontId="168" fillId="0" borderId="168" applyNumberFormat="0" applyFill="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41"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0" fillId="0" borderId="0"/>
    <xf numFmtId="0" fontId="169" fillId="31" borderId="169" applyNumberFormat="0" applyAlignment="0" applyProtection="0"/>
    <xf numFmtId="0" fontId="169" fillId="31" borderId="169" applyNumberFormat="0" applyAlignment="0" applyProtection="0"/>
    <xf numFmtId="0" fontId="144" fillId="31" borderId="169" applyNumberFormat="0" applyAlignment="0" applyProtection="0"/>
    <xf numFmtId="0" fontId="169" fillId="31" borderId="169" applyNumberFormat="0" applyAlignment="0" applyProtection="0"/>
    <xf numFmtId="0" fontId="169" fillId="31" borderId="169" applyNumberFormat="0" applyAlignment="0" applyProtection="0"/>
    <xf numFmtId="0" fontId="170" fillId="0" borderId="171" applyNumberFormat="0" applyFill="0" applyAlignment="0" applyProtection="0"/>
    <xf numFmtId="0" fontId="170" fillId="0" borderId="171" applyNumberFormat="0" applyFill="0" applyAlignment="0" applyProtection="0"/>
    <xf numFmtId="0" fontId="147" fillId="0" borderId="171" applyNumberFormat="0" applyFill="0" applyAlignment="0" applyProtection="0"/>
    <xf numFmtId="0" fontId="170" fillId="0" borderId="171" applyNumberFormat="0" applyFill="0" applyAlignment="0" applyProtection="0"/>
    <xf numFmtId="0" fontId="170" fillId="0" borderId="171" applyNumberFormat="0" applyFill="0" applyAlignment="0" applyProtection="0"/>
    <xf numFmtId="0" fontId="171" fillId="30" borderId="0" applyNumberFormat="0" applyBorder="0" applyAlignment="0" applyProtection="0"/>
    <xf numFmtId="0" fontId="171" fillId="30" borderId="0" applyNumberFormat="0" applyBorder="0" applyAlignment="0" applyProtection="0"/>
    <xf numFmtId="0" fontId="155" fillId="30" borderId="0" applyNumberFormat="0" applyBorder="0" applyAlignment="0" applyProtection="0"/>
    <xf numFmtId="0" fontId="171" fillId="30" borderId="0" applyNumberFormat="0" applyBorder="0" applyAlignment="0" applyProtection="0"/>
    <xf numFmtId="0" fontId="171" fillId="30" borderId="0" applyNumberFormat="0" applyBorder="0" applyAlignment="0" applyProtection="0"/>
    <xf numFmtId="0" fontId="158" fillId="0" borderId="0"/>
    <xf numFmtId="0" fontId="158" fillId="0" borderId="0"/>
    <xf numFmtId="0" fontId="158" fillId="0" borderId="0"/>
    <xf numFmtId="0" fontId="10" fillId="0" borderId="0"/>
    <xf numFmtId="0" fontId="3" fillId="0" borderId="0"/>
    <xf numFmtId="0" fontId="158" fillId="0" borderId="0"/>
    <xf numFmtId="0" fontId="158" fillId="0" borderId="0"/>
    <xf numFmtId="0" fontId="10"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0" fillId="0" borderId="0"/>
    <xf numFmtId="0" fontId="152" fillId="0" borderId="0"/>
    <xf numFmtId="0" fontId="152" fillId="0" borderId="0"/>
    <xf numFmtId="0" fontId="10" fillId="0" borderId="0"/>
    <xf numFmtId="0" fontId="3" fillId="0" borderId="0"/>
    <xf numFmtId="0" fontId="3" fillId="0" borderId="0"/>
    <xf numFmtId="0" fontId="45" fillId="0" borderId="0"/>
    <xf numFmtId="0" fontId="10" fillId="0" borderId="0"/>
    <xf numFmtId="0" fontId="10" fillId="0" borderId="0"/>
    <xf numFmtId="0" fontId="10" fillId="0" borderId="0"/>
    <xf numFmtId="0" fontId="151" fillId="0" borderId="0"/>
    <xf numFmtId="0" fontId="10" fillId="0" borderId="0"/>
    <xf numFmtId="0" fontId="45"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10" fillId="0" borderId="0"/>
    <xf numFmtId="0" fontId="10" fillId="0" borderId="0"/>
    <xf numFmtId="0" fontId="152" fillId="0" borderId="0"/>
    <xf numFmtId="0" fontId="10" fillId="0" borderId="0"/>
    <xf numFmtId="0" fontId="10" fillId="0" borderId="0"/>
    <xf numFmtId="0" fontId="10" fillId="0" borderId="0"/>
    <xf numFmtId="0" fontId="152" fillId="0" borderId="0"/>
    <xf numFmtId="0" fontId="10" fillId="0" borderId="0"/>
    <xf numFmtId="0" fontId="152" fillId="0" borderId="0"/>
    <xf numFmtId="0" fontId="10" fillId="0" borderId="0"/>
    <xf numFmtId="0" fontId="10" fillId="0" borderId="0"/>
    <xf numFmtId="0" fontId="10"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0" fillId="0" borderId="0"/>
    <xf numFmtId="0" fontId="10" fillId="0" borderId="0"/>
    <xf numFmtId="0" fontId="10" fillId="0" borderId="0"/>
    <xf numFmtId="0" fontId="152" fillId="0" borderId="0"/>
    <xf numFmtId="0" fontId="152" fillId="0" borderId="0"/>
    <xf numFmtId="0" fontId="10" fillId="0" borderId="0"/>
    <xf numFmtId="0" fontId="10" fillId="0" borderId="0"/>
    <xf numFmtId="0" fontId="10" fillId="0" borderId="0"/>
    <xf numFmtId="0" fontId="158" fillId="0" borderId="0"/>
    <xf numFmtId="0" fontId="10" fillId="0" borderId="0"/>
    <xf numFmtId="0" fontId="10" fillId="0" borderId="0"/>
    <xf numFmtId="0" fontId="18" fillId="0" borderId="0"/>
    <xf numFmtId="0" fontId="45" fillId="0" borderId="0"/>
    <xf numFmtId="0" fontId="152" fillId="0" borderId="0"/>
    <xf numFmtId="0" fontId="152" fillId="0" borderId="0"/>
    <xf numFmtId="0" fontId="152" fillId="0" borderId="0"/>
    <xf numFmtId="0" fontId="45" fillId="0" borderId="0"/>
    <xf numFmtId="0" fontId="152" fillId="0" borderId="0"/>
    <xf numFmtId="0" fontId="152" fillId="0" borderId="0"/>
    <xf numFmtId="0" fontId="45" fillId="0" borderId="0"/>
    <xf numFmtId="0" fontId="10" fillId="0" borderId="0"/>
    <xf numFmtId="0" fontId="10" fillId="0" borderId="0"/>
    <xf numFmtId="0" fontId="45" fillId="0" borderId="0"/>
    <xf numFmtId="0" fontId="152" fillId="0" borderId="0"/>
    <xf numFmtId="0" fontId="152" fillId="0" borderId="0"/>
    <xf numFmtId="0" fontId="45" fillId="0" borderId="0"/>
    <xf numFmtId="0" fontId="152" fillId="0" borderId="0"/>
    <xf numFmtId="0" fontId="10" fillId="0" borderId="0"/>
    <xf numFmtId="0" fontId="158" fillId="0" borderId="0"/>
    <xf numFmtId="0" fontId="158" fillId="0" borderId="0"/>
    <xf numFmtId="0" fontId="45" fillId="0" borderId="0"/>
    <xf numFmtId="0" fontId="152" fillId="0" borderId="0"/>
    <xf numFmtId="0" fontId="45" fillId="0" borderId="0"/>
    <xf numFmtId="0" fontId="45" fillId="0" borderId="0"/>
    <xf numFmtId="0" fontId="45" fillId="0" borderId="0"/>
    <xf numFmtId="0" fontId="10" fillId="0" borderId="0"/>
    <xf numFmtId="0" fontId="10" fillId="0" borderId="0"/>
    <xf numFmtId="0" fontId="10" fillId="0" borderId="0"/>
    <xf numFmtId="0" fontId="10" fillId="0" borderId="0"/>
    <xf numFmtId="0" fontId="45" fillId="0" borderId="0"/>
    <xf numFmtId="0" fontId="3" fillId="0" borderId="0"/>
    <xf numFmtId="0" fontId="3" fillId="0" borderId="0"/>
    <xf numFmtId="0" fontId="152" fillId="0" borderId="0"/>
    <xf numFmtId="0" fontId="152" fillId="0" borderId="0"/>
    <xf numFmtId="0" fontId="152" fillId="0" borderId="0"/>
    <xf numFmtId="0" fontId="10" fillId="0" borderId="0"/>
    <xf numFmtId="0" fontId="10" fillId="0" borderId="0"/>
    <xf numFmtId="0" fontId="152" fillId="0" borderId="0"/>
    <xf numFmtId="0" fontId="45" fillId="0" borderId="0"/>
    <xf numFmtId="0" fontId="18" fillId="0" borderId="0"/>
    <xf numFmtId="0" fontId="18" fillId="0" borderId="0"/>
    <xf numFmtId="0" fontId="45" fillId="0" borderId="0"/>
    <xf numFmtId="0" fontId="18" fillId="0" borderId="0"/>
    <xf numFmtId="0" fontId="18" fillId="0" borderId="0"/>
    <xf numFmtId="0" fontId="45" fillId="0" borderId="0"/>
    <xf numFmtId="0" fontId="152" fillId="0" borderId="0"/>
    <xf numFmtId="0" fontId="1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51" fillId="0" borderId="0"/>
    <xf numFmtId="0" fontId="158" fillId="0" borderId="0"/>
    <xf numFmtId="0" fontId="10" fillId="0" borderId="0"/>
    <xf numFmtId="0" fontId="158" fillId="0" borderId="0"/>
    <xf numFmtId="0" fontId="158"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0" fillId="0" borderId="0"/>
    <xf numFmtId="0" fontId="15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8" fillId="0" borderId="0"/>
    <xf numFmtId="0" fontId="152"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52" fillId="0" borderId="0"/>
    <xf numFmtId="0" fontId="152" fillId="0" borderId="0"/>
    <xf numFmtId="0" fontId="157" fillId="0" borderId="0"/>
    <xf numFmtId="0" fontId="157" fillId="0" borderId="0"/>
    <xf numFmtId="0" fontId="157" fillId="0" borderId="0"/>
    <xf numFmtId="0" fontId="157" fillId="0" borderId="0"/>
    <xf numFmtId="0" fontId="3" fillId="0" borderId="0"/>
    <xf numFmtId="0" fontId="157" fillId="0" borderId="0"/>
    <xf numFmtId="0" fontId="157" fillId="0" borderId="0"/>
    <xf numFmtId="0" fontId="157" fillId="0" borderId="0"/>
    <xf numFmtId="0" fontId="157" fillId="0" borderId="0"/>
    <xf numFmtId="0" fontId="159" fillId="0" borderId="0"/>
    <xf numFmtId="0" fontId="10" fillId="0" borderId="0"/>
    <xf numFmtId="0" fontId="10" fillId="0" borderId="0"/>
    <xf numFmtId="0" fontId="10" fillId="0" borderId="0"/>
    <xf numFmtId="0" fontId="10" fillId="0" borderId="0"/>
    <xf numFmtId="0" fontId="158" fillId="0" borderId="0"/>
    <xf numFmtId="0" fontId="3" fillId="0" borderId="0"/>
    <xf numFmtId="0" fontId="3" fillId="0" borderId="0"/>
    <xf numFmtId="0" fontId="10" fillId="0" borderId="0"/>
    <xf numFmtId="0" fontId="10" fillId="0" borderId="0"/>
    <xf numFmtId="0" fontId="45" fillId="0" borderId="0"/>
    <xf numFmtId="0" fontId="45" fillId="0" borderId="0"/>
    <xf numFmtId="0" fontId="157" fillId="0" borderId="0"/>
    <xf numFmtId="0" fontId="157" fillId="0" borderId="0"/>
    <xf numFmtId="0" fontId="157" fillId="0" borderId="0"/>
    <xf numFmtId="0" fontId="18" fillId="0" borderId="0"/>
    <xf numFmtId="0" fontId="18" fillId="0" borderId="0"/>
    <xf numFmtId="0" fontId="18" fillId="0" borderId="0"/>
    <xf numFmtId="0" fontId="1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8" fillId="0" borderId="0"/>
    <xf numFmtId="0" fontId="152" fillId="0" borderId="0"/>
    <xf numFmtId="0" fontId="18" fillId="0" borderId="0"/>
    <xf numFmtId="0" fontId="10" fillId="0" borderId="0"/>
    <xf numFmtId="0" fontId="158" fillId="0" borderId="0"/>
    <xf numFmtId="0" fontId="152" fillId="0" borderId="0"/>
    <xf numFmtId="0" fontId="158" fillId="0" borderId="0"/>
    <xf numFmtId="0" fontId="10" fillId="0" borderId="0"/>
    <xf numFmtId="0" fontId="158" fillId="0" borderId="0"/>
    <xf numFmtId="0" fontId="158" fillId="0" borderId="0"/>
    <xf numFmtId="0" fontId="10" fillId="0" borderId="0"/>
    <xf numFmtId="0" fontId="172" fillId="0" borderId="0"/>
    <xf numFmtId="0" fontId="172" fillId="0" borderId="0"/>
    <xf numFmtId="0" fontId="10" fillId="0" borderId="0"/>
    <xf numFmtId="0" fontId="152" fillId="0" borderId="0"/>
    <xf numFmtId="0" fontId="45" fillId="0" borderId="0"/>
    <xf numFmtId="0" fontId="152" fillId="0" borderId="0"/>
    <xf numFmtId="0" fontId="158" fillId="0" borderId="0"/>
    <xf numFmtId="0" fontId="18" fillId="0" borderId="0"/>
    <xf numFmtId="0" fontId="45" fillId="0" borderId="0"/>
    <xf numFmtId="0" fontId="18" fillId="0" borderId="0"/>
    <xf numFmtId="0" fontId="158" fillId="0" borderId="0"/>
    <xf numFmtId="0" fontId="158" fillId="0" borderId="0"/>
    <xf numFmtId="0" fontId="163" fillId="0" borderId="0"/>
    <xf numFmtId="0" fontId="158" fillId="0" borderId="0"/>
    <xf numFmtId="0" fontId="158" fillId="0" borderId="0"/>
    <xf numFmtId="0" fontId="158" fillId="0" borderId="0"/>
    <xf numFmtId="0" fontId="158" fillId="0" borderId="0"/>
    <xf numFmtId="0" fontId="158" fillId="0" borderId="0"/>
    <xf numFmtId="0" fontId="152" fillId="0" borderId="0"/>
    <xf numFmtId="0" fontId="158" fillId="0" borderId="0"/>
    <xf numFmtId="0" fontId="158" fillId="0" borderId="0"/>
    <xf numFmtId="0" fontId="152" fillId="0" borderId="0"/>
    <xf numFmtId="0" fontId="151" fillId="0" borderId="0"/>
    <xf numFmtId="0" fontId="151" fillId="0" borderId="0"/>
    <xf numFmtId="0" fontId="45" fillId="0" borderId="0"/>
    <xf numFmtId="0" fontId="10" fillId="0" borderId="0"/>
    <xf numFmtId="0" fontId="10" fillId="0" borderId="0"/>
    <xf numFmtId="0" fontId="10" fillId="0" borderId="0"/>
    <xf numFmtId="0" fontId="151" fillId="34" borderId="173" applyNumberFormat="0" applyFont="0" applyAlignment="0" applyProtection="0"/>
    <xf numFmtId="0" fontId="151" fillId="34" borderId="173" applyNumberFormat="0" applyFont="0" applyAlignment="0" applyProtection="0"/>
    <xf numFmtId="0" fontId="3"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73" fillId="32" borderId="170" applyNumberFormat="0" applyAlignment="0" applyProtection="0"/>
    <xf numFmtId="0" fontId="173" fillId="32" borderId="170" applyNumberFormat="0" applyAlignment="0" applyProtection="0"/>
    <xf numFmtId="0" fontId="145" fillId="32" borderId="170" applyNumberFormat="0" applyAlignment="0" applyProtection="0"/>
    <xf numFmtId="0" fontId="173" fillId="32" borderId="170" applyNumberFormat="0" applyAlignment="0" applyProtection="0"/>
    <xf numFmtId="0" fontId="173" fillId="32" borderId="17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0"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53" fillId="0" borderId="174" applyNumberFormat="0" applyFill="0" applyAlignment="0" applyProtection="0"/>
    <xf numFmtId="0" fontId="153" fillId="0" borderId="174" applyNumberFormat="0" applyFill="0" applyAlignment="0" applyProtection="0"/>
    <xf numFmtId="0" fontId="125" fillId="0" borderId="174" applyNumberFormat="0" applyFill="0" applyAlignment="0" applyProtection="0"/>
    <xf numFmtId="0" fontId="153" fillId="0" borderId="174" applyNumberFormat="0" applyFill="0" applyAlignment="0" applyProtection="0"/>
    <xf numFmtId="0" fontId="153" fillId="0" borderId="174"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9"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152" fillId="0" borderId="0"/>
    <xf numFmtId="0" fontId="10" fillId="0" borderId="0"/>
    <xf numFmtId="0" fontId="152" fillId="0" borderId="0"/>
    <xf numFmtId="0" fontId="152" fillId="0" borderId="0"/>
    <xf numFmtId="0" fontId="10" fillId="0" borderId="0"/>
    <xf numFmtId="0" fontId="10" fillId="0" borderId="0"/>
    <xf numFmtId="0" fontId="152" fillId="0" borderId="0"/>
    <xf numFmtId="0" fontId="10" fillId="0" borderId="0"/>
    <xf numFmtId="0" fontId="10" fillId="0" borderId="0"/>
    <xf numFmtId="0" fontId="152" fillId="0" borderId="0"/>
    <xf numFmtId="0" fontId="152" fillId="0" borderId="0"/>
    <xf numFmtId="0" fontId="10" fillId="0" borderId="0"/>
    <xf numFmtId="0" fontId="152" fillId="0" borderId="0"/>
    <xf numFmtId="0" fontId="152" fillId="0" borderId="0"/>
    <xf numFmtId="0" fontId="152" fillId="0" borderId="0"/>
    <xf numFmtId="0" fontId="10" fillId="0" borderId="0"/>
    <xf numFmtId="0" fontId="152" fillId="0" borderId="0"/>
    <xf numFmtId="0" fontId="10" fillId="0" borderId="0"/>
    <xf numFmtId="0" fontId="152" fillId="0" borderId="0"/>
    <xf numFmtId="0" fontId="10" fillId="0" borderId="0"/>
    <xf numFmtId="0" fontId="10" fillId="0" borderId="0"/>
    <xf numFmtId="0" fontId="10" fillId="0" borderId="0"/>
    <xf numFmtId="0" fontId="3" fillId="0" borderId="0"/>
    <xf numFmtId="0" fontId="10" fillId="0" borderId="0"/>
    <xf numFmtId="0" fontId="45" fillId="0" borderId="0"/>
    <xf numFmtId="0" fontId="10" fillId="0" borderId="0"/>
    <xf numFmtId="0" fontId="152" fillId="0" borderId="0"/>
    <xf numFmtId="0" fontId="158" fillId="0" borderId="0"/>
    <xf numFmtId="0" fontId="182" fillId="30" borderId="0" applyNumberFormat="0" applyBorder="0" applyAlignment="0" applyProtection="0"/>
    <xf numFmtId="0" fontId="171" fillId="30" borderId="0" applyNumberFormat="0" applyBorder="0" applyAlignment="0" applyProtection="0"/>
    <xf numFmtId="0" fontId="181" fillId="0" borderId="178" applyNumberFormat="0" applyFill="0" applyAlignment="0" applyProtection="0"/>
    <xf numFmtId="0" fontId="170" fillId="0" borderId="171" applyNumberFormat="0" applyFill="0" applyAlignment="0" applyProtection="0"/>
    <xf numFmtId="0" fontId="169" fillId="64" borderId="169" applyNumberFormat="0" applyAlignment="0" applyProtection="0"/>
    <xf numFmtId="0" fontId="169" fillId="31" borderId="169" applyNumberFormat="0" applyAlignment="0" applyProtection="0"/>
    <xf numFmtId="0" fontId="180" fillId="0" borderId="0" applyNumberFormat="0" applyFill="0" applyBorder="0" applyAlignment="0" applyProtection="0"/>
    <xf numFmtId="0" fontId="168" fillId="0" borderId="0" applyNumberFormat="0" applyFill="0" applyBorder="0" applyAlignment="0" applyProtection="0"/>
    <xf numFmtId="0" fontId="180" fillId="0" borderId="177" applyNumberFormat="0" applyFill="0" applyAlignment="0" applyProtection="0"/>
    <xf numFmtId="0" fontId="168" fillId="0" borderId="168" applyNumberFormat="0" applyFill="0" applyAlignment="0" applyProtection="0"/>
    <xf numFmtId="0" fontId="179" fillId="0" borderId="176" applyNumberFormat="0" applyFill="0" applyAlignment="0" applyProtection="0"/>
    <xf numFmtId="0" fontId="167" fillId="0" borderId="167" applyNumberFormat="0" applyFill="0" applyAlignment="0" applyProtection="0"/>
    <xf numFmtId="0" fontId="178" fillId="0" borderId="175" applyNumberFormat="0" applyFill="0" applyAlignment="0" applyProtection="0"/>
    <xf numFmtId="0" fontId="166" fillId="0" borderId="166" applyNumberFormat="0" applyFill="0" applyAlignment="0" applyProtection="0"/>
    <xf numFmtId="0" fontId="165" fillId="63" borderId="0" applyNumberFormat="0" applyBorder="0" applyAlignment="0" applyProtection="0"/>
    <xf numFmtId="0" fontId="165" fillId="28" borderId="0" applyNumberFormat="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75" fillId="0" borderId="0" applyFont="0" applyFill="0" applyBorder="0" applyAlignment="0" applyProtection="0"/>
    <xf numFmtId="43" fontId="3" fillId="0" borderId="0" applyFont="0" applyFill="0" applyBorder="0" applyAlignment="0" applyProtection="0"/>
    <xf numFmtId="43" fontId="158" fillId="0" borderId="0" applyFont="0" applyFill="0" applyBorder="0" applyAlignment="0" applyProtection="0"/>
    <xf numFmtId="43" fontId="1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76" fillId="0" borderId="0" applyFont="0" applyFill="0" applyBorder="0" applyAlignment="0" applyProtection="0"/>
    <xf numFmtId="43" fontId="18"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3" fillId="0" borderId="0" applyFont="0" applyFill="0" applyBorder="0" applyAlignment="0" applyProtection="0"/>
    <xf numFmtId="43" fontId="175"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7" fillId="0" borderId="0" applyFont="0" applyFill="0" applyBorder="0" applyAlignment="0" applyProtection="0"/>
    <xf numFmtId="43" fontId="151" fillId="0" borderId="0" applyFont="0" applyFill="0" applyBorder="0" applyAlignment="0" applyProtection="0"/>
    <xf numFmtId="43" fontId="175"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7" fillId="0" borderId="0" applyFont="0" applyFill="0" applyBorder="0" applyAlignment="0" applyProtection="0">
      <alignment vertical="top"/>
    </xf>
    <xf numFmtId="0" fontId="177" fillId="72" borderId="169" applyNumberFormat="0" applyAlignment="0" applyProtection="0"/>
    <xf numFmtId="0" fontId="161" fillId="32" borderId="169" applyNumberFormat="0" applyAlignment="0" applyProtection="0"/>
    <xf numFmtId="0" fontId="160" fillId="71" borderId="0" applyNumberFormat="0" applyBorder="0" applyAlignment="0" applyProtection="0"/>
    <xf numFmtId="0" fontId="160" fillId="29" borderId="0" applyNumberFormat="0" applyBorder="0" applyAlignment="0" applyProtection="0"/>
    <xf numFmtId="0" fontId="154" fillId="70" borderId="0" applyNumberFormat="0" applyBorder="0" applyAlignment="0" applyProtection="0"/>
    <xf numFmtId="0" fontId="154" fillId="55" borderId="0" applyNumberFormat="0" applyBorder="0" applyAlignment="0" applyProtection="0"/>
    <xf numFmtId="0" fontId="154" fillId="69" borderId="0" applyNumberFormat="0" applyBorder="0" applyAlignment="0" applyProtection="0"/>
    <xf numFmtId="0" fontId="154" fillId="47" borderId="0" applyNumberFormat="0" applyBorder="0" applyAlignment="0" applyProtection="0"/>
    <xf numFmtId="0" fontId="154" fillId="67" borderId="0" applyNumberFormat="0" applyBorder="0" applyAlignment="0" applyProtection="0"/>
    <xf numFmtId="0" fontId="154" fillId="43" borderId="0" applyNumberFormat="0" applyBorder="0" applyAlignment="0" applyProtection="0"/>
    <xf numFmtId="0" fontId="154" fillId="66" borderId="0" applyNumberFormat="0" applyBorder="0" applyAlignment="0" applyProtection="0"/>
    <xf numFmtId="0" fontId="154" fillId="39" borderId="0" applyNumberFormat="0" applyBorder="0" applyAlignment="0" applyProtection="0"/>
    <xf numFmtId="0" fontId="154" fillId="68" borderId="0" applyNumberFormat="0" applyBorder="0" applyAlignment="0" applyProtection="0"/>
    <xf numFmtId="0" fontId="154" fillId="35" borderId="0" applyNumberFormat="0" applyBorder="0" applyAlignment="0" applyProtection="0"/>
    <xf numFmtId="0" fontId="154" fillId="60"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54" borderId="0" applyNumberFormat="0" applyBorder="0" applyAlignment="0" applyProtection="0"/>
    <xf numFmtId="0" fontId="154" fillId="65" borderId="0" applyNumberFormat="0" applyBorder="0" applyAlignment="0" applyProtection="0"/>
    <xf numFmtId="0" fontId="154" fillId="50" borderId="0" applyNumberFormat="0" applyBorder="0" applyAlignment="0" applyProtection="0"/>
    <xf numFmtId="0" fontId="154" fillId="67" borderId="0" applyNumberFormat="0" applyBorder="0" applyAlignment="0" applyProtection="0"/>
    <xf numFmtId="0" fontId="154" fillId="46" borderId="0" applyNumberFormat="0" applyBorder="0" applyAlignment="0" applyProtection="0"/>
    <xf numFmtId="0" fontId="154" fillId="66" borderId="0" applyNumberFormat="0" applyBorder="0" applyAlignment="0" applyProtection="0"/>
    <xf numFmtId="0" fontId="154" fillId="42" borderId="0" applyNumberFormat="0" applyBorder="0" applyAlignment="0" applyProtection="0"/>
    <xf numFmtId="0" fontId="154" fillId="63" borderId="0" applyNumberFormat="0" applyBorder="0" applyAlignment="0" applyProtection="0"/>
    <xf numFmtId="0" fontId="154" fillId="38" borderId="0" applyNumberFormat="0" applyBorder="0" applyAlignment="0" applyProtection="0"/>
    <xf numFmtId="0" fontId="151" fillId="61" borderId="0" applyNumberFormat="0" applyBorder="0" applyAlignment="0" applyProtection="0"/>
    <xf numFmtId="0" fontId="151" fillId="57" borderId="0" applyNumberFormat="0" applyBorder="0" applyAlignment="0" applyProtection="0"/>
    <xf numFmtId="0" fontId="151" fillId="63" borderId="0" applyNumberFormat="0" applyBorder="0" applyAlignment="0" applyProtection="0"/>
    <xf numFmtId="0" fontId="151" fillId="53" borderId="0" applyNumberFormat="0" applyBorder="0" applyAlignment="0" applyProtection="0"/>
    <xf numFmtId="0" fontId="151" fillId="65" borderId="0" applyNumberFormat="0" applyBorder="0" applyAlignment="0" applyProtection="0"/>
    <xf numFmtId="0" fontId="151" fillId="49" borderId="0" applyNumberFormat="0" applyBorder="0" applyAlignment="0" applyProtection="0"/>
    <xf numFmtId="0" fontId="151" fillId="64" borderId="0" applyNumberFormat="0" applyBorder="0" applyAlignment="0" applyProtection="0"/>
    <xf numFmtId="0" fontId="151" fillId="45" borderId="0" applyNumberFormat="0" applyBorder="0" applyAlignment="0" applyProtection="0"/>
    <xf numFmtId="0" fontId="151" fillId="63" borderId="0" applyNumberFormat="0" applyBorder="0" applyAlignment="0" applyProtection="0"/>
    <xf numFmtId="0" fontId="151" fillId="37" borderId="0" applyNumberFormat="0" applyBorder="0" applyAlignment="0" applyProtection="0"/>
    <xf numFmtId="0" fontId="151" fillId="61" borderId="0" applyNumberFormat="0" applyBorder="0" applyAlignment="0" applyProtection="0"/>
    <xf numFmtId="0" fontId="151" fillId="56" borderId="0" applyNumberFormat="0" applyBorder="0" applyAlignment="0" applyProtection="0"/>
    <xf numFmtId="0" fontId="151" fillId="62" borderId="0" applyNumberFormat="0" applyBorder="0" applyAlignment="0" applyProtection="0"/>
    <xf numFmtId="0" fontId="151" fillId="48" borderId="0" applyNumberFormat="0" applyBorder="0" applyAlignment="0" applyProtection="0"/>
    <xf numFmtId="0" fontId="151" fillId="61" borderId="0" applyNumberFormat="0" applyBorder="0" applyAlignment="0" applyProtection="0"/>
    <xf numFmtId="0" fontId="151" fillId="44" borderId="0" applyNumberFormat="0" applyBorder="0" applyAlignment="0" applyProtection="0"/>
    <xf numFmtId="0" fontId="151" fillId="60" borderId="0" applyNumberFormat="0" applyBorder="0" applyAlignment="0" applyProtection="0"/>
    <xf numFmtId="0" fontId="151" fillId="40" borderId="0" applyNumberFormat="0" applyBorder="0" applyAlignment="0" applyProtection="0"/>
    <xf numFmtId="0" fontId="151" fillId="59" borderId="0" applyNumberFormat="0" applyBorder="0" applyAlignment="0" applyProtection="0"/>
    <xf numFmtId="0" fontId="151" fillId="36" borderId="0" applyNumberFormat="0" applyBorder="0" applyAlignment="0" applyProtection="0"/>
    <xf numFmtId="0" fontId="157" fillId="0" borderId="0"/>
    <xf numFmtId="0" fontId="10" fillId="0" borderId="0"/>
    <xf numFmtId="0" fontId="10"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2"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2" fillId="0" borderId="0"/>
    <xf numFmtId="0" fontId="152" fillId="0" borderId="0"/>
    <xf numFmtId="0" fontId="10" fillId="0" borderId="0"/>
    <xf numFmtId="0" fontId="10" fillId="0" borderId="0"/>
    <xf numFmtId="0" fontId="3" fillId="0" borderId="0"/>
    <xf numFmtId="0" fontId="152" fillId="0" borderId="0"/>
    <xf numFmtId="0" fontId="157" fillId="0" borderId="0">
      <alignment vertical="top"/>
    </xf>
    <xf numFmtId="0" fontId="176" fillId="0" borderId="0"/>
    <xf numFmtId="0" fontId="176" fillId="0" borderId="0"/>
    <xf numFmtId="0" fontId="18" fillId="0" borderId="0"/>
    <xf numFmtId="0" fontId="176" fillId="0" borderId="0"/>
    <xf numFmtId="0" fontId="152" fillId="0" borderId="0"/>
    <xf numFmtId="0" fontId="158" fillId="0" borderId="0"/>
    <xf numFmtId="0" fontId="10" fillId="0" borderId="0"/>
    <xf numFmtId="0" fontId="158" fillId="0" borderId="0"/>
    <xf numFmtId="0" fontId="158" fillId="0" borderId="0"/>
    <xf numFmtId="0" fontId="18" fillId="0" borderId="0"/>
    <xf numFmtId="0" fontId="45" fillId="0" borderId="0"/>
    <xf numFmtId="0" fontId="152" fillId="0" borderId="0"/>
    <xf numFmtId="0" fontId="151" fillId="34" borderId="173" applyNumberFormat="0" applyFont="0" applyAlignment="0" applyProtection="0"/>
    <xf numFmtId="0" fontId="157" fillId="34" borderId="173" applyNumberFormat="0" applyFont="0" applyAlignment="0" applyProtection="0"/>
    <xf numFmtId="0" fontId="173" fillId="32" borderId="170" applyNumberFormat="0" applyAlignment="0" applyProtection="0"/>
    <xf numFmtId="0" fontId="173" fillId="72" borderId="17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6" fillId="0" borderId="0" applyFont="0" applyFill="0" applyBorder="0" applyAlignment="0" applyProtection="0"/>
    <xf numFmtId="9" fontId="18" fillId="0" borderId="0" applyFont="0" applyFill="0" applyBorder="0" applyAlignment="0" applyProtection="0"/>
    <xf numFmtId="9" fontId="176" fillId="0" borderId="0" applyFont="0" applyFill="0" applyBorder="0" applyAlignment="0" applyProtection="0"/>
    <xf numFmtId="9" fontId="157" fillId="0" borderId="0" applyFont="0" applyFill="0" applyBorder="0" applyAlignment="0" applyProtection="0">
      <alignment vertical="top"/>
    </xf>
    <xf numFmtId="0" fontId="156" fillId="0" borderId="0" applyNumberFormat="0" applyFill="0" applyBorder="0" applyAlignment="0" applyProtection="0"/>
    <xf numFmtId="0" fontId="183" fillId="0" borderId="0" applyNumberFormat="0" applyFill="0" applyBorder="0" applyAlignment="0" applyProtection="0"/>
    <xf numFmtId="0" fontId="153" fillId="0" borderId="174" applyNumberFormat="0" applyFill="0" applyAlignment="0" applyProtection="0"/>
    <xf numFmtId="0" fontId="153" fillId="0" borderId="179" applyNumberFormat="0" applyFill="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158" fillId="0" borderId="0"/>
    <xf numFmtId="0" fontId="18" fillId="0" borderId="0"/>
    <xf numFmtId="0" fontId="157" fillId="0" borderId="0">
      <alignment vertical="top"/>
    </xf>
    <xf numFmtId="43" fontId="10" fillId="0" borderId="0" applyFont="0" applyFill="0" applyBorder="0" applyAlignment="0" applyProtection="0"/>
    <xf numFmtId="0" fontId="15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2" fillId="0" borderId="0"/>
    <xf numFmtId="44" fontId="10" fillId="0" borderId="0" applyFont="0" applyFill="0" applyBorder="0" applyAlignment="0" applyProtection="0"/>
    <xf numFmtId="0" fontId="3" fillId="0" borderId="0"/>
    <xf numFmtId="0" fontId="3" fillId="0" borderId="0"/>
    <xf numFmtId="0" fontId="3" fillId="0" borderId="0"/>
    <xf numFmtId="0" fontId="158" fillId="0" borderId="0"/>
    <xf numFmtId="0" fontId="3" fillId="0" borderId="0"/>
    <xf numFmtId="0" fontId="3" fillId="0" borderId="0"/>
    <xf numFmtId="0" fontId="10" fillId="0" borderId="0"/>
    <xf numFmtId="0" fontId="152" fillId="0" borderId="0"/>
    <xf numFmtId="9" fontId="18" fillId="0" borderId="0" applyFont="0" applyFill="0" applyBorder="0" applyAlignment="0" applyProtection="0"/>
    <xf numFmtId="0" fontId="3" fillId="0" borderId="0"/>
    <xf numFmtId="0" fontId="3" fillId="0" borderId="0"/>
    <xf numFmtId="43" fontId="18" fillId="0" borderId="0" applyFont="0" applyFill="0" applyBorder="0" applyAlignment="0" applyProtection="0"/>
    <xf numFmtId="0" fontId="3" fillId="0" borderId="0"/>
    <xf numFmtId="0" fontId="3" fillId="0" borderId="0"/>
    <xf numFmtId="9" fontId="157" fillId="0" borderId="0" applyFont="0" applyFill="0" applyBorder="0" applyAlignment="0" applyProtection="0">
      <alignment vertical="top"/>
    </xf>
    <xf numFmtId="0" fontId="157" fillId="0" borderId="0">
      <alignment vertical="top"/>
    </xf>
    <xf numFmtId="0" fontId="3" fillId="0" borderId="0"/>
    <xf numFmtId="0" fontId="3" fillId="0" borderId="0"/>
    <xf numFmtId="0" fontId="3" fillId="0" borderId="0"/>
    <xf numFmtId="43" fontId="158" fillId="0" borderId="0" applyFont="0" applyFill="0" applyBorder="0" applyAlignment="0" applyProtection="0"/>
    <xf numFmtId="0" fontId="18" fillId="0" borderId="0"/>
    <xf numFmtId="0" fontId="3" fillId="34" borderId="173" applyNumberFormat="0" applyFont="0" applyAlignment="0" applyProtection="0"/>
    <xf numFmtId="0" fontId="152" fillId="0" borderId="0"/>
    <xf numFmtId="0" fontId="158" fillId="0" borderId="0"/>
    <xf numFmtId="43" fontId="18" fillId="0" borderId="0" applyFont="0" applyFill="0" applyBorder="0" applyAlignment="0" applyProtection="0"/>
    <xf numFmtId="9" fontId="157" fillId="0" borderId="0" applyFont="0" applyFill="0" applyBorder="0" applyAlignment="0" applyProtection="0">
      <alignment vertical="top"/>
    </xf>
    <xf numFmtId="0" fontId="3" fillId="0" borderId="0"/>
    <xf numFmtId="0" fontId="152" fillId="0" borderId="0"/>
    <xf numFmtId="44"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2" fillId="0" borderId="0"/>
    <xf numFmtId="43" fontId="157" fillId="0" borderId="0" applyFont="0" applyFill="0" applyBorder="0" applyAlignment="0" applyProtection="0">
      <alignment vertical="top"/>
    </xf>
    <xf numFmtId="0" fontId="18" fillId="0" borderId="0"/>
    <xf numFmtId="0" fontId="3" fillId="0" borderId="0"/>
    <xf numFmtId="0" fontId="157" fillId="0" borderId="0"/>
    <xf numFmtId="43" fontId="158" fillId="0" borderId="0" applyFont="0" applyFill="0" applyBorder="0" applyAlignment="0" applyProtection="0"/>
    <xf numFmtId="0" fontId="10"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43" fontId="10" fillId="0" borderId="0" applyFont="0" applyFill="0" applyBorder="0" applyAlignment="0" applyProtection="0"/>
    <xf numFmtId="0" fontId="152" fillId="0" borderId="0"/>
    <xf numFmtId="9" fontId="18" fillId="0" borderId="0" applyFont="0" applyFill="0" applyBorder="0" applyAlignment="0" applyProtection="0"/>
    <xf numFmtId="43" fontId="158" fillId="0" borderId="0" applyFont="0" applyFill="0" applyBorder="0" applyAlignment="0" applyProtection="0"/>
    <xf numFmtId="9" fontId="10"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184" fillId="0" borderId="0" applyNumberFormat="0" applyFill="0" applyBorder="0" applyAlignment="0" applyProtection="0">
      <alignment vertical="top"/>
      <protection locked="0"/>
    </xf>
    <xf numFmtId="0" fontId="185" fillId="0" borderId="0"/>
    <xf numFmtId="0" fontId="3" fillId="36" borderId="0" applyNumberFormat="0" applyBorder="0" applyAlignment="0" applyProtection="0"/>
    <xf numFmtId="0" fontId="151" fillId="59" borderId="0" applyNumberFormat="0" applyBorder="0" applyAlignment="0" applyProtection="0"/>
    <xf numFmtId="0" fontId="3" fillId="40" borderId="0" applyNumberFormat="0" applyBorder="0" applyAlignment="0" applyProtection="0"/>
    <xf numFmtId="0" fontId="151" fillId="60" borderId="0" applyNumberFormat="0" applyBorder="0" applyAlignment="0" applyProtection="0"/>
    <xf numFmtId="0" fontId="3" fillId="44" borderId="0" applyNumberFormat="0" applyBorder="0" applyAlignment="0" applyProtection="0"/>
    <xf numFmtId="0" fontId="151" fillId="61" borderId="0" applyNumberFormat="0" applyBorder="0" applyAlignment="0" applyProtection="0"/>
    <xf numFmtId="0" fontId="3" fillId="48" borderId="0" applyNumberFormat="0" applyBorder="0" applyAlignment="0" applyProtection="0"/>
    <xf numFmtId="0" fontId="151" fillId="6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151" fillId="61" borderId="0" applyNumberFormat="0" applyBorder="0" applyAlignment="0" applyProtection="0"/>
    <xf numFmtId="0" fontId="3" fillId="37" borderId="0" applyNumberFormat="0" applyBorder="0" applyAlignment="0" applyProtection="0"/>
    <xf numFmtId="0" fontId="151" fillId="63"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151" fillId="64" borderId="0" applyNumberFormat="0" applyBorder="0" applyAlignment="0" applyProtection="0"/>
    <xf numFmtId="0" fontId="3" fillId="49" borderId="0" applyNumberFormat="0" applyBorder="0" applyAlignment="0" applyProtection="0"/>
    <xf numFmtId="0" fontId="151" fillId="65" borderId="0" applyNumberFormat="0" applyBorder="0" applyAlignment="0" applyProtection="0"/>
    <xf numFmtId="0" fontId="3" fillId="53" borderId="0" applyNumberFormat="0" applyBorder="0" applyAlignment="0" applyProtection="0"/>
    <xf numFmtId="0" fontId="151" fillId="63" borderId="0" applyNumberFormat="0" applyBorder="0" applyAlignment="0" applyProtection="0"/>
    <xf numFmtId="0" fontId="3" fillId="57" borderId="0" applyNumberFormat="0" applyBorder="0" applyAlignment="0" applyProtection="0"/>
    <xf numFmtId="0" fontId="151" fillId="61" borderId="0" applyNumberFormat="0" applyBorder="0" applyAlignment="0" applyProtection="0"/>
    <xf numFmtId="0" fontId="154" fillId="63" borderId="0" applyNumberFormat="0" applyBorder="0" applyAlignment="0" applyProtection="0"/>
    <xf numFmtId="0" fontId="154" fillId="66" borderId="0" applyNumberFormat="0" applyBorder="0" applyAlignment="0" applyProtection="0"/>
    <xf numFmtId="0" fontId="154" fillId="67" borderId="0" applyNumberFormat="0" applyBorder="0" applyAlignment="0" applyProtection="0"/>
    <xf numFmtId="0" fontId="154" fillId="65" borderId="0" applyNumberFormat="0" applyBorder="0" applyAlignment="0" applyProtection="0"/>
    <xf numFmtId="0" fontId="154" fillId="63" borderId="0" applyNumberFormat="0" applyBorder="0" applyAlignment="0" applyProtection="0"/>
    <xf numFmtId="0" fontId="154" fillId="60" borderId="0" applyNumberFormat="0" applyBorder="0" applyAlignment="0" applyProtection="0"/>
    <xf numFmtId="0" fontId="154" fillId="68" borderId="0" applyNumberFormat="0" applyBorder="0" applyAlignment="0" applyProtection="0"/>
    <xf numFmtId="0" fontId="154" fillId="66" borderId="0" applyNumberFormat="0" applyBorder="0" applyAlignment="0" applyProtection="0"/>
    <xf numFmtId="0" fontId="154" fillId="67" borderId="0" applyNumberFormat="0" applyBorder="0" applyAlignment="0" applyProtection="0"/>
    <xf numFmtId="0" fontId="157" fillId="0" borderId="0">
      <alignment vertical="top"/>
    </xf>
    <xf numFmtId="0" fontId="154" fillId="69" borderId="0" applyNumberFormat="0" applyBorder="0" applyAlignment="0" applyProtection="0"/>
    <xf numFmtId="0" fontId="154" fillId="70" borderId="0" applyNumberFormat="0" applyBorder="0" applyAlignment="0" applyProtection="0"/>
    <xf numFmtId="0" fontId="160" fillId="71" borderId="0" applyNumberFormat="0" applyBorder="0" applyAlignment="0" applyProtection="0"/>
    <xf numFmtId="0" fontId="177" fillId="72" borderId="169" applyNumberFormat="0" applyAlignment="0" applyProtection="0"/>
    <xf numFmtId="43" fontId="188" fillId="0" borderId="0" applyFont="0" applyFill="0" applyBorder="0" applyAlignment="0" applyProtection="0">
      <alignment vertical="top"/>
    </xf>
    <xf numFmtId="43" fontId="138"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5" fillId="0" borderId="0" applyFont="0" applyFill="0" applyBorder="0" applyAlignment="0" applyProtection="0"/>
    <xf numFmtId="43" fontId="1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58" fillId="0" borderId="0" applyFont="0" applyFill="0" applyBorder="0" applyAlignment="0" applyProtection="0"/>
    <xf numFmtId="43" fontId="18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7" fillId="0" borderId="0" applyFont="0" applyFill="0" applyBorder="0" applyAlignment="0" applyProtection="0"/>
    <xf numFmtId="43" fontId="158" fillId="0" borderId="0" applyFont="0" applyFill="0" applyBorder="0" applyAlignment="0" applyProtection="0"/>
    <xf numFmtId="43" fontId="18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5" fillId="0" borderId="0" applyFont="0" applyFill="0" applyBorder="0" applyAlignment="0" applyProtection="0"/>
    <xf numFmtId="43" fontId="187" fillId="0" borderId="0" applyFont="0" applyFill="0" applyBorder="0" applyAlignment="0" applyProtection="0"/>
    <xf numFmtId="44" fontId="3" fillId="0" borderId="0" applyFont="0" applyFill="0" applyBorder="0" applyAlignment="0" applyProtection="0"/>
    <xf numFmtId="44" fontId="138" fillId="0" borderId="0" applyFont="0" applyFill="0" applyBorder="0" applyAlignment="0" applyProtection="0"/>
    <xf numFmtId="0" fontId="165" fillId="63" borderId="0" applyNumberFormat="0" applyBorder="0" applyAlignment="0" applyProtection="0"/>
    <xf numFmtId="0" fontId="178" fillId="0" borderId="175" applyNumberFormat="0" applyFill="0" applyAlignment="0" applyProtection="0"/>
    <xf numFmtId="0" fontId="179" fillId="0" borderId="176"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69" fillId="64" borderId="169" applyNumberFormat="0" applyAlignment="0" applyProtection="0"/>
    <xf numFmtId="0" fontId="181" fillId="0" borderId="178" applyNumberFormat="0" applyFill="0" applyAlignment="0" applyProtection="0"/>
    <xf numFmtId="0" fontId="182" fillId="30" borderId="0" applyNumberFormat="0" applyBorder="0" applyAlignment="0" applyProtection="0"/>
    <xf numFmtId="0" fontId="187" fillId="0" borderId="0"/>
    <xf numFmtId="0" fontId="3" fillId="0" borderId="0"/>
    <xf numFmtId="0" fontId="187" fillId="0" borderId="0"/>
    <xf numFmtId="0" fontId="186" fillId="0" borderId="0"/>
    <xf numFmtId="0" fontId="186" fillId="0" borderId="0"/>
    <xf numFmtId="0" fontId="152" fillId="0" borderId="0"/>
    <xf numFmtId="0" fontId="3" fillId="0" borderId="0"/>
    <xf numFmtId="0" fontId="3" fillId="0" borderId="0"/>
    <xf numFmtId="0" fontId="3" fillId="0" borderId="0"/>
    <xf numFmtId="0" fontId="3" fillId="0" borderId="0"/>
    <xf numFmtId="0" fontId="3" fillId="0" borderId="0"/>
    <xf numFmtId="0" fontId="186" fillId="0" borderId="0"/>
    <xf numFmtId="0" fontId="186" fillId="0" borderId="0"/>
    <xf numFmtId="0" fontId="186" fillId="0" borderId="0"/>
    <xf numFmtId="0" fontId="186" fillId="0" borderId="0"/>
    <xf numFmtId="0" fontId="138" fillId="0" borderId="0"/>
    <xf numFmtId="0" fontId="138" fillId="0" borderId="0"/>
    <xf numFmtId="0" fontId="138" fillId="0" borderId="0"/>
    <xf numFmtId="0" fontId="138" fillId="0" borderId="0"/>
    <xf numFmtId="0" fontId="3" fillId="0" borderId="0"/>
    <xf numFmtId="0" fontId="3" fillId="0" borderId="0"/>
    <xf numFmtId="0" fontId="3" fillId="0" borderId="0"/>
    <xf numFmtId="0" fontId="188" fillId="0" borderId="0">
      <alignment vertical="top"/>
    </xf>
    <xf numFmtId="0" fontId="138" fillId="0" borderId="0"/>
    <xf numFmtId="0" fontId="138" fillId="0" borderId="0"/>
    <xf numFmtId="0" fontId="186" fillId="0" borderId="0"/>
    <xf numFmtId="0" fontId="186" fillId="0" borderId="0"/>
    <xf numFmtId="0" fontId="3" fillId="0" borderId="0"/>
    <xf numFmtId="0" fontId="3" fillId="0" borderId="0"/>
    <xf numFmtId="0" fontId="3" fillId="0" borderId="0"/>
    <xf numFmtId="0" fontId="3" fillId="0" borderId="0"/>
    <xf numFmtId="0" fontId="188" fillId="0" borderId="0">
      <alignment vertical="top"/>
    </xf>
    <xf numFmtId="0" fontId="18" fillId="0" borderId="0"/>
    <xf numFmtId="0" fontId="186" fillId="0" borderId="0"/>
    <xf numFmtId="0" fontId="186" fillId="0" borderId="0"/>
    <xf numFmtId="0" fontId="152" fillId="0" borderId="0"/>
    <xf numFmtId="0" fontId="187" fillId="0" borderId="0"/>
    <xf numFmtId="0" fontId="187" fillId="0" borderId="0"/>
    <xf numFmtId="0" fontId="158" fillId="0" borderId="0"/>
    <xf numFmtId="0" fontId="187" fillId="0" borderId="0"/>
    <xf numFmtId="0" fontId="187" fillId="0" borderId="0"/>
    <xf numFmtId="0" fontId="158" fillId="0" borderId="0"/>
    <xf numFmtId="0" fontId="3" fillId="34" borderId="173" applyNumberFormat="0" applyFont="0" applyAlignment="0" applyProtection="0"/>
    <xf numFmtId="0" fontId="157" fillId="34" borderId="173" applyNumberFormat="0" applyFont="0" applyAlignment="0" applyProtection="0"/>
    <xf numFmtId="0" fontId="173" fillId="72" borderId="170" applyNumberFormat="0" applyAlignment="0" applyProtection="0"/>
    <xf numFmtId="9" fontId="138" fillId="0" borderId="0" applyFont="0" applyFill="0" applyBorder="0" applyAlignment="0" applyProtection="0"/>
    <xf numFmtId="9" fontId="18" fillId="0" borderId="0" applyFont="0" applyFill="0" applyBorder="0" applyAlignment="0" applyProtection="0"/>
    <xf numFmtId="9" fontId="188" fillId="0" borderId="0" applyFont="0" applyFill="0" applyBorder="0" applyAlignment="0" applyProtection="0">
      <alignment vertical="top"/>
    </xf>
    <xf numFmtId="0" fontId="183" fillId="0" borderId="0" applyNumberFormat="0" applyFill="0" applyBorder="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186" fillId="0" borderId="0"/>
    <xf numFmtId="0" fontId="3" fillId="0" borderId="0"/>
    <xf numFmtId="44" fontId="138"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5" fillId="0" borderId="0"/>
    <xf numFmtId="0" fontId="3" fillId="0" borderId="0"/>
    <xf numFmtId="9" fontId="138" fillId="0" borderId="0" applyFont="0" applyFill="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6" fillId="0" borderId="0"/>
    <xf numFmtId="43" fontId="188" fillId="0" borderId="0" applyFont="0" applyFill="0" applyBorder="0" applyAlignment="0" applyProtection="0">
      <alignment vertical="top"/>
    </xf>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0" borderId="0"/>
    <xf numFmtId="0" fontId="3" fillId="0" borderId="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57" borderId="0" applyNumberFormat="0" applyBorder="0" applyAlignment="0" applyProtection="0"/>
    <xf numFmtId="0" fontId="3" fillId="40" borderId="0" applyNumberFormat="0" applyBorder="0" applyAlignment="0" applyProtection="0"/>
    <xf numFmtId="0" fontId="3" fillId="53" borderId="0" applyNumberFormat="0" applyBorder="0" applyAlignment="0" applyProtection="0"/>
    <xf numFmtId="0" fontId="3" fillId="49" borderId="0" applyNumberFormat="0" applyBorder="0" applyAlignment="0" applyProtection="0"/>
    <xf numFmtId="0" fontId="3" fillId="45" borderId="0" applyNumberFormat="0" applyBorder="0" applyAlignment="0" applyProtection="0"/>
    <xf numFmtId="0" fontId="3" fillId="41" borderId="0" applyNumberFormat="0" applyBorder="0" applyAlignment="0" applyProtection="0"/>
    <xf numFmtId="0" fontId="3" fillId="37" borderId="0" applyNumberFormat="0" applyBorder="0" applyAlignment="0" applyProtection="0"/>
    <xf numFmtId="0" fontId="3" fillId="56" borderId="0" applyNumberFormat="0" applyBorder="0" applyAlignment="0" applyProtection="0"/>
    <xf numFmtId="0" fontId="3" fillId="52"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4" borderId="0" applyNumberFormat="0" applyBorder="0" applyAlignment="0" applyProtection="0"/>
    <xf numFmtId="0" fontId="3" fillId="40" borderId="0" applyNumberFormat="0" applyBorder="0" applyAlignment="0" applyProtection="0"/>
    <xf numFmtId="0" fontId="3" fillId="36"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0" borderId="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0" borderId="0"/>
    <xf numFmtId="0" fontId="2" fillId="0" borderId="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7" borderId="0" applyNumberFormat="0" applyBorder="0" applyAlignment="0" applyProtection="0"/>
    <xf numFmtId="0" fontId="2" fillId="40"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45"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56" borderId="0" applyNumberFormat="0" applyBorder="0" applyAlignment="0" applyProtection="0"/>
    <xf numFmtId="0" fontId="2" fillId="52"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2" fillId="0" borderId="0"/>
    <xf numFmtId="0" fontId="1" fillId="0" borderId="0"/>
    <xf numFmtId="0" fontId="10" fillId="0" borderId="0"/>
    <xf numFmtId="0" fontId="152" fillId="0" borderId="0"/>
    <xf numFmtId="0" fontId="152" fillId="0" borderId="0"/>
    <xf numFmtId="0" fontId="151" fillId="61"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54" fillId="61" borderId="0" applyNumberFormat="0" applyBorder="0" applyAlignment="0" applyProtection="0"/>
    <xf numFmtId="0" fontId="1" fillId="0" borderId="0"/>
    <xf numFmtId="43" fontId="158" fillId="0" borderId="0" applyFont="0" applyFill="0" applyBorder="0" applyAlignment="0" applyProtection="0"/>
    <xf numFmtId="43" fontId="175" fillId="0" borderId="0" applyFont="0" applyFill="0" applyBorder="0" applyAlignment="0" applyProtection="0"/>
    <xf numFmtId="43" fontId="157" fillId="0" borderId="0" applyFont="0" applyFill="0" applyBorder="0" applyAlignment="0" applyProtection="0"/>
    <xf numFmtId="43" fontId="175" fillId="0" borderId="0" applyFont="0" applyFill="0" applyBorder="0" applyAlignment="0" applyProtection="0"/>
    <xf numFmtId="0" fontId="1" fillId="40" borderId="0" applyNumberFormat="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75" fillId="0" borderId="0" applyFont="0" applyFill="0" applyBorder="0" applyAlignment="0" applyProtection="0"/>
    <xf numFmtId="43" fontId="157" fillId="0" borderId="0" applyFont="0" applyFill="0" applyBorder="0" applyAlignment="0" applyProtection="0"/>
    <xf numFmtId="43" fontId="10" fillId="0" borderId="0" applyFont="0" applyFill="0" applyBorder="0" applyAlignment="0" applyProtection="0"/>
    <xf numFmtId="0" fontId="1" fillId="44" borderId="0" applyNumberFormat="0" applyBorder="0" applyAlignment="0" applyProtection="0"/>
    <xf numFmtId="0" fontId="171" fillId="62" borderId="0" applyNumberFormat="0" applyBorder="0" applyAlignment="0" applyProtection="0"/>
    <xf numFmtId="0" fontId="1" fillId="0" borderId="0"/>
    <xf numFmtId="0" fontId="1" fillId="0" borderId="0"/>
    <xf numFmtId="0" fontId="152" fillId="0" borderId="0"/>
    <xf numFmtId="0" fontId="10" fillId="0" borderId="0"/>
    <xf numFmtId="0" fontId="158" fillId="0" borderId="0"/>
    <xf numFmtId="0" fontId="10" fillId="0" borderId="0"/>
    <xf numFmtId="0" fontId="1" fillId="0" borderId="0"/>
    <xf numFmtId="0" fontId="152" fillId="0" borderId="0"/>
    <xf numFmtId="0" fontId="152" fillId="0" borderId="0"/>
    <xf numFmtId="0" fontId="1" fillId="52" borderId="0" applyNumberFormat="0" applyBorder="0" applyAlignment="0" applyProtection="0"/>
    <xf numFmtId="0" fontId="10" fillId="0" borderId="0"/>
    <xf numFmtId="0" fontId="152" fillId="0" borderId="0"/>
    <xf numFmtId="0" fontId="1" fillId="56" borderId="0" applyNumberFormat="0" applyBorder="0" applyAlignment="0" applyProtection="0"/>
    <xf numFmtId="0" fontId="1" fillId="37" borderId="0" applyNumberFormat="0" applyBorder="0" applyAlignment="0" applyProtection="0"/>
    <xf numFmtId="0" fontId="157" fillId="34" borderId="173" applyNumberFormat="0" applyFont="0" applyAlignment="0" applyProtection="0"/>
    <xf numFmtId="0" fontId="1" fillId="48" borderId="0" applyNumberFormat="0" applyBorder="0" applyAlignment="0" applyProtection="0"/>
    <xf numFmtId="0" fontId="1" fillId="36" borderId="0" applyNumberFormat="0" applyBorder="0" applyAlignment="0" applyProtection="0"/>
    <xf numFmtId="0" fontId="157" fillId="0" borderId="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7" fillId="0" borderId="0" applyFont="0" applyFill="0" applyBorder="0" applyAlignment="0" applyProtection="0"/>
    <xf numFmtId="43" fontId="1" fillId="0" borderId="0" applyFont="0" applyFill="0" applyBorder="0" applyAlignment="0" applyProtection="0"/>
    <xf numFmtId="43" fontId="1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8"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57" fillId="0" borderId="0" applyFont="0" applyFill="0" applyBorder="0" applyAlignment="0" applyProtection="0"/>
    <xf numFmtId="0" fontId="1" fillId="0" borderId="0"/>
    <xf numFmtId="0" fontId="1" fillId="0" borderId="0"/>
    <xf numFmtId="0" fontId="1" fillId="0" borderId="0"/>
    <xf numFmtId="0" fontId="152" fillId="0" borderId="0"/>
    <xf numFmtId="0" fontId="45" fillId="0" borderId="0"/>
    <xf numFmtId="0" fontId="1" fillId="0" borderId="0"/>
    <xf numFmtId="0" fontId="18" fillId="0" borderId="0"/>
    <xf numFmtId="0" fontId="18" fillId="0" borderId="0"/>
    <xf numFmtId="0" fontId="1" fillId="0" borderId="0"/>
    <xf numFmtId="0" fontId="10" fillId="0" borderId="0"/>
    <xf numFmtId="0" fontId="153" fillId="0" borderId="179" applyNumberFormat="0" applyFill="0" applyAlignment="0" applyProtection="0"/>
    <xf numFmtId="0" fontId="1" fillId="0" borderId="0"/>
    <xf numFmtId="0" fontId="157" fillId="0" borderId="0"/>
    <xf numFmtId="0" fontId="1" fillId="0" borderId="0"/>
    <xf numFmtId="0" fontId="1" fillId="0" borderId="0"/>
    <xf numFmtId="0" fontId="45" fillId="0" borderId="0"/>
    <xf numFmtId="0" fontId="151" fillId="34" borderId="173" applyNumberFormat="0" applyFont="0" applyAlignment="0" applyProtection="0"/>
    <xf numFmtId="0" fontId="1" fillId="34" borderId="173" applyNumberFormat="0" applyFont="0" applyAlignment="0" applyProtection="0"/>
    <xf numFmtId="0" fontId="157" fillId="0" borderId="0"/>
    <xf numFmtId="0" fontId="157" fillId="0" borderId="0"/>
    <xf numFmtId="0" fontId="157" fillId="0" borderId="0"/>
    <xf numFmtId="0" fontId="157" fillId="0" borderId="0"/>
    <xf numFmtId="0" fontId="1" fillId="0" borderId="0"/>
    <xf numFmtId="0" fontId="157"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alignment vertical="top"/>
    </xf>
    <xf numFmtId="0" fontId="1" fillId="34" borderId="173" applyNumberFormat="0" applyFont="0" applyAlignment="0" applyProtection="0"/>
    <xf numFmtId="0" fontId="157" fillId="0" borderId="0"/>
    <xf numFmtId="0" fontId="157" fillId="0" borderId="0"/>
    <xf numFmtId="0" fontId="157"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 fillId="0" borderId="0"/>
    <xf numFmtId="0" fontId="1" fillId="0" borderId="0"/>
    <xf numFmtId="0" fontId="1" fillId="0" borderId="0"/>
    <xf numFmtId="0" fontId="1" fillId="40" borderId="0" applyNumberFormat="0" applyBorder="0" applyAlignment="0" applyProtection="0"/>
    <xf numFmtId="0" fontId="157" fillId="0" borderId="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57" fillId="0" borderId="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57"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alignment vertical="top"/>
    </xf>
    <xf numFmtId="0" fontId="1" fillId="34" borderId="173" applyNumberFormat="0" applyFont="0" applyAlignment="0" applyProtection="0"/>
    <xf numFmtId="0" fontId="157" fillId="0" borderId="0"/>
    <xf numFmtId="0" fontId="157" fillId="0" borderId="0"/>
    <xf numFmtId="0" fontId="157"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207" fillId="0" borderId="0"/>
    <xf numFmtId="0" fontId="204" fillId="0" borderId="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206" fillId="0" borderId="0"/>
    <xf numFmtId="0" fontId="205" fillId="0" borderId="0"/>
    <xf numFmtId="0" fontId="203" fillId="0" borderId="0"/>
    <xf numFmtId="0" fontId="202" fillId="0" borderId="0"/>
    <xf numFmtId="0" fontId="200" fillId="0" borderId="0"/>
    <xf numFmtId="0" fontId="199" fillId="0" borderId="0"/>
    <xf numFmtId="0" fontId="191" fillId="0" borderId="0"/>
    <xf numFmtId="0" fontId="195" fillId="0" borderId="0"/>
    <xf numFmtId="0" fontId="190" fillId="0" borderId="0"/>
    <xf numFmtId="0" fontId="196" fillId="0" borderId="0"/>
    <xf numFmtId="0" fontId="194" fillId="0" borderId="0"/>
    <xf numFmtId="0" fontId="193" fillId="0" borderId="0"/>
    <xf numFmtId="0" fontId="193" fillId="0" borderId="0"/>
    <xf numFmtId="0" fontId="153" fillId="0" borderId="179" applyNumberFormat="0" applyFill="0" applyAlignment="0" applyProtection="0"/>
    <xf numFmtId="0" fontId="1" fillId="0" borderId="0"/>
    <xf numFmtId="0" fontId="193" fillId="0" borderId="0"/>
    <xf numFmtId="0" fontId="163" fillId="0" borderId="0"/>
    <xf numFmtId="0" fontId="153" fillId="0" borderId="179" applyNumberFormat="0" applyFill="0" applyAlignment="0" applyProtection="0"/>
    <xf numFmtId="0" fontId="1" fillId="0" borderId="0"/>
    <xf numFmtId="0" fontId="1" fillId="0" borderId="0"/>
    <xf numFmtId="0" fontId="1" fillId="0" borderId="0"/>
    <xf numFmtId="0" fontId="197"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201" fillId="0" borderId="0"/>
    <xf numFmtId="0" fontId="198" fillId="0" borderId="0"/>
    <xf numFmtId="0" fontId="198" fillId="0" borderId="0"/>
    <xf numFmtId="0" fontId="191" fillId="0" borderId="0"/>
    <xf numFmtId="0" fontId="200" fillId="0" borderId="0"/>
    <xf numFmtId="0" fontId="210" fillId="0" borderId="0"/>
    <xf numFmtId="0" fontId="191" fillId="0" borderId="0"/>
    <xf numFmtId="0" fontId="153" fillId="0" borderId="179" applyNumberFormat="0" applyFill="0" applyAlignment="0" applyProtection="0"/>
    <xf numFmtId="0" fontId="208" fillId="0" borderId="0"/>
    <xf numFmtId="0" fontId="211" fillId="0" borderId="0"/>
    <xf numFmtId="0" fontId="191" fillId="0" borderId="0"/>
    <xf numFmtId="0" fontId="209" fillId="0" borderId="0"/>
    <xf numFmtId="0" fontId="198" fillId="0" borderId="0"/>
    <xf numFmtId="0" fontId="191" fillId="0" borderId="0"/>
    <xf numFmtId="0" fontId="1" fillId="0" borderId="0"/>
    <xf numFmtId="0" fontId="1" fillId="0" borderId="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53" fillId="0" borderId="17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53" fillId="0" borderId="179" applyNumberFormat="0" applyFill="0" applyAlignment="0" applyProtection="0"/>
    <xf numFmtId="0" fontId="1" fillId="0" borderId="0"/>
    <xf numFmtId="0" fontId="1" fillId="0" borderId="0"/>
    <xf numFmtId="0" fontId="1" fillId="0" borderId="0"/>
    <xf numFmtId="0" fontId="153" fillId="0" borderId="179" applyNumberFormat="0" applyFill="0" applyAlignment="0" applyProtection="0"/>
    <xf numFmtId="0" fontId="1" fillId="0" borderId="0"/>
    <xf numFmtId="0" fontId="1" fillId="0" borderId="0"/>
    <xf numFmtId="0" fontId="1" fillId="0" borderId="0"/>
    <xf numFmtId="0" fontId="1" fillId="0" borderId="0"/>
    <xf numFmtId="0" fontId="153" fillId="0" borderId="179" applyNumberFormat="0" applyFill="0" applyAlignment="0" applyProtection="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43" fontId="10"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0" fontId="158" fillId="0" borderId="0"/>
    <xf numFmtId="0" fontId="152" fillId="0" borderId="0"/>
    <xf numFmtId="0" fontId="152" fillId="0" borderId="0"/>
    <xf numFmtId="0" fontId="152" fillId="0" borderId="0"/>
    <xf numFmtId="0" fontId="10" fillId="0" borderId="0"/>
    <xf numFmtId="0" fontId="10" fillId="0" borderId="0"/>
    <xf numFmtId="0" fontId="10" fillId="0" borderId="0"/>
    <xf numFmtId="0" fontId="152" fillId="0" borderId="0"/>
    <xf numFmtId="0" fontId="152" fillId="0" borderId="0"/>
    <xf numFmtId="0" fontId="158" fillId="0" borderId="0"/>
    <xf numFmtId="0" fontId="158" fillId="0" borderId="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56" fillId="0" borderId="0" applyNumberFormat="0" applyFill="0" applyBorder="0" applyAlignment="0" applyProtection="0"/>
    <xf numFmtId="0" fontId="1" fillId="0" borderId="0"/>
    <xf numFmtId="0" fontId="151" fillId="73" borderId="0" applyNumberFormat="0" applyBorder="0" applyAlignment="0" applyProtection="0"/>
    <xf numFmtId="0" fontId="1" fillId="73"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51" fillId="73" borderId="0" applyNumberFormat="0" applyBorder="0" applyAlignment="0" applyProtection="0"/>
    <xf numFmtId="0" fontId="1" fillId="73"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5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51" fillId="61" borderId="0" applyNumberFormat="0" applyBorder="0" applyAlignment="0" applyProtection="0"/>
    <xf numFmtId="0" fontId="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54" fillId="61" borderId="0" applyNumberFormat="0" applyBorder="0" applyAlignment="0" applyProtection="0"/>
    <xf numFmtId="0" fontId="13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0" borderId="0" applyNumberFormat="0" applyBorder="0" applyAlignment="0" applyProtection="0"/>
    <xf numFmtId="0" fontId="13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60" fillId="71" borderId="0" applyNumberFormat="0" applyBorder="0" applyAlignment="0" applyProtection="0"/>
    <xf numFmtId="0" fontId="143" fillId="71"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43" fontId="175" fillId="0" borderId="0" applyFont="0" applyFill="0" applyBorder="0" applyAlignment="0" applyProtection="0"/>
    <xf numFmtId="43" fontId="157" fillId="0" borderId="0" applyFont="0" applyFill="0" applyBorder="0" applyAlignment="0" applyProtection="0"/>
    <xf numFmtId="43" fontId="175" fillId="0" borderId="0" applyFont="0" applyFill="0" applyBorder="0" applyAlignment="0" applyProtection="0"/>
    <xf numFmtId="43" fontId="157"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213" fillId="0" borderId="0" applyFont="0" applyFill="0" applyBorder="0" applyAlignment="0" applyProtection="0"/>
    <xf numFmtId="43" fontId="213" fillId="0" borderId="0" applyFont="0" applyFill="0" applyBorder="0" applyAlignment="0" applyProtection="0"/>
    <xf numFmtId="43" fontId="213"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75"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0" fontId="171" fillId="62" borderId="0" applyNumberFormat="0" applyBorder="0" applyAlignment="0" applyProtection="0"/>
    <xf numFmtId="0" fontId="155" fillId="62" borderId="0" applyNumberFormat="0" applyBorder="0" applyAlignment="0" applyProtection="0"/>
    <xf numFmtId="0" fontId="171" fillId="62" borderId="0" applyNumberFormat="0" applyBorder="0" applyAlignment="0" applyProtection="0"/>
    <xf numFmtId="0" fontId="171" fillId="62" borderId="0" applyNumberFormat="0" applyBorder="0" applyAlignment="0" applyProtection="0"/>
    <xf numFmtId="0" fontId="171" fillId="62" borderId="0" applyNumberFormat="0" applyBorder="0" applyAlignment="0" applyProtection="0"/>
    <xf numFmtId="0" fontId="171"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1" fillId="0" borderId="0"/>
    <xf numFmtId="0" fontId="1" fillId="0" borderId="0"/>
    <xf numFmtId="0" fontId="1" fillId="0" borderId="0"/>
    <xf numFmtId="0" fontId="1" fillId="0" borderId="0"/>
    <xf numFmtId="0" fontId="152" fillId="0" borderId="0"/>
    <xf numFmtId="0" fontId="152" fillId="0" borderId="0"/>
    <xf numFmtId="0" fontId="45" fillId="0" borderId="0"/>
    <xf numFmtId="0" fontId="1" fillId="0" borderId="0"/>
    <xf numFmtId="0" fontId="157" fillId="0" borderId="0"/>
    <xf numFmtId="0" fontId="10" fillId="0" borderId="0"/>
    <xf numFmtId="0" fontId="157" fillId="0" borderId="0"/>
    <xf numFmtId="0" fontId="1" fillId="0" borderId="0"/>
    <xf numFmtId="0" fontId="1" fillId="0" borderId="0"/>
    <xf numFmtId="0" fontId="175" fillId="34" borderId="173" applyNumberFormat="0" applyFont="0" applyAlignment="0" applyProtection="0"/>
    <xf numFmtId="0" fontId="157" fillId="34" borderId="173" applyNumberFormat="0" applyFont="0" applyAlignment="0" applyProtection="0"/>
    <xf numFmtId="0" fontId="157" fillId="34" borderId="173" applyNumberFormat="0" applyFont="0" applyAlignment="0" applyProtection="0"/>
    <xf numFmtId="0" fontId="157" fillId="34" borderId="173" applyNumberFormat="0" applyFont="0" applyAlignment="0" applyProtection="0"/>
    <xf numFmtId="0" fontId="157" fillId="34" borderId="173" applyNumberFormat="0" applyFont="0" applyAlignment="0" applyProtection="0"/>
    <xf numFmtId="0" fontId="157" fillId="34" borderId="173" applyNumberFormat="0" applyFont="0" applyAlignment="0" applyProtection="0"/>
    <xf numFmtId="9" fontId="157" fillId="0" borderId="0" applyFont="0" applyFill="0" applyBorder="0" applyAlignment="0" applyProtection="0"/>
    <xf numFmtId="0" fontId="151" fillId="36" borderId="0" applyNumberFormat="0" applyBorder="0" applyAlignment="0" applyProtection="0"/>
    <xf numFmtId="0" fontId="151" fillId="48" borderId="0" applyNumberFormat="0" applyBorder="0" applyAlignment="0" applyProtection="0"/>
    <xf numFmtId="0" fontId="151" fillId="45" borderId="0" applyNumberFormat="0" applyBorder="0" applyAlignment="0" applyProtection="0"/>
    <xf numFmtId="0" fontId="154" fillId="46" borderId="0" applyNumberFormat="0" applyBorder="0" applyAlignment="0" applyProtection="0"/>
    <xf numFmtId="0" fontId="154" fillId="58" borderId="0" applyNumberFormat="0" applyBorder="0" applyAlignment="0" applyProtection="0"/>
    <xf numFmtId="0" fontId="160" fillId="29" borderId="0" applyNumberFormat="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1" fillId="30" borderId="0" applyNumberFormat="0" applyBorder="0" applyAlignment="0" applyProtection="0"/>
    <xf numFmtId="0" fontId="151" fillId="34" borderId="173" applyNumberFormat="0" applyFont="0" applyAlignment="0" applyProtection="0"/>
    <xf numFmtId="0" fontId="1" fillId="0" borderId="0"/>
    <xf numFmtId="0" fontId="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1" fillId="36" borderId="0" applyNumberFormat="0" applyBorder="0" applyAlignment="0" applyProtection="0"/>
    <xf numFmtId="0" fontId="1" fillId="36" borderId="0" applyNumberFormat="0" applyBorder="0" applyAlignment="0" applyProtection="0"/>
    <xf numFmtId="0" fontId="151" fillId="36"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48" borderId="0" applyNumberFormat="0" applyBorder="0" applyAlignment="0" applyProtection="0"/>
    <xf numFmtId="0" fontId="1" fillId="48" borderId="0" applyNumberFormat="0" applyBorder="0" applyAlignment="0" applyProtection="0"/>
    <xf numFmtId="0" fontId="151" fillId="48" borderId="0" applyNumberFormat="0" applyBorder="0" applyAlignment="0" applyProtection="0"/>
    <xf numFmtId="0" fontId="151" fillId="62" borderId="0" applyNumberFormat="0" applyBorder="0" applyAlignment="0" applyProtection="0"/>
    <xf numFmtId="0" fontId="151" fillId="62" borderId="0" applyNumberFormat="0" applyBorder="0" applyAlignment="0" applyProtection="0"/>
    <xf numFmtId="0" fontId="151" fillId="48" borderId="0" applyNumberFormat="0" applyBorder="0" applyAlignment="0" applyProtection="0"/>
    <xf numFmtId="0" fontId="151" fillId="48" borderId="0" applyNumberFormat="0" applyBorder="0" applyAlignment="0" applyProtection="0"/>
    <xf numFmtId="0" fontId="151" fillId="45" borderId="0" applyNumberFormat="0" applyBorder="0" applyAlignment="0" applyProtection="0"/>
    <xf numFmtId="0" fontId="1" fillId="45" borderId="0" applyNumberFormat="0" applyBorder="0" applyAlignment="0" applyProtection="0"/>
    <xf numFmtId="0" fontId="151" fillId="45"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54" fillId="46" borderId="0" applyNumberFormat="0" applyBorder="0" applyAlignment="0" applyProtection="0"/>
    <xf numFmtId="0" fontId="134" fillId="46" borderId="0" applyNumberFormat="0" applyBorder="0" applyAlignment="0" applyProtection="0"/>
    <xf numFmtId="0" fontId="154" fillId="46" borderId="0" applyNumberFormat="0" applyBorder="0" applyAlignment="0" applyProtection="0"/>
    <xf numFmtId="0" fontId="154" fillId="67" borderId="0" applyNumberFormat="0" applyBorder="0" applyAlignment="0" applyProtection="0"/>
    <xf numFmtId="0" fontId="154" fillId="67" borderId="0" applyNumberFormat="0" applyBorder="0" applyAlignment="0" applyProtection="0"/>
    <xf numFmtId="0" fontId="154" fillId="46" borderId="0" applyNumberFormat="0" applyBorder="0" applyAlignment="0" applyProtection="0"/>
    <xf numFmtId="0" fontId="154" fillId="46" borderId="0" applyNumberFormat="0" applyBorder="0" applyAlignment="0" applyProtection="0"/>
    <xf numFmtId="0" fontId="154" fillId="58" borderId="0" applyNumberFormat="0" applyBorder="0" applyAlignment="0" applyProtection="0"/>
    <xf numFmtId="0" fontId="134" fillId="58" borderId="0" applyNumberFormat="0" applyBorder="0" applyAlignment="0" applyProtection="0"/>
    <xf numFmtId="0" fontId="154" fillId="58" borderId="0" applyNumberFormat="0" applyBorder="0" applyAlignment="0" applyProtection="0"/>
    <xf numFmtId="0" fontId="154" fillId="60"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60" fillId="29" borderId="0" applyNumberFormat="0" applyBorder="0" applyAlignment="0" applyProtection="0"/>
    <xf numFmtId="0" fontId="143" fillId="29" borderId="0" applyNumberFormat="0" applyBorder="0" applyAlignment="0" applyProtection="0"/>
    <xf numFmtId="0" fontId="160" fillId="29" borderId="0" applyNumberFormat="0" applyBorder="0" applyAlignment="0" applyProtection="0"/>
    <xf numFmtId="0" fontId="160" fillId="71" borderId="0" applyNumberFormat="0" applyBorder="0" applyAlignment="0" applyProtection="0"/>
    <xf numFmtId="0" fontId="160" fillId="29" borderId="0" applyNumberFormat="0" applyBorder="0" applyAlignment="0" applyProtection="0"/>
    <xf numFmtId="0" fontId="160"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5" fillId="0" borderId="0" applyFont="0" applyFill="0" applyBorder="0" applyAlignment="0" applyProtection="0"/>
    <xf numFmtId="43" fontId="151" fillId="0" borderId="0" applyFont="0" applyFill="0" applyBorder="0" applyAlignment="0" applyProtection="0"/>
    <xf numFmtId="43" fontId="157"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8" fillId="0" borderId="0" applyFont="0" applyFill="0" applyBorder="0" applyAlignment="0" applyProtection="0"/>
    <xf numFmtId="43" fontId="1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4" fontId="1" fillId="0" borderId="0" applyFont="0" applyFill="0" applyBorder="0" applyAlignment="0" applyProtection="0"/>
    <xf numFmtId="0" fontId="189" fillId="0" borderId="0" applyNumberFormat="0" applyFill="0" applyBorder="0" applyAlignment="0" applyProtection="0">
      <alignment vertical="top"/>
      <protection locked="0"/>
    </xf>
    <xf numFmtId="0" fontId="171" fillId="30" borderId="0" applyNumberFormat="0" applyBorder="0" applyAlignment="0" applyProtection="0"/>
    <xf numFmtId="0" fontId="155" fillId="30" borderId="0" applyNumberFormat="0" applyBorder="0" applyAlignment="0" applyProtection="0"/>
    <xf numFmtId="0" fontId="171" fillId="30" borderId="0" applyNumberFormat="0" applyBorder="0" applyAlignment="0" applyProtection="0"/>
    <xf numFmtId="0" fontId="182" fillId="30" borderId="0" applyNumberFormat="0" applyBorder="0" applyAlignment="0" applyProtection="0"/>
    <xf numFmtId="0" fontId="182" fillId="30" borderId="0" applyNumberFormat="0" applyBorder="0" applyAlignment="0" applyProtection="0"/>
    <xf numFmtId="0" fontId="171" fillId="30" borderId="0" applyNumberFormat="0" applyBorder="0" applyAlignment="0" applyProtection="0"/>
    <xf numFmtId="0" fontId="171" fillId="30" borderId="0" applyNumberFormat="0" applyBorder="0" applyAlignment="0" applyProtection="0"/>
    <xf numFmtId="0" fontId="45" fillId="0" borderId="0"/>
    <xf numFmtId="0" fontId="10" fillId="0" borderId="0"/>
    <xf numFmtId="0" fontId="45" fillId="0" borderId="0"/>
    <xf numFmtId="0" fontId="18" fillId="0" borderId="0"/>
    <xf numFmtId="0" fontId="18" fillId="0" borderId="0"/>
    <xf numFmtId="0" fontId="18" fillId="0" borderId="0"/>
    <xf numFmtId="0" fontId="163" fillId="0" borderId="0"/>
    <xf numFmtId="0" fontId="1" fillId="34" borderId="173" applyNumberFormat="0" applyFont="0" applyAlignment="0" applyProtection="0"/>
    <xf numFmtId="0" fontId="151" fillId="34" borderId="173" applyNumberFormat="0" applyFont="0" applyAlignment="0" applyProtection="0"/>
    <xf numFmtId="0" fontId="157"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53" fillId="0" borderId="179" applyNumberFormat="0" applyFill="0" applyAlignment="0" applyProtection="0"/>
    <xf numFmtId="0" fontId="1" fillId="0" borderId="0"/>
    <xf numFmtId="0" fontId="1" fillId="0" borderId="0"/>
    <xf numFmtId="0" fontId="1" fillId="0" borderId="0"/>
    <xf numFmtId="0" fontId="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4" borderId="17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57" fillId="0" borderId="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57" fillId="0" borderId="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9" fontId="176" fillId="0" borderId="0" applyFont="0" applyFill="0" applyBorder="0" applyAlignment="0" applyProtection="0"/>
    <xf numFmtId="9" fontId="176" fillId="0" borderId="0" applyFont="0" applyFill="0" applyBorder="0" applyAlignment="0" applyProtection="0"/>
    <xf numFmtId="0" fontId="157" fillId="0" borderId="0"/>
    <xf numFmtId="43" fontId="1" fillId="0" borderId="0" applyFont="0" applyFill="0" applyBorder="0" applyAlignment="0" applyProtection="0"/>
    <xf numFmtId="0" fontId="1" fillId="0" borderId="0"/>
    <xf numFmtId="0" fontId="151" fillId="73" borderId="0" applyNumberFormat="0" applyBorder="0" applyAlignment="0" applyProtection="0"/>
    <xf numFmtId="0" fontId="1" fillId="40"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43" fontId="1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6" borderId="0" applyNumberFormat="0" applyBorder="0" applyAlignment="0" applyProtection="0"/>
    <xf numFmtId="0" fontId="1" fillId="44" borderId="0" applyNumberFormat="0" applyBorder="0" applyAlignment="0" applyProtection="0"/>
    <xf numFmtId="0" fontId="1" fillId="41" borderId="0" applyNumberFormat="0" applyBorder="0" applyAlignment="0" applyProtection="0"/>
    <xf numFmtId="0" fontId="1" fillId="0" borderId="0"/>
    <xf numFmtId="0" fontId="1" fillId="48" borderId="0" applyNumberFormat="0" applyBorder="0" applyAlignment="0" applyProtection="0"/>
    <xf numFmtId="43" fontId="151" fillId="0" borderId="0" applyFont="0" applyFill="0" applyBorder="0" applyAlignment="0" applyProtection="0"/>
    <xf numFmtId="0" fontId="1" fillId="0" borderId="0"/>
    <xf numFmtId="0" fontId="1" fillId="56" borderId="0" applyNumberFormat="0" applyBorder="0" applyAlignment="0" applyProtection="0"/>
    <xf numFmtId="0" fontId="1" fillId="45" borderId="0" applyNumberFormat="0" applyBorder="0" applyAlignment="0" applyProtection="0"/>
    <xf numFmtId="0" fontId="151" fillId="73" borderId="0" applyNumberFormat="0" applyBorder="0" applyAlignment="0" applyProtection="0"/>
    <xf numFmtId="43" fontId="1" fillId="0" borderId="0" applyFont="0" applyFill="0" applyBorder="0" applyAlignment="0" applyProtection="0"/>
    <xf numFmtId="0" fontId="1" fillId="0" borderId="0"/>
    <xf numFmtId="43" fontId="17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7" fillId="0" borderId="0"/>
    <xf numFmtId="0" fontId="1" fillId="0" borderId="0"/>
    <xf numFmtId="0" fontId="1" fillId="0" borderId="0"/>
    <xf numFmtId="0" fontId="1" fillId="0" borderId="0"/>
    <xf numFmtId="0" fontId="1" fillId="0" borderId="0"/>
    <xf numFmtId="0" fontId="10" fillId="0" borderId="0"/>
    <xf numFmtId="0" fontId="157" fillId="0" borderId="0"/>
    <xf numFmtId="0" fontId="176" fillId="0" borderId="0"/>
    <xf numFmtId="0" fontId="1" fillId="0" borderId="0"/>
    <xf numFmtId="0" fontId="176" fillId="0" borderId="0"/>
    <xf numFmtId="0" fontId="1" fillId="0" borderId="0"/>
    <xf numFmtId="0" fontId="1" fillId="0" borderId="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57" fillId="0" borderId="0" applyFont="0" applyFill="0" applyBorder="0" applyAlignment="0" applyProtection="0">
      <alignment vertical="top"/>
    </xf>
    <xf numFmtId="0" fontId="1" fillId="0" borderId="0"/>
    <xf numFmtId="0" fontId="154" fillId="61" borderId="0" applyNumberFormat="0" applyBorder="0" applyAlignment="0" applyProtection="0"/>
    <xf numFmtId="43" fontId="157" fillId="0" borderId="0" applyFont="0" applyFill="0" applyBorder="0" applyAlignment="0" applyProtection="0"/>
    <xf numFmtId="0" fontId="1" fillId="44" borderId="0" applyNumberFormat="0" applyBorder="0" applyAlignment="0" applyProtection="0"/>
    <xf numFmtId="0" fontId="171" fillId="62" borderId="0" applyNumberFormat="0" applyBorder="0" applyAlignment="0" applyProtection="0"/>
    <xf numFmtId="0" fontId="1" fillId="52" borderId="0" applyNumberFormat="0" applyBorder="0" applyAlignment="0" applyProtection="0"/>
    <xf numFmtId="0" fontId="10" fillId="0" borderId="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57" fillId="0" borderId="0"/>
    <xf numFmtId="0" fontId="1" fillId="34" borderId="173" applyNumberFormat="0" applyFont="0" applyAlignment="0" applyProtection="0"/>
    <xf numFmtId="0" fontId="1" fillId="48" borderId="0" applyNumberFormat="0" applyBorder="0" applyAlignment="0" applyProtection="0"/>
    <xf numFmtId="0" fontId="1" fillId="37" borderId="0" applyNumberFormat="0" applyBorder="0" applyAlignment="0" applyProtection="0"/>
    <xf numFmtId="0" fontId="1" fillId="49"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xf numFmtId="0" fontId="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0" fontId="10" fillId="0" borderId="0"/>
    <xf numFmtId="0" fontId="176" fillId="0" borderId="0"/>
    <xf numFmtId="0" fontId="1" fillId="48" borderId="0" applyNumberFormat="0" applyBorder="0" applyAlignment="0" applyProtection="0"/>
    <xf numFmtId="0" fontId="1" fillId="0" borderId="0"/>
    <xf numFmtId="0" fontId="151" fillId="61" borderId="0" applyNumberFormat="0" applyBorder="0" applyAlignment="0" applyProtection="0"/>
    <xf numFmtId="43" fontId="1" fillId="0" borderId="0" applyFont="0" applyFill="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0" fontId="157" fillId="0" borderId="0"/>
    <xf numFmtId="0" fontId="157" fillId="0" borderId="0"/>
    <xf numFmtId="44" fontId="1" fillId="0" borderId="0" applyFont="0" applyFill="0" applyBorder="0" applyAlignment="0" applyProtection="0"/>
    <xf numFmtId="0" fontId="1" fillId="34" borderId="173" applyNumberFormat="0" applyFont="0" applyAlignment="0" applyProtection="0"/>
    <xf numFmtId="0" fontId="1" fillId="0" borderId="0"/>
    <xf numFmtId="43" fontId="158" fillId="0" borderId="0" applyFont="0" applyFill="0" applyBorder="0" applyAlignment="0" applyProtection="0"/>
    <xf numFmtId="0" fontId="1" fillId="0" borderId="0"/>
    <xf numFmtId="0" fontId="1" fillId="0" borderId="0"/>
    <xf numFmtId="0" fontId="1" fillId="3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0" borderId="0" applyNumberFormat="0" applyBorder="0" applyAlignment="0" applyProtection="0"/>
    <xf numFmtId="0" fontId="1" fillId="45" borderId="0" applyNumberFormat="0" applyBorder="0" applyAlignment="0" applyProtection="0"/>
    <xf numFmtId="0" fontId="157" fillId="0" borderId="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48" borderId="0" applyNumberFormat="0" applyBorder="0" applyAlignment="0" applyProtection="0"/>
    <xf numFmtId="0" fontId="1" fillId="36"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179" applyNumberFormat="0" applyFill="0" applyAlignment="0" applyProtection="0"/>
    <xf numFmtId="0" fontId="153" fillId="0" borderId="179" applyNumberFormat="0" applyFill="0" applyAlignment="0" applyProtection="0"/>
    <xf numFmtId="0" fontId="1" fillId="0" borderId="0"/>
    <xf numFmtId="0" fontId="1" fillId="0" borderId="0"/>
    <xf numFmtId="0" fontId="1" fillId="48" borderId="0" applyNumberFormat="0" applyBorder="0" applyAlignment="0" applyProtection="0"/>
    <xf numFmtId="0" fontId="1" fillId="0" borderId="0"/>
    <xf numFmtId="0" fontId="1" fillId="73" borderId="0" applyNumberFormat="0" applyBorder="0" applyAlignment="0" applyProtection="0"/>
    <xf numFmtId="43" fontId="1" fillId="0" borderId="0" applyFont="0" applyFill="0" applyBorder="0" applyAlignment="0" applyProtection="0"/>
    <xf numFmtId="0" fontId="1" fillId="34" borderId="173"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52"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53" fillId="0" borderId="179" applyNumberFormat="0" applyFill="0" applyAlignment="0" applyProtection="0"/>
    <xf numFmtId="0" fontId="1" fillId="36" borderId="0" applyNumberFormat="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52" fillId="0" borderId="0"/>
    <xf numFmtId="43" fontId="1" fillId="0" borderId="0" applyFont="0" applyFill="0" applyBorder="0" applyAlignment="0" applyProtection="0"/>
    <xf numFmtId="0" fontId="1" fillId="49" borderId="0" applyNumberFormat="0" applyBorder="0" applyAlignment="0" applyProtection="0"/>
    <xf numFmtId="43" fontId="1" fillId="0" borderId="0" applyFont="0" applyFill="0" applyBorder="0" applyAlignment="0" applyProtection="0"/>
    <xf numFmtId="0" fontId="1" fillId="45" borderId="0" applyNumberFormat="0" applyBorder="0" applyAlignment="0" applyProtection="0"/>
    <xf numFmtId="0" fontId="1" fillId="0" borderId="0"/>
    <xf numFmtId="0" fontId="1" fillId="44" borderId="0" applyNumberFormat="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0" fontId="1" fillId="5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53" fillId="0" borderId="17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57" fillId="0" borderId="0"/>
    <xf numFmtId="0" fontId="1" fillId="56" borderId="0" applyNumberFormat="0" applyBorder="0" applyAlignment="0" applyProtection="0"/>
    <xf numFmtId="43" fontId="1" fillId="0" borderId="0" applyFont="0" applyFill="0" applyBorder="0" applyAlignment="0" applyProtection="0"/>
    <xf numFmtId="0" fontId="1" fillId="57" borderId="0" applyNumberFormat="0" applyBorder="0" applyAlignment="0" applyProtection="0"/>
    <xf numFmtId="0" fontId="1" fillId="0" borderId="0"/>
    <xf numFmtId="0" fontId="1" fillId="0" borderId="0"/>
    <xf numFmtId="0" fontId="1" fillId="49" borderId="0" applyNumberFormat="0" applyBorder="0" applyAlignment="0" applyProtection="0"/>
    <xf numFmtId="0" fontId="1" fillId="45" borderId="0" applyNumberFormat="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7"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73"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73"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6"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0" fontId="1" fillId="0" borderId="0"/>
    <xf numFmtId="0" fontId="1" fillId="44" borderId="0" applyNumberFormat="0" applyBorder="0" applyAlignment="0" applyProtection="0"/>
    <xf numFmtId="0" fontId="1" fillId="0" borderId="0"/>
    <xf numFmtId="0" fontId="1" fillId="4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53" fillId="0" borderId="179"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6" borderId="0" applyNumberFormat="0" applyBorder="0" applyAlignment="0" applyProtection="0"/>
    <xf numFmtId="0" fontId="1" fillId="41" borderId="0" applyNumberFormat="0" applyBorder="0" applyAlignment="0" applyProtection="0"/>
    <xf numFmtId="0" fontId="1" fillId="0" borderId="0"/>
    <xf numFmtId="44" fontId="1" fillId="0" borderId="0" applyFont="0" applyFill="0" applyBorder="0" applyAlignment="0" applyProtection="0"/>
    <xf numFmtId="0" fontId="10" fillId="0" borderId="0"/>
    <xf numFmtId="43" fontId="1" fillId="0" borderId="0" applyFont="0" applyFill="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53" fillId="0" borderId="179" applyNumberFormat="0" applyFill="0" applyAlignment="0" applyProtection="0"/>
    <xf numFmtId="0" fontId="1" fillId="0" borderId="0"/>
    <xf numFmtId="0" fontId="1" fillId="37" borderId="0" applyNumberFormat="0" applyBorder="0" applyAlignment="0" applyProtection="0"/>
    <xf numFmtId="0" fontId="1" fillId="0" borderId="0"/>
    <xf numFmtId="0" fontId="1" fillId="36" borderId="0" applyNumberFormat="0" applyBorder="0" applyAlignment="0" applyProtection="0"/>
    <xf numFmtId="0" fontId="1" fillId="34" borderId="173"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52" fillId="0" borderId="0"/>
    <xf numFmtId="43" fontId="1" fillId="0" borderId="0" applyFont="0" applyFill="0" applyBorder="0" applyAlignment="0" applyProtection="0"/>
    <xf numFmtId="43" fontId="1" fillId="0" borderId="0" applyFont="0" applyFill="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3" fillId="0" borderId="179" applyNumberFormat="0" applyFill="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8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57" fillId="0" borderId="0" applyFont="0" applyFill="0" applyBorder="0" applyAlignment="0" applyProtection="0">
      <alignment vertical="top"/>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 fillId="0" borderId="0" applyFont="0" applyFill="0" applyBorder="0" applyAlignment="0" applyProtection="0"/>
    <xf numFmtId="43" fontId="158" fillId="0" borderId="0" applyFont="0" applyFill="0" applyBorder="0" applyAlignment="0" applyProtection="0"/>
    <xf numFmtId="44" fontId="10" fillId="0" borderId="0" applyFont="0" applyFill="0" applyBorder="0" applyAlignment="0" applyProtection="0"/>
    <xf numFmtId="0" fontId="158" fillId="0" borderId="0"/>
    <xf numFmtId="0" fontId="158"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0" fillId="0" borderId="0"/>
    <xf numFmtId="0" fontId="10" fillId="0" borderId="0"/>
    <xf numFmtId="0" fontId="10" fillId="0" borderId="0"/>
    <xf numFmtId="0" fontId="10" fillId="0" borderId="0"/>
    <xf numFmtId="0" fontId="157" fillId="0" borderId="0">
      <alignment vertical="top"/>
    </xf>
    <xf numFmtId="0" fontId="10" fillId="0" borderId="0"/>
    <xf numFmtId="0" fontId="10" fillId="0" borderId="0"/>
    <xf numFmtId="0" fontId="152" fillId="0" borderId="0"/>
    <xf numFmtId="0" fontId="152" fillId="0" borderId="0"/>
    <xf numFmtId="0" fontId="157" fillId="0" borderId="0">
      <alignment vertical="top"/>
    </xf>
    <xf numFmtId="0" fontId="152" fillId="0" borderId="0"/>
    <xf numFmtId="0" fontId="152" fillId="0" borderId="0"/>
    <xf numFmtId="0" fontId="158" fillId="0" borderId="0"/>
    <xf numFmtId="0" fontId="158" fillId="0" borderId="0"/>
    <xf numFmtId="0" fontId="158" fillId="0" borderId="0"/>
    <xf numFmtId="0" fontId="158" fillId="0" borderId="0"/>
    <xf numFmtId="9" fontId="10" fillId="0" borderId="0" applyFont="0" applyFill="0" applyBorder="0" applyAlignment="0" applyProtection="0"/>
    <xf numFmtId="0" fontId="153" fillId="0" borderId="18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52" fillId="0" borderId="0"/>
    <xf numFmtId="44" fontId="10" fillId="0" borderId="0" applyFont="0" applyFill="0" applyBorder="0" applyAlignment="0" applyProtection="0"/>
    <xf numFmtId="0" fontId="157" fillId="0" borderId="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3" fillId="0" borderId="184" applyNumberFormat="0" applyFill="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3" fillId="0" borderId="184" applyNumberFormat="0" applyFill="0" applyAlignment="0" applyProtection="0"/>
    <xf numFmtId="43" fontId="1" fillId="0" borderId="0" applyFont="0" applyFill="0" applyBorder="0" applyAlignment="0" applyProtection="0"/>
    <xf numFmtId="0" fontId="1" fillId="0" borderId="0"/>
    <xf numFmtId="0" fontId="1" fillId="0" borderId="0"/>
    <xf numFmtId="0" fontId="152" fillId="0" borderId="0"/>
    <xf numFmtId="43" fontId="157"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53" fillId="0" borderId="184"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53" fillId="0" borderId="183"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256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0" fillId="0" borderId="0" xfId="0"/>
    <xf numFmtId="0" fontId="20" fillId="0" borderId="2" xfId="12" applyNumberFormat="1" applyFont="1" applyBorder="1" applyAlignment="1" applyProtection="1">
      <alignment horizontal="center" vertical="center"/>
      <protection locked="0"/>
    </xf>
    <xf numFmtId="0" fontId="11" fillId="0" borderId="0" xfId="1048" quotePrefix="1" applyFont="1" applyFill="1" applyBorder="1" applyAlignment="1">
      <alignment horizontal="center"/>
    </xf>
    <xf numFmtId="0" fontId="12" fillId="0" borderId="0" xfId="0" applyFont="1" applyAlignment="1">
      <alignment horizontal="center"/>
    </xf>
    <xf numFmtId="37" fontId="11" fillId="0" borderId="0" xfId="0" applyNumberFormat="1" applyFont="1" applyFill="1"/>
    <xf numFmtId="37" fontId="11" fillId="0" borderId="0" xfId="480" applyNumberFormat="1" applyFont="1" applyFill="1" applyBorder="1"/>
    <xf numFmtId="0" fontId="11" fillId="0" borderId="0" xfId="354" quotePrefix="1" applyFont="1" applyFill="1" applyAlignment="1">
      <alignment horizontal="center"/>
    </xf>
    <xf numFmtId="0" fontId="11" fillId="0" borderId="0" xfId="354" applyFont="1" applyFill="1" applyBorder="1" applyProtection="1"/>
    <xf numFmtId="0" fontId="11" fillId="0" borderId="0" xfId="354" applyFont="1" applyFill="1" applyBorder="1" applyAlignment="1" applyProtection="1">
      <alignment horizontal="center"/>
    </xf>
    <xf numFmtId="0" fontId="11" fillId="0" borderId="0" xfId="1141" applyFont="1" applyFill="1" applyProtection="1"/>
    <xf numFmtId="0" fontId="11" fillId="0" borderId="76" xfId="0" applyFont="1" applyFill="1" applyBorder="1" applyAlignment="1">
      <alignment horizontal="center"/>
    </xf>
    <xf numFmtId="37" fontId="11" fillId="0" borderId="76" xfId="1" applyNumberFormat="1" applyFont="1" applyFill="1" applyBorder="1"/>
    <xf numFmtId="37" fontId="11" fillId="0" borderId="0" xfId="1048" applyNumberFormat="1" applyFont="1" applyFill="1" applyBorder="1"/>
    <xf numFmtId="37" fontId="11" fillId="0" borderId="0" xfId="1" applyNumberFormat="1" applyFont="1" applyFill="1"/>
    <xf numFmtId="37" fontId="11" fillId="0" borderId="78" xfId="0" applyNumberFormat="1" applyFont="1" applyFill="1" applyBorder="1"/>
    <xf numFmtId="0" fontId="11" fillId="0" borderId="78" xfId="0" applyFont="1" applyFill="1" applyBorder="1" applyAlignment="1">
      <alignment horizontal="center"/>
    </xf>
    <xf numFmtId="0" fontId="11" fillId="0" borderId="78" xfId="0" applyFont="1" applyFill="1" applyBorder="1"/>
    <xf numFmtId="37" fontId="11" fillId="0" borderId="76" xfId="0" applyNumberFormat="1" applyFont="1" applyFill="1" applyBorder="1"/>
    <xf numFmtId="0" fontId="11" fillId="0" borderId="0" xfId="1221" applyFont="1" applyFill="1" applyBorder="1" applyAlignment="1">
      <alignment horizontal="center"/>
    </xf>
    <xf numFmtId="181" fontId="11" fillId="0" borderId="0" xfId="1" applyNumberFormat="1" applyFont="1" applyFill="1"/>
    <xf numFmtId="3" fontId="11" fillId="0" borderId="76" xfId="0" applyNumberFormat="1" applyFont="1" applyFill="1" applyBorder="1"/>
    <xf numFmtId="0" fontId="11" fillId="0" borderId="0" xfId="354" applyFont="1" applyFill="1" applyAlignment="1" applyProtection="1">
      <alignment horizontal="center" shrinkToFit="1"/>
    </xf>
    <xf numFmtId="0" fontId="11" fillId="0" borderId="78" xfId="0" applyFont="1" applyFill="1" applyBorder="1" applyAlignment="1">
      <alignment horizontal="right"/>
    </xf>
    <xf numFmtId="0" fontId="11" fillId="0" borderId="78" xfId="354" quotePrefix="1" applyFont="1" applyFill="1" applyBorder="1" applyAlignment="1" applyProtection="1">
      <alignment horizontal="center"/>
    </xf>
    <xf numFmtId="0" fontId="11" fillId="0" borderId="0" xfId="354" applyFont="1" applyFill="1" applyBorder="1" applyAlignment="1" applyProtection="1">
      <alignment horizontal="center" shrinkToFit="1"/>
    </xf>
    <xf numFmtId="0" fontId="11" fillId="0" borderId="0" xfId="480" quotePrefix="1" applyFont="1" applyFill="1" applyBorder="1"/>
    <xf numFmtId="0" fontId="11" fillId="0" borderId="78" xfId="354" applyFont="1" applyFill="1" applyBorder="1" applyAlignment="1" applyProtection="1">
      <alignment horizontal="center" shrinkToFit="1"/>
    </xf>
    <xf numFmtId="0" fontId="11" fillId="0" borderId="78" xfId="1221" applyFont="1" applyFill="1" applyBorder="1" applyAlignment="1">
      <alignment horizontal="center"/>
    </xf>
    <xf numFmtId="0" fontId="11" fillId="0" borderId="0" xfId="354" quotePrefix="1" applyFont="1" applyFill="1" applyAlignment="1" applyProtection="1">
      <alignment horizontal="center"/>
    </xf>
    <xf numFmtId="0" fontId="11" fillId="0" borderId="76" xfId="1221"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0" fontId="11" fillId="0" borderId="0" xfId="354" quotePrefix="1" applyFont="1" applyFill="1" applyBorder="1" applyAlignment="1" applyProtection="1">
      <alignment horizontal="center"/>
    </xf>
    <xf numFmtId="37" fontId="11" fillId="0" borderId="0" xfId="0" applyNumberFormat="1" applyFont="1" applyFill="1" applyBorder="1"/>
    <xf numFmtId="0" fontId="11" fillId="0" borderId="0" xfId="0" applyFont="1" applyFill="1" applyBorder="1" applyAlignment="1">
      <alignment horizontal="right"/>
    </xf>
    <xf numFmtId="0" fontId="10" fillId="0" borderId="0" xfId="0" applyFont="1" applyFill="1"/>
    <xf numFmtId="164" fontId="11" fillId="0" borderId="0" xfId="0" applyNumberFormat="1" applyFont="1" applyFill="1"/>
    <xf numFmtId="164" fontId="57" fillId="0" borderId="0" xfId="0" applyNumberFormat="1" applyFont="1" applyFill="1"/>
    <xf numFmtId="0" fontId="12" fillId="0" borderId="0" xfId="0" applyFont="1" applyAlignment="1">
      <alignment horizontal="center"/>
    </xf>
    <xf numFmtId="0" fontId="1" fillId="0" borderId="158" xfId="17" applyFont="1" applyBorder="1" applyAlignment="1" applyProtection="1">
      <alignment horizontal="left" vertical="top" wrapText="1"/>
      <protection locked="0"/>
    </xf>
    <xf numFmtId="0" fontId="12" fillId="18" borderId="182" xfId="0" applyFont="1" applyFill="1" applyBorder="1" applyAlignment="1">
      <alignment horizontal="center"/>
    </xf>
    <xf numFmtId="0" fontId="12" fillId="18" borderId="180" xfId="0" applyFont="1" applyFill="1" applyBorder="1" applyAlignment="1">
      <alignment horizontal="center"/>
    </xf>
    <xf numFmtId="0" fontId="12" fillId="18" borderId="180" xfId="0" applyFont="1" applyFill="1" applyBorder="1" applyAlignment="1">
      <alignment horizontal="center" wrapText="1"/>
    </xf>
    <xf numFmtId="0" fontId="12" fillId="18" borderId="181" xfId="0" applyFont="1" applyFill="1" applyBorder="1" applyAlignment="1">
      <alignment horizontal="center" wrapText="1"/>
    </xf>
    <xf numFmtId="5" fontId="12" fillId="0" borderId="181" xfId="0" applyNumberFormat="1" applyFont="1" applyFill="1" applyBorder="1"/>
    <xf numFmtId="5" fontId="12" fillId="0" borderId="182" xfId="0" applyNumberFormat="1" applyFont="1" applyFill="1" applyBorder="1"/>
    <xf numFmtId="0" fontId="0" fillId="0" borderId="0" xfId="0" applyFill="1" applyAlignment="1">
      <alignment horizontal="center"/>
    </xf>
    <xf numFmtId="5" fontId="12" fillId="0" borderId="180" xfId="0" applyNumberFormat="1" applyFont="1" applyFill="1" applyBorder="1"/>
    <xf numFmtId="5" fontId="11" fillId="0" borderId="0" xfId="0" applyNumberFormat="1" applyFont="1" applyFill="1"/>
    <xf numFmtId="5" fontId="11" fillId="0" borderId="0" xfId="480" applyNumberFormat="1" applyFont="1" applyFill="1" applyBorder="1"/>
    <xf numFmtId="5" fontId="0" fillId="0" borderId="0" xfId="0" applyNumberFormat="1" applyFill="1"/>
    <xf numFmtId="5" fontId="11" fillId="0" borderId="0" xfId="1" applyNumberFormat="1" applyFont="1" applyFill="1"/>
    <xf numFmtId="5" fontId="11" fillId="0" borderId="0" xfId="1048" applyNumberFormat="1" applyFont="1" applyFill="1" applyBorder="1"/>
    <xf numFmtId="1" fontId="11" fillId="0" borderId="0" xfId="1" applyNumberFormat="1" applyFont="1" applyFill="1"/>
    <xf numFmtId="0" fontId="11" fillId="0" borderId="0" xfId="0" applyFont="1" applyFill="1" applyAlignment="1">
      <alignment horizontal="left" indent="2"/>
    </xf>
    <xf numFmtId="5" fontId="57" fillId="0" borderId="9" xfId="3" applyNumberFormat="1" applyFont="1" applyBorder="1" applyProtection="1">
      <protection locked="0"/>
    </xf>
    <xf numFmtId="5" fontId="11" fillId="0" borderId="78" xfId="0" applyNumberFormat="1" applyFont="1" applyFill="1" applyBorder="1"/>
    <xf numFmtId="37" fontId="11" fillId="0" borderId="0" xfId="0" applyNumberFormat="1" applyFont="1" applyFill="1" applyAlignment="1">
      <alignment horizontal="right"/>
    </xf>
    <xf numFmtId="0" fontId="12" fillId="0" borderId="78" xfId="0" applyFont="1" applyFill="1" applyBorder="1"/>
    <xf numFmtId="0" fontId="0" fillId="0" borderId="0" xfId="0" applyFill="1"/>
    <xf numFmtId="0" fontId="11" fillId="0" borderId="0" xfId="0" applyFont="1" applyFill="1"/>
    <xf numFmtId="0" fontId="10" fillId="0" borderId="0" xfId="0" applyFont="1" applyFill="1"/>
    <xf numFmtId="0" fontId="11" fillId="0" borderId="0" xfId="480" quotePrefix="1" applyFont="1" applyFill="1" applyBorder="1" applyAlignment="1">
      <alignment horizontal="center"/>
    </xf>
    <xf numFmtId="0" fontId="11" fillId="0" borderId="0" xfId="480" applyFont="1" applyFill="1" applyBorder="1" applyAlignment="1">
      <alignment horizontal="center"/>
    </xf>
    <xf numFmtId="0" fontId="11" fillId="0" borderId="0" xfId="0" applyFont="1" applyFill="1" applyAlignment="1">
      <alignment horizontal="right"/>
    </xf>
    <xf numFmtId="0" fontId="12" fillId="0" borderId="0" xfId="0" applyFont="1" applyFill="1"/>
    <xf numFmtId="0" fontId="11" fillId="0" borderId="0" xfId="0" applyFont="1" applyFill="1" applyAlignment="1">
      <alignment horizontal="center"/>
    </xf>
    <xf numFmtId="0" fontId="11" fillId="0" borderId="76" xfId="0" applyFont="1" applyFill="1" applyBorder="1"/>
    <xf numFmtId="0" fontId="11" fillId="0" borderId="0" xfId="0" quotePrefix="1" applyFont="1" applyFill="1" applyAlignment="1">
      <alignment horizontal="center"/>
    </xf>
    <xf numFmtId="3" fontId="11" fillId="0" borderId="0" xfId="0" applyNumberFormat="1" applyFont="1" applyFill="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12" fillId="0" borderId="0" xfId="0" applyFont="1" applyAlignment="1">
      <alignment horizont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10" fillId="0" borderId="0" xfId="3" applyFont="1" applyBorder="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5464">
    <cellStyle name="20% - Accent1 2" xfId="26"/>
    <cellStyle name="20% - Accent1 2 2" xfId="27"/>
    <cellStyle name="20% - Accent1 2 2 2" xfId="4304"/>
    <cellStyle name="20% - Accent1 2 2 3" xfId="4173"/>
    <cellStyle name="20% - Accent1 2 3" xfId="28"/>
    <cellStyle name="20% - Accent1 2 3 10" xfId="2870"/>
    <cellStyle name="20% - Accent1 2 3 2" xfId="824"/>
    <cellStyle name="20% - Accent1 2 3 2 2" xfId="930"/>
    <cellStyle name="20% - Accent1 2 3 2 2 2" xfId="1303"/>
    <cellStyle name="20% - Accent1 2 3 2 2 2 2" xfId="2283"/>
    <cellStyle name="20% - Accent1 2 3 2 2 2 2 2" xfId="4693"/>
    <cellStyle name="20% - Accent1 2 3 2 2 2 3" xfId="3568"/>
    <cellStyle name="20% - Accent1 2 3 2 2 3" xfId="1537"/>
    <cellStyle name="20% - Accent1 2 3 2 2 3 2" xfId="2517"/>
    <cellStyle name="20% - Accent1 2 3 2 2 3 2 2" xfId="5076"/>
    <cellStyle name="20% - Accent1 2 3 2 2 3 3" xfId="3974"/>
    <cellStyle name="20% - Accent1 2 3 2 2 4" xfId="1771"/>
    <cellStyle name="20% - Accent1 2 3 2 2 4 2" xfId="2750"/>
    <cellStyle name="20% - Accent1 2 3 2 2 4 3" xfId="4425"/>
    <cellStyle name="20% - Accent1 2 3 2 2 4 4" xfId="5433"/>
    <cellStyle name="20% - Accent1 2 3 2 2 5" xfId="2008"/>
    <cellStyle name="20% - Accent1 2 3 2 2 6" xfId="3152"/>
    <cellStyle name="20% - Accent1 2 3 2 3" xfId="1012"/>
    <cellStyle name="20% - Accent1 2 3 2 3 2" xfId="1380"/>
    <cellStyle name="20% - Accent1 2 3 2 3 2 2" xfId="2360"/>
    <cellStyle name="20% - Accent1 2 3 2 3 2 2 2" xfId="4796"/>
    <cellStyle name="20% - Accent1 2 3 2 3 2 3" xfId="3673"/>
    <cellStyle name="20% - Accent1 2 3 2 3 3" xfId="1614"/>
    <cellStyle name="20% - Accent1 2 3 2 3 3 2" xfId="2594"/>
    <cellStyle name="20% - Accent1 2 3 2 3 3 2 2" xfId="5181"/>
    <cellStyle name="20% - Accent1 2 3 2 3 3 3" xfId="4079"/>
    <cellStyle name="20% - Accent1 2 3 2 3 4" xfId="1848"/>
    <cellStyle name="20% - Accent1 2 3 2 3 4 2" xfId="2827"/>
    <cellStyle name="20% - Accent1 2 3 2 3 4 3" xfId="4559"/>
    <cellStyle name="20% - Accent1 2 3 2 3 4 4" xfId="5452"/>
    <cellStyle name="20% - Accent1 2 3 2 3 5" xfId="2085"/>
    <cellStyle name="20% - Accent1 2 3 2 3 6" xfId="3259"/>
    <cellStyle name="20% - Accent1 2 3 2 4" xfId="1224"/>
    <cellStyle name="20% - Accent1 2 3 2 4 2" xfId="2206"/>
    <cellStyle name="20% - Accent1 2 3 2 4 2 2" xfId="4867"/>
    <cellStyle name="20% - Accent1 2 3 2 4 2 3" xfId="3463"/>
    <cellStyle name="20% - Accent1 2 3 2 4 3" xfId="3869"/>
    <cellStyle name="20% - Accent1 2 3 2 4 4" xfId="4500"/>
    <cellStyle name="20% - Accent1 2 3 2 4 5" xfId="3032"/>
    <cellStyle name="20% - Accent1 2 3 2 5" xfId="1460"/>
    <cellStyle name="20% - Accent1 2 3 2 5 2" xfId="2440"/>
    <cellStyle name="20% - Accent1 2 3 2 5 2 2" xfId="4530"/>
    <cellStyle name="20% - Accent1 2 3 2 5 3" xfId="3389"/>
    <cellStyle name="20% - Accent1 2 3 2 6" xfId="1671"/>
    <cellStyle name="20% - Accent1 2 3 2 6 2" xfId="2651"/>
    <cellStyle name="20% - Accent1 2 3 2 6 2 2" xfId="4924"/>
    <cellStyle name="20% - Accent1 2 3 2 6 3" xfId="3796"/>
    <cellStyle name="20% - Accent1 2 3 2 7" xfId="1931"/>
    <cellStyle name="20% - Accent1 2 3 2 7 2" xfId="4869"/>
    <cellStyle name="20% - Accent1 2 3 2 8" xfId="4277"/>
    <cellStyle name="20% - Accent1 2 3 2 9" xfId="2907"/>
    <cellStyle name="20% - Accent1 2 3 3" xfId="859"/>
    <cellStyle name="20% - Accent1 2 3 3 2" xfId="1259"/>
    <cellStyle name="20% - Accent1 2 3 3 2 2" xfId="2241"/>
    <cellStyle name="20% - Accent1 2 3 3 2 2 2" xfId="4726"/>
    <cellStyle name="20% - Accent1 2 3 3 2 2 3" xfId="3602"/>
    <cellStyle name="20% - Accent1 2 3 3 2 3" xfId="4008"/>
    <cellStyle name="20% - Accent1 2 3 3 2 3 2" xfId="5110"/>
    <cellStyle name="20% - Accent1 2 3 3 2 4" xfId="4452"/>
    <cellStyle name="20% - Accent1 2 3 3 2 5" xfId="3186"/>
    <cellStyle name="20% - Accent1 2 3 3 3" xfId="1495"/>
    <cellStyle name="20% - Accent1 2 3 3 3 2" xfId="2475"/>
    <cellStyle name="20% - Accent1 2 3 3 3 2 2" xfId="5215"/>
    <cellStyle name="20% - Accent1 2 3 3 3 2 3" xfId="3707"/>
    <cellStyle name="20% - Accent1 2 3 3 3 3" xfId="4113"/>
    <cellStyle name="20% - Accent1 2 3 3 3 4" xfId="4586"/>
    <cellStyle name="20% - Accent1 2 3 3 3 5" xfId="3297"/>
    <cellStyle name="20% - Accent1 2 3 3 4" xfId="1729"/>
    <cellStyle name="20% - Accent1 2 3 3 4 2" xfId="2708"/>
    <cellStyle name="20% - Accent1 2 3 3 4 2 2" xfId="4952"/>
    <cellStyle name="20% - Accent1 2 3 3 4 3" xfId="3497"/>
    <cellStyle name="20% - Accent1 2 3 3 5" xfId="1966"/>
    <cellStyle name="20% - Accent1 2 3 3 5 2" xfId="3903"/>
    <cellStyle name="20% - Accent1 2 3 3 6" xfId="4305"/>
    <cellStyle name="20% - Accent1 2 3 3 7" xfId="3070"/>
    <cellStyle name="20% - Accent1 2 3 4" xfId="970"/>
    <cellStyle name="20% - Accent1 2 3 4 2" xfId="1338"/>
    <cellStyle name="20% - Accent1 2 3 4 2 2" xfId="2318"/>
    <cellStyle name="20% - Accent1 2 3 4 2 2 2" xfId="4679"/>
    <cellStyle name="20% - Accent1 2 3 4 2 3" xfId="3543"/>
    <cellStyle name="20% - Accent1 2 3 4 3" xfId="1572"/>
    <cellStyle name="20% - Accent1 2 3 4 3 2" xfId="2552"/>
    <cellStyle name="20% - Accent1 2 3 4 3 2 2" xfId="5051"/>
    <cellStyle name="20% - Accent1 2 3 4 3 3" xfId="3949"/>
    <cellStyle name="20% - Accent1 2 3 4 4" xfId="1806"/>
    <cellStyle name="20% - Accent1 2 3 4 4 2" xfId="2785"/>
    <cellStyle name="20% - Accent1 2 3 4 4 3" xfId="4397"/>
    <cellStyle name="20% - Accent1 2 3 4 4 4" xfId="5442"/>
    <cellStyle name="20% - Accent1 2 3 4 5" xfId="2043"/>
    <cellStyle name="20% - Accent1 2 3 4 6" xfId="3127"/>
    <cellStyle name="20% - Accent1 2 3 5" xfId="1049"/>
    <cellStyle name="20% - Accent1 2 3 5 2" xfId="2120"/>
    <cellStyle name="20% - Accent1 2 3 5 2 2" xfId="4772"/>
    <cellStyle name="20% - Accent1 2 3 5 2 3" xfId="3648"/>
    <cellStyle name="20% - Accent1 2 3 5 3" xfId="4054"/>
    <cellStyle name="20% - Accent1 2 3 5 3 2" xfId="5156"/>
    <cellStyle name="20% - Accent1 2 3 5 4" xfId="4471"/>
    <cellStyle name="20% - Accent1 2 3 5 5" xfId="3232"/>
    <cellStyle name="20% - Accent1 2 3 6" xfId="1178"/>
    <cellStyle name="20% - Accent1 2 3 6 2" xfId="2164"/>
    <cellStyle name="20% - Accent1 2 3 6 2 2" xfId="4989"/>
    <cellStyle name="20% - Accent1 2 3 6 2 3" xfId="3437"/>
    <cellStyle name="20% - Accent1 2 3 6 3" xfId="3844"/>
    <cellStyle name="20% - Accent1 2 3 6 4" xfId="4617"/>
    <cellStyle name="20% - Accent1 2 3 6 5" xfId="2986"/>
    <cellStyle name="20% - Accent1 2 3 7" xfId="1418"/>
    <cellStyle name="20% - Accent1 2 3 7 2" xfId="2398"/>
    <cellStyle name="20% - Accent1 2 3 7 2 2" xfId="4851"/>
    <cellStyle name="20% - Accent1 2 3 7 3" xfId="3334"/>
    <cellStyle name="20% - Accent1 2 3 8" xfId="1651"/>
    <cellStyle name="20% - Accent1 2 3 8 2" xfId="2631"/>
    <cellStyle name="20% - Accent1 2 3 8 3" xfId="3758"/>
    <cellStyle name="20% - Accent1 2 3 9" xfId="1889"/>
    <cellStyle name="20% - Accent1 2 3 9 2" xfId="4174"/>
    <cellStyle name="20% - Accent1 2 4" xfId="756"/>
    <cellStyle name="20% - Accent1 2 4 2" xfId="4306"/>
    <cellStyle name="20% - Accent1 2 4 3" xfId="4175"/>
    <cellStyle name="20% - Accent1 2 5" xfId="755"/>
    <cellStyle name="20% - Accent1 2 5 2" xfId="4307"/>
    <cellStyle name="20% - Accent1 2 5 3" xfId="4176"/>
    <cellStyle name="20% - Accent1 2 6" xfId="1050"/>
    <cellStyle name="20% - Accent1 2 6 2" xfId="4308"/>
    <cellStyle name="20% - Accent1 2 6 3" xfId="4509"/>
    <cellStyle name="20% - Accent1 2 6 4" xfId="4264"/>
    <cellStyle name="20% - Accent1 2 6 5" xfId="2954"/>
    <cellStyle name="20% - Accent1 3" xfId="29"/>
    <cellStyle name="20% - Accent1 3 2" xfId="4309"/>
    <cellStyle name="20% - Accent1 3 3" xfId="4177"/>
    <cellStyle name="20% - Accent1 4" xfId="30"/>
    <cellStyle name="20% - Accent1 4 2" xfId="4310"/>
    <cellStyle name="20% - Accent1 4 3" xfId="4178"/>
    <cellStyle name="20% - Accent2 2" xfId="31"/>
    <cellStyle name="20% - Accent2 2 2" xfId="32"/>
    <cellStyle name="20% - Accent2 2 3" xfId="33"/>
    <cellStyle name="20% - Accent2 2 3 10" xfId="2871"/>
    <cellStyle name="20% - Accent2 2 3 2" xfId="825"/>
    <cellStyle name="20% - Accent2 2 3 2 2" xfId="931"/>
    <cellStyle name="20% - Accent2 2 3 2 2 2" xfId="1304"/>
    <cellStyle name="20% - Accent2 2 3 2 2 2 2" xfId="2284"/>
    <cellStyle name="20% - Accent2 2 3 2 2 2 2 2" xfId="4694"/>
    <cellStyle name="20% - Accent2 2 3 2 2 2 3" xfId="3569"/>
    <cellStyle name="20% - Accent2 2 3 2 2 3" xfId="1538"/>
    <cellStyle name="20% - Accent2 2 3 2 2 3 2" xfId="2518"/>
    <cellStyle name="20% - Accent2 2 3 2 2 3 2 2" xfId="5077"/>
    <cellStyle name="20% - Accent2 2 3 2 2 3 3" xfId="3975"/>
    <cellStyle name="20% - Accent2 2 3 2 2 4" xfId="1772"/>
    <cellStyle name="20% - Accent2 2 3 2 2 4 2" xfId="2751"/>
    <cellStyle name="20% - Accent2 2 3 2 2 4 3" xfId="4426"/>
    <cellStyle name="20% - Accent2 2 3 2 2 5" xfId="2009"/>
    <cellStyle name="20% - Accent2 2 3 2 2 6" xfId="3153"/>
    <cellStyle name="20% - Accent2 2 3 2 3" xfId="1013"/>
    <cellStyle name="20% - Accent2 2 3 2 3 2" xfId="1381"/>
    <cellStyle name="20% - Accent2 2 3 2 3 2 2" xfId="2361"/>
    <cellStyle name="20% - Accent2 2 3 2 3 2 2 2" xfId="5182"/>
    <cellStyle name="20% - Accent2 2 3 2 3 2 3" xfId="3674"/>
    <cellStyle name="20% - Accent2 2 3 2 3 3" xfId="1615"/>
    <cellStyle name="20% - Accent2 2 3 2 3 3 2" xfId="2595"/>
    <cellStyle name="20% - Accent2 2 3 2 3 3 3" xfId="4080"/>
    <cellStyle name="20% - Accent2 2 3 2 3 4" xfId="1849"/>
    <cellStyle name="20% - Accent2 2 3 2 3 4 2" xfId="2828"/>
    <cellStyle name="20% - Accent2 2 3 2 3 4 3" xfId="4560"/>
    <cellStyle name="20% - Accent2 2 3 2 3 5" xfId="2086"/>
    <cellStyle name="20% - Accent2 2 3 2 3 6" xfId="3260"/>
    <cellStyle name="20% - Accent2 2 3 2 4" xfId="1225"/>
    <cellStyle name="20% - Accent2 2 3 2 4 2" xfId="2207"/>
    <cellStyle name="20% - Accent2 2 3 2 4 2 2" xfId="4953"/>
    <cellStyle name="20% - Accent2 2 3 2 4 2 3" xfId="3464"/>
    <cellStyle name="20% - Accent2 2 3 2 4 3" xfId="3870"/>
    <cellStyle name="20% - Accent2 2 3 2 4 4" xfId="4623"/>
    <cellStyle name="20% - Accent2 2 3 2 4 5" xfId="3033"/>
    <cellStyle name="20% - Accent2 2 3 2 5" xfId="1461"/>
    <cellStyle name="20% - Accent2 2 3 2 5 2" xfId="2441"/>
    <cellStyle name="20% - Accent2 2 3 2 5 2 2" xfId="4925"/>
    <cellStyle name="20% - Accent2 2 3 2 5 3" xfId="3390"/>
    <cellStyle name="20% - Accent2 2 3 2 6" xfId="1670"/>
    <cellStyle name="20% - Accent2 2 3 2 6 2" xfId="2650"/>
    <cellStyle name="20% - Accent2 2 3 2 6 3" xfId="3797"/>
    <cellStyle name="20% - Accent2 2 3 2 7" xfId="1932"/>
    <cellStyle name="20% - Accent2 2 3 2 7 2" xfId="4278"/>
    <cellStyle name="20% - Accent2 2 3 2 8" xfId="2908"/>
    <cellStyle name="20% - Accent2 2 3 3" xfId="860"/>
    <cellStyle name="20% - Accent2 2 3 3 2" xfId="1260"/>
    <cellStyle name="20% - Accent2 2 3 3 2 2" xfId="2242"/>
    <cellStyle name="20% - Accent2 2 3 3 2 2 2" xfId="5111"/>
    <cellStyle name="20% - Accent2 2 3 3 2 2 3" xfId="3603"/>
    <cellStyle name="20% - Accent2 2 3 3 2 3" xfId="4009"/>
    <cellStyle name="20% - Accent2 2 3 3 2 4" xfId="4727"/>
    <cellStyle name="20% - Accent2 2 3 3 2 5" xfId="3187"/>
    <cellStyle name="20% - Accent2 2 3 3 3" xfId="1496"/>
    <cellStyle name="20% - Accent2 2 3 3 3 2" xfId="2476"/>
    <cellStyle name="20% - Accent2 2 3 3 3 2 2" xfId="5216"/>
    <cellStyle name="20% - Accent2 2 3 3 3 2 3" xfId="3708"/>
    <cellStyle name="20% - Accent2 2 3 3 3 3" xfId="4114"/>
    <cellStyle name="20% - Accent2 2 3 3 3 4" xfId="4805"/>
    <cellStyle name="20% - Accent2 2 3 3 3 5" xfId="3298"/>
    <cellStyle name="20% - Accent2 2 3 3 4" xfId="1730"/>
    <cellStyle name="20% - Accent2 2 3 3 4 2" xfId="2709"/>
    <cellStyle name="20% - Accent2 2 3 3 4 2 2" xfId="4649"/>
    <cellStyle name="20% - Accent2 2 3 3 4 3" xfId="3498"/>
    <cellStyle name="20% - Accent2 2 3 3 5" xfId="1967"/>
    <cellStyle name="20% - Accent2 2 3 3 5 2" xfId="5009"/>
    <cellStyle name="20% - Accent2 2 3 3 5 3" xfId="3904"/>
    <cellStyle name="20% - Accent2 2 3 3 6" xfId="4398"/>
    <cellStyle name="20% - Accent2 2 3 3 7" xfId="3071"/>
    <cellStyle name="20% - Accent2 2 3 4" xfId="971"/>
    <cellStyle name="20% - Accent2 2 3 4 2" xfId="1339"/>
    <cellStyle name="20% - Accent2 2 3 4 2 2" xfId="2319"/>
    <cellStyle name="20% - Accent2 2 3 4 2 2 2" xfId="5042"/>
    <cellStyle name="20% - Accent2 2 3 4 2 3" xfId="3534"/>
    <cellStyle name="20% - Accent2 2 3 4 3" xfId="1573"/>
    <cellStyle name="20% - Accent2 2 3 4 3 2" xfId="2553"/>
    <cellStyle name="20% - Accent2 2 3 4 3 3" xfId="3940"/>
    <cellStyle name="20% - Accent2 2 3 4 4" xfId="1807"/>
    <cellStyle name="20% - Accent2 2 3 4 4 2" xfId="2786"/>
    <cellStyle name="20% - Accent2 2 3 4 4 3" xfId="4472"/>
    <cellStyle name="20% - Accent2 2 3 4 5" xfId="2044"/>
    <cellStyle name="20% - Accent2 2 3 4 6" xfId="3117"/>
    <cellStyle name="20% - Accent2 2 3 5" xfId="1051"/>
    <cellStyle name="20% - Accent2 2 3 5 2" xfId="2121"/>
    <cellStyle name="20% - Accent2 2 3 5 2 2" xfId="5147"/>
    <cellStyle name="20% - Accent2 2 3 5 2 3" xfId="3639"/>
    <cellStyle name="20% - Accent2 2 3 5 3" xfId="4045"/>
    <cellStyle name="20% - Accent2 2 3 5 4" xfId="4763"/>
    <cellStyle name="20% - Accent2 2 3 5 5" xfId="3223"/>
    <cellStyle name="20% - Accent2 2 3 6" xfId="1179"/>
    <cellStyle name="20% - Accent2 2 3 6 2" xfId="2165"/>
    <cellStyle name="20% - Accent2 2 3 6 2 2" xfId="4970"/>
    <cellStyle name="20% - Accent2 2 3 6 2 3" xfId="3428"/>
    <cellStyle name="20% - Accent2 2 3 6 3" xfId="3835"/>
    <cellStyle name="20% - Accent2 2 3 6 4" xfId="4491"/>
    <cellStyle name="20% - Accent2 2 3 6 5" xfId="2962"/>
    <cellStyle name="20% - Accent2 2 3 7" xfId="1419"/>
    <cellStyle name="20% - Accent2 2 3 7 2" xfId="2399"/>
    <cellStyle name="20% - Accent2 2 3 7 2 2" xfId="4854"/>
    <cellStyle name="20% - Accent2 2 3 7 3" xfId="3335"/>
    <cellStyle name="20% - Accent2 2 3 8" xfId="1659"/>
    <cellStyle name="20% - Accent2 2 3 8 2" xfId="2639"/>
    <cellStyle name="20% - Accent2 2 3 8 3" xfId="3759"/>
    <cellStyle name="20% - Accent2 2 3 9" xfId="1890"/>
    <cellStyle name="20% - Accent2 2 3 9 2" xfId="4179"/>
    <cellStyle name="20% - Accent2 2 4" xfId="754"/>
    <cellStyle name="20% - Accent2 2 5" xfId="753"/>
    <cellStyle name="20% - Accent2 2 6" xfId="1052"/>
    <cellStyle name="20% - Accent2 3" xfId="34"/>
    <cellStyle name="20% - Accent2 4" xfId="35"/>
    <cellStyle name="20% - Accent3 2" xfId="36"/>
    <cellStyle name="20% - Accent3 2 2" xfId="37"/>
    <cellStyle name="20% - Accent3 2 3" xfId="38"/>
    <cellStyle name="20% - Accent3 2 3 10" xfId="2872"/>
    <cellStyle name="20% - Accent3 2 3 2" xfId="826"/>
    <cellStyle name="20% - Accent3 2 3 2 2" xfId="932"/>
    <cellStyle name="20% - Accent3 2 3 2 2 2" xfId="1305"/>
    <cellStyle name="20% - Accent3 2 3 2 2 2 2" xfId="2285"/>
    <cellStyle name="20% - Accent3 2 3 2 2 2 2 2" xfId="4695"/>
    <cellStyle name="20% - Accent3 2 3 2 2 2 3" xfId="3570"/>
    <cellStyle name="20% - Accent3 2 3 2 2 3" xfId="1539"/>
    <cellStyle name="20% - Accent3 2 3 2 2 3 2" xfId="2519"/>
    <cellStyle name="20% - Accent3 2 3 2 2 3 2 2" xfId="5078"/>
    <cellStyle name="20% - Accent3 2 3 2 2 3 3" xfId="3976"/>
    <cellStyle name="20% - Accent3 2 3 2 2 4" xfId="1773"/>
    <cellStyle name="20% - Accent3 2 3 2 2 4 2" xfId="2752"/>
    <cellStyle name="20% - Accent3 2 3 2 2 4 3" xfId="4427"/>
    <cellStyle name="20% - Accent3 2 3 2 2 5" xfId="2010"/>
    <cellStyle name="20% - Accent3 2 3 2 2 6" xfId="3154"/>
    <cellStyle name="20% - Accent3 2 3 2 3" xfId="1014"/>
    <cellStyle name="20% - Accent3 2 3 2 3 2" xfId="1382"/>
    <cellStyle name="20% - Accent3 2 3 2 3 2 2" xfId="2362"/>
    <cellStyle name="20% - Accent3 2 3 2 3 2 2 2" xfId="5183"/>
    <cellStyle name="20% - Accent3 2 3 2 3 2 3" xfId="3675"/>
    <cellStyle name="20% - Accent3 2 3 2 3 3" xfId="1616"/>
    <cellStyle name="20% - Accent3 2 3 2 3 3 2" xfId="2596"/>
    <cellStyle name="20% - Accent3 2 3 2 3 3 3" xfId="4081"/>
    <cellStyle name="20% - Accent3 2 3 2 3 4" xfId="1850"/>
    <cellStyle name="20% - Accent3 2 3 2 3 4 2" xfId="2829"/>
    <cellStyle name="20% - Accent3 2 3 2 3 4 3" xfId="4561"/>
    <cellStyle name="20% - Accent3 2 3 2 3 5" xfId="2087"/>
    <cellStyle name="20% - Accent3 2 3 2 3 6" xfId="3261"/>
    <cellStyle name="20% - Accent3 2 3 2 4" xfId="1226"/>
    <cellStyle name="20% - Accent3 2 3 2 4 2" xfId="2208"/>
    <cellStyle name="20% - Accent3 2 3 2 4 2 2" xfId="4876"/>
    <cellStyle name="20% - Accent3 2 3 2 4 2 3" xfId="3465"/>
    <cellStyle name="20% - Accent3 2 3 2 4 3" xfId="3871"/>
    <cellStyle name="20% - Accent3 2 3 2 4 4" xfId="4501"/>
    <cellStyle name="20% - Accent3 2 3 2 4 5" xfId="3034"/>
    <cellStyle name="20% - Accent3 2 3 2 5" xfId="1462"/>
    <cellStyle name="20% - Accent3 2 3 2 5 2" xfId="2442"/>
    <cellStyle name="20% - Accent3 2 3 2 5 2 2" xfId="4926"/>
    <cellStyle name="20% - Accent3 2 3 2 5 3" xfId="3391"/>
    <cellStyle name="20% - Accent3 2 3 2 6" xfId="1669"/>
    <cellStyle name="20% - Accent3 2 3 2 6 2" xfId="2649"/>
    <cellStyle name="20% - Accent3 2 3 2 6 3" xfId="3798"/>
    <cellStyle name="20% - Accent3 2 3 2 7" xfId="1933"/>
    <cellStyle name="20% - Accent3 2 3 2 7 2" xfId="4279"/>
    <cellStyle name="20% - Accent3 2 3 2 8" xfId="2909"/>
    <cellStyle name="20% - Accent3 2 3 3" xfId="861"/>
    <cellStyle name="20% - Accent3 2 3 3 2" xfId="1261"/>
    <cellStyle name="20% - Accent3 2 3 3 2 2" xfId="2243"/>
    <cellStyle name="20% - Accent3 2 3 3 2 2 2" xfId="5112"/>
    <cellStyle name="20% - Accent3 2 3 3 2 2 3" xfId="3604"/>
    <cellStyle name="20% - Accent3 2 3 3 2 3" xfId="4010"/>
    <cellStyle name="20% - Accent3 2 3 3 2 4" xfId="4728"/>
    <cellStyle name="20% - Accent3 2 3 3 2 5" xfId="3188"/>
    <cellStyle name="20% - Accent3 2 3 3 3" xfId="1497"/>
    <cellStyle name="20% - Accent3 2 3 3 3 2" xfId="2477"/>
    <cellStyle name="20% - Accent3 2 3 3 3 2 2" xfId="5217"/>
    <cellStyle name="20% - Accent3 2 3 3 3 2 3" xfId="3709"/>
    <cellStyle name="20% - Accent3 2 3 3 3 3" xfId="4115"/>
    <cellStyle name="20% - Accent3 2 3 3 3 4" xfId="4806"/>
    <cellStyle name="20% - Accent3 2 3 3 3 5" xfId="3299"/>
    <cellStyle name="20% - Accent3 2 3 3 4" xfId="1731"/>
    <cellStyle name="20% - Accent3 2 3 3 4 2" xfId="2710"/>
    <cellStyle name="20% - Accent3 2 3 3 4 2 2" xfId="4650"/>
    <cellStyle name="20% - Accent3 2 3 3 4 3" xfId="3499"/>
    <cellStyle name="20% - Accent3 2 3 3 5" xfId="1968"/>
    <cellStyle name="20% - Accent3 2 3 3 5 2" xfId="5010"/>
    <cellStyle name="20% - Accent3 2 3 3 5 3" xfId="3905"/>
    <cellStyle name="20% - Accent3 2 3 3 6" xfId="4399"/>
    <cellStyle name="20% - Accent3 2 3 3 7" xfId="3072"/>
    <cellStyle name="20% - Accent3 2 3 4" xfId="972"/>
    <cellStyle name="20% - Accent3 2 3 4 2" xfId="1340"/>
    <cellStyle name="20% - Accent3 2 3 4 2 2" xfId="2320"/>
    <cellStyle name="20% - Accent3 2 3 4 2 2 2" xfId="5043"/>
    <cellStyle name="20% - Accent3 2 3 4 2 3" xfId="3535"/>
    <cellStyle name="20% - Accent3 2 3 4 3" xfId="1574"/>
    <cellStyle name="20% - Accent3 2 3 4 3 2" xfId="2554"/>
    <cellStyle name="20% - Accent3 2 3 4 3 3" xfId="3941"/>
    <cellStyle name="20% - Accent3 2 3 4 4" xfId="1808"/>
    <cellStyle name="20% - Accent3 2 3 4 4 2" xfId="2787"/>
    <cellStyle name="20% - Accent3 2 3 4 4 3" xfId="4473"/>
    <cellStyle name="20% - Accent3 2 3 4 5" xfId="2045"/>
    <cellStyle name="20% - Accent3 2 3 4 6" xfId="3119"/>
    <cellStyle name="20% - Accent3 2 3 5" xfId="1053"/>
    <cellStyle name="20% - Accent3 2 3 5 2" xfId="2122"/>
    <cellStyle name="20% - Accent3 2 3 5 2 2" xfId="5148"/>
    <cellStyle name="20% - Accent3 2 3 5 2 3" xfId="3640"/>
    <cellStyle name="20% - Accent3 2 3 5 3" xfId="4046"/>
    <cellStyle name="20% - Accent3 2 3 5 4" xfId="4764"/>
    <cellStyle name="20% - Accent3 2 3 5 5" xfId="3224"/>
    <cellStyle name="20% - Accent3 2 3 6" xfId="1180"/>
    <cellStyle name="20% - Accent3 2 3 6 2" xfId="2166"/>
    <cellStyle name="20% - Accent3 2 3 6 2 2" xfId="4959"/>
    <cellStyle name="20% - Accent3 2 3 6 2 3" xfId="3429"/>
    <cellStyle name="20% - Accent3 2 3 6 3" xfId="3836"/>
    <cellStyle name="20% - Accent3 2 3 6 4" xfId="4537"/>
    <cellStyle name="20% - Accent3 2 3 6 5" xfId="2968"/>
    <cellStyle name="20% - Accent3 2 3 7" xfId="1420"/>
    <cellStyle name="20% - Accent3 2 3 7 2" xfId="2400"/>
    <cellStyle name="20% - Accent3 2 3 7 2 2" xfId="4855"/>
    <cellStyle name="20% - Accent3 2 3 7 3" xfId="3336"/>
    <cellStyle name="20% - Accent3 2 3 8" xfId="1667"/>
    <cellStyle name="20% - Accent3 2 3 8 2" xfId="2647"/>
    <cellStyle name="20% - Accent3 2 3 8 3" xfId="3760"/>
    <cellStyle name="20% - Accent3 2 3 9" xfId="1891"/>
    <cellStyle name="20% - Accent3 2 3 9 2" xfId="4180"/>
    <cellStyle name="20% - Accent3 2 4" xfId="752"/>
    <cellStyle name="20% - Accent3 2 5" xfId="751"/>
    <cellStyle name="20% - Accent3 2 6" xfId="1054"/>
    <cellStyle name="20% - Accent3 3" xfId="39"/>
    <cellStyle name="20% - Accent3 4" xfId="40"/>
    <cellStyle name="20% - Accent4 2" xfId="41"/>
    <cellStyle name="20% - Accent4 2 2" xfId="42"/>
    <cellStyle name="20% - Accent4 2 2 2" xfId="4311"/>
    <cellStyle name="20% - Accent4 2 2 3" xfId="4181"/>
    <cellStyle name="20% - Accent4 2 3" xfId="43"/>
    <cellStyle name="20% - Accent4 2 3 10" xfId="2873"/>
    <cellStyle name="20% - Accent4 2 3 2" xfId="827"/>
    <cellStyle name="20% - Accent4 2 3 2 2" xfId="933"/>
    <cellStyle name="20% - Accent4 2 3 2 2 2" xfId="1306"/>
    <cellStyle name="20% - Accent4 2 3 2 2 2 2" xfId="2286"/>
    <cellStyle name="20% - Accent4 2 3 2 2 2 2 2" xfId="4696"/>
    <cellStyle name="20% - Accent4 2 3 2 2 2 3" xfId="3571"/>
    <cellStyle name="20% - Accent4 2 3 2 2 3" xfId="1540"/>
    <cellStyle name="20% - Accent4 2 3 2 2 3 2" xfId="2520"/>
    <cellStyle name="20% - Accent4 2 3 2 2 3 2 2" xfId="5079"/>
    <cellStyle name="20% - Accent4 2 3 2 2 3 3" xfId="3977"/>
    <cellStyle name="20% - Accent4 2 3 2 2 4" xfId="1774"/>
    <cellStyle name="20% - Accent4 2 3 2 2 4 2" xfId="2753"/>
    <cellStyle name="20% - Accent4 2 3 2 2 4 3" xfId="4428"/>
    <cellStyle name="20% - Accent4 2 3 2 2 4 4" xfId="5434"/>
    <cellStyle name="20% - Accent4 2 3 2 2 5" xfId="2011"/>
    <cellStyle name="20% - Accent4 2 3 2 2 6" xfId="3155"/>
    <cellStyle name="20% - Accent4 2 3 2 3" xfId="1015"/>
    <cellStyle name="20% - Accent4 2 3 2 3 2" xfId="1383"/>
    <cellStyle name="20% - Accent4 2 3 2 3 2 2" xfId="2363"/>
    <cellStyle name="20% - Accent4 2 3 2 3 2 2 2" xfId="4797"/>
    <cellStyle name="20% - Accent4 2 3 2 3 2 3" xfId="3676"/>
    <cellStyle name="20% - Accent4 2 3 2 3 3" xfId="1617"/>
    <cellStyle name="20% - Accent4 2 3 2 3 3 2" xfId="2597"/>
    <cellStyle name="20% - Accent4 2 3 2 3 3 2 2" xfId="5184"/>
    <cellStyle name="20% - Accent4 2 3 2 3 3 3" xfId="4082"/>
    <cellStyle name="20% - Accent4 2 3 2 3 4" xfId="1851"/>
    <cellStyle name="20% - Accent4 2 3 2 3 4 2" xfId="2830"/>
    <cellStyle name="20% - Accent4 2 3 2 3 4 3" xfId="4562"/>
    <cellStyle name="20% - Accent4 2 3 2 3 4 4" xfId="5453"/>
    <cellStyle name="20% - Accent4 2 3 2 3 5" xfId="2088"/>
    <cellStyle name="20% - Accent4 2 3 2 3 6" xfId="3262"/>
    <cellStyle name="20% - Accent4 2 3 2 4" xfId="1227"/>
    <cellStyle name="20% - Accent4 2 3 2 4 2" xfId="2209"/>
    <cellStyle name="20% - Accent4 2 3 2 4 2 2" xfId="4919"/>
    <cellStyle name="20% - Accent4 2 3 2 4 2 3" xfId="3466"/>
    <cellStyle name="20% - Accent4 2 3 2 4 3" xfId="3872"/>
    <cellStyle name="20% - Accent4 2 3 2 4 4" xfId="4550"/>
    <cellStyle name="20% - Accent4 2 3 2 4 5" xfId="3035"/>
    <cellStyle name="20% - Accent4 2 3 2 5" xfId="1463"/>
    <cellStyle name="20% - Accent4 2 3 2 5 2" xfId="2443"/>
    <cellStyle name="20% - Accent4 2 3 2 5 2 2" xfId="4591"/>
    <cellStyle name="20% - Accent4 2 3 2 5 3" xfId="3392"/>
    <cellStyle name="20% - Accent4 2 3 2 6" xfId="1668"/>
    <cellStyle name="20% - Accent4 2 3 2 6 2" xfId="2648"/>
    <cellStyle name="20% - Accent4 2 3 2 6 2 2" xfId="4927"/>
    <cellStyle name="20% - Accent4 2 3 2 6 3" xfId="3799"/>
    <cellStyle name="20% - Accent4 2 3 2 7" xfId="1934"/>
    <cellStyle name="20% - Accent4 2 3 2 7 2" xfId="4849"/>
    <cellStyle name="20% - Accent4 2 3 2 8" xfId="4280"/>
    <cellStyle name="20% - Accent4 2 3 2 9" xfId="2910"/>
    <cellStyle name="20% - Accent4 2 3 3" xfId="862"/>
    <cellStyle name="20% - Accent4 2 3 3 2" xfId="1262"/>
    <cellStyle name="20% - Accent4 2 3 3 2 2" xfId="2244"/>
    <cellStyle name="20% - Accent4 2 3 3 2 2 2" xfId="4729"/>
    <cellStyle name="20% - Accent4 2 3 3 2 2 3" xfId="3605"/>
    <cellStyle name="20% - Accent4 2 3 3 2 3" xfId="4011"/>
    <cellStyle name="20% - Accent4 2 3 3 2 3 2" xfId="5113"/>
    <cellStyle name="20% - Accent4 2 3 3 2 4" xfId="4453"/>
    <cellStyle name="20% - Accent4 2 3 3 2 5" xfId="3189"/>
    <cellStyle name="20% - Accent4 2 3 3 3" xfId="1498"/>
    <cellStyle name="20% - Accent4 2 3 3 3 2" xfId="2478"/>
    <cellStyle name="20% - Accent4 2 3 3 3 2 2" xfId="5218"/>
    <cellStyle name="20% - Accent4 2 3 3 3 2 3" xfId="3710"/>
    <cellStyle name="20% - Accent4 2 3 3 3 3" xfId="4116"/>
    <cellStyle name="20% - Accent4 2 3 3 3 4" xfId="4587"/>
    <cellStyle name="20% - Accent4 2 3 3 3 5" xfId="3300"/>
    <cellStyle name="20% - Accent4 2 3 3 4" xfId="1732"/>
    <cellStyle name="20% - Accent4 2 3 3 4 2" xfId="2711"/>
    <cellStyle name="20% - Accent4 2 3 3 4 2 2" xfId="4955"/>
    <cellStyle name="20% - Accent4 2 3 3 4 3" xfId="3500"/>
    <cellStyle name="20% - Accent4 2 3 3 5" xfId="1969"/>
    <cellStyle name="20% - Accent4 2 3 3 5 2" xfId="3906"/>
    <cellStyle name="20% - Accent4 2 3 3 6" xfId="4312"/>
    <cellStyle name="20% - Accent4 2 3 3 7" xfId="3073"/>
    <cellStyle name="20% - Accent4 2 3 4" xfId="973"/>
    <cellStyle name="20% - Accent4 2 3 4 2" xfId="1341"/>
    <cellStyle name="20% - Accent4 2 3 4 2 2" xfId="2321"/>
    <cellStyle name="20% - Accent4 2 3 4 2 2 2" xfId="4678"/>
    <cellStyle name="20% - Accent4 2 3 4 2 3" xfId="3542"/>
    <cellStyle name="20% - Accent4 2 3 4 3" xfId="1575"/>
    <cellStyle name="20% - Accent4 2 3 4 3 2" xfId="2555"/>
    <cellStyle name="20% - Accent4 2 3 4 3 2 2" xfId="5050"/>
    <cellStyle name="20% - Accent4 2 3 4 3 3" xfId="3948"/>
    <cellStyle name="20% - Accent4 2 3 4 4" xfId="1809"/>
    <cellStyle name="20% - Accent4 2 3 4 4 2" xfId="2788"/>
    <cellStyle name="20% - Accent4 2 3 4 4 3" xfId="4400"/>
    <cellStyle name="20% - Accent4 2 3 4 4 4" xfId="5443"/>
    <cellStyle name="20% - Accent4 2 3 4 5" xfId="2046"/>
    <cellStyle name="20% - Accent4 2 3 4 6" xfId="3126"/>
    <cellStyle name="20% - Accent4 2 3 5" xfId="1055"/>
    <cellStyle name="20% - Accent4 2 3 5 2" xfId="2123"/>
    <cellStyle name="20% - Accent4 2 3 5 2 2" xfId="4771"/>
    <cellStyle name="20% - Accent4 2 3 5 2 3" xfId="3647"/>
    <cellStyle name="20% - Accent4 2 3 5 3" xfId="4053"/>
    <cellStyle name="20% - Accent4 2 3 5 3 2" xfId="5155"/>
    <cellStyle name="20% - Accent4 2 3 5 4" xfId="4475"/>
    <cellStyle name="20% - Accent4 2 3 5 5" xfId="3231"/>
    <cellStyle name="20% - Accent4 2 3 6" xfId="1181"/>
    <cellStyle name="20% - Accent4 2 3 6 2" xfId="2167"/>
    <cellStyle name="20% - Accent4 2 3 6 2 2" xfId="4983"/>
    <cellStyle name="20% - Accent4 2 3 6 2 3" xfId="3436"/>
    <cellStyle name="20% - Accent4 2 3 6 3" xfId="3843"/>
    <cellStyle name="20% - Accent4 2 3 6 4" xfId="4504"/>
    <cellStyle name="20% - Accent4 2 3 6 5" xfId="2985"/>
    <cellStyle name="20% - Accent4 2 3 7" xfId="1421"/>
    <cellStyle name="20% - Accent4 2 3 7 2" xfId="2401"/>
    <cellStyle name="20% - Accent4 2 3 7 2 2" xfId="4856"/>
    <cellStyle name="20% - Accent4 2 3 7 3" xfId="3337"/>
    <cellStyle name="20% - Accent4 2 3 8" xfId="1672"/>
    <cellStyle name="20% - Accent4 2 3 8 2" xfId="2652"/>
    <cellStyle name="20% - Accent4 2 3 8 3" xfId="3761"/>
    <cellStyle name="20% - Accent4 2 3 9" xfId="1892"/>
    <cellStyle name="20% - Accent4 2 3 9 2" xfId="4182"/>
    <cellStyle name="20% - Accent4 2 4" xfId="750"/>
    <cellStyle name="20% - Accent4 2 4 2" xfId="4313"/>
    <cellStyle name="20% - Accent4 2 4 3" xfId="4183"/>
    <cellStyle name="20% - Accent4 2 5" xfId="749"/>
    <cellStyle name="20% - Accent4 2 5 2" xfId="4314"/>
    <cellStyle name="20% - Accent4 2 5 3" xfId="4184"/>
    <cellStyle name="20% - Accent4 2 6" xfId="1056"/>
    <cellStyle name="20% - Accent4 2 6 2" xfId="4315"/>
    <cellStyle name="20% - Accent4 2 6 3" xfId="4490"/>
    <cellStyle name="20% - Accent4 2 6 4" xfId="4265"/>
    <cellStyle name="20% - Accent4 2 6 5" xfId="2955"/>
    <cellStyle name="20% - Accent4 3" xfId="44"/>
    <cellStyle name="20% - Accent4 3 2" xfId="4316"/>
    <cellStyle name="20% - Accent4 3 3" xfId="4185"/>
    <cellStyle name="20% - Accent4 4" xfId="45"/>
    <cellStyle name="20% - Accent4 4 2" xfId="4317"/>
    <cellStyle name="20% - Accent4 4 3" xfId="4186"/>
    <cellStyle name="20% - Accent5 2" xfId="46"/>
    <cellStyle name="20% - Accent5 2 2" xfId="47"/>
    <cellStyle name="20% - Accent5 2 3" xfId="48"/>
    <cellStyle name="20% - Accent5 2 3 10" xfId="2874"/>
    <cellStyle name="20% - Accent5 2 3 2" xfId="828"/>
    <cellStyle name="20% - Accent5 2 3 2 2" xfId="934"/>
    <cellStyle name="20% - Accent5 2 3 2 2 2" xfId="1307"/>
    <cellStyle name="20% - Accent5 2 3 2 2 2 2" xfId="2287"/>
    <cellStyle name="20% - Accent5 2 3 2 2 2 2 2" xfId="4697"/>
    <cellStyle name="20% - Accent5 2 3 2 2 2 3" xfId="3572"/>
    <cellStyle name="20% - Accent5 2 3 2 2 3" xfId="1541"/>
    <cellStyle name="20% - Accent5 2 3 2 2 3 2" xfId="2521"/>
    <cellStyle name="20% - Accent5 2 3 2 2 3 2 2" xfId="5080"/>
    <cellStyle name="20% - Accent5 2 3 2 2 3 3" xfId="3978"/>
    <cellStyle name="20% - Accent5 2 3 2 2 4" xfId="1775"/>
    <cellStyle name="20% - Accent5 2 3 2 2 4 2" xfId="2754"/>
    <cellStyle name="20% - Accent5 2 3 2 2 4 3" xfId="4429"/>
    <cellStyle name="20% - Accent5 2 3 2 2 5" xfId="2012"/>
    <cellStyle name="20% - Accent5 2 3 2 2 6" xfId="3156"/>
    <cellStyle name="20% - Accent5 2 3 2 3" xfId="1016"/>
    <cellStyle name="20% - Accent5 2 3 2 3 2" xfId="1384"/>
    <cellStyle name="20% - Accent5 2 3 2 3 2 2" xfId="2364"/>
    <cellStyle name="20% - Accent5 2 3 2 3 2 2 2" xfId="5185"/>
    <cellStyle name="20% - Accent5 2 3 2 3 2 3" xfId="3677"/>
    <cellStyle name="20% - Accent5 2 3 2 3 3" xfId="1618"/>
    <cellStyle name="20% - Accent5 2 3 2 3 3 2" xfId="2598"/>
    <cellStyle name="20% - Accent5 2 3 2 3 3 3" xfId="4083"/>
    <cellStyle name="20% - Accent5 2 3 2 3 4" xfId="1852"/>
    <cellStyle name="20% - Accent5 2 3 2 3 4 2" xfId="2831"/>
    <cellStyle name="20% - Accent5 2 3 2 3 4 3" xfId="4563"/>
    <cellStyle name="20% - Accent5 2 3 2 3 5" xfId="2089"/>
    <cellStyle name="20% - Accent5 2 3 2 3 6" xfId="3263"/>
    <cellStyle name="20% - Accent5 2 3 2 4" xfId="1228"/>
    <cellStyle name="20% - Accent5 2 3 2 4 2" xfId="2210"/>
    <cellStyle name="20% - Accent5 2 3 2 4 2 2" xfId="4862"/>
    <cellStyle name="20% - Accent5 2 3 2 4 2 3" xfId="3467"/>
    <cellStyle name="20% - Accent5 2 3 2 4 3" xfId="3873"/>
    <cellStyle name="20% - Accent5 2 3 2 4 4" xfId="4595"/>
    <cellStyle name="20% - Accent5 2 3 2 4 5" xfId="3036"/>
    <cellStyle name="20% - Accent5 2 3 2 5" xfId="1464"/>
    <cellStyle name="20% - Accent5 2 3 2 5 2" xfId="2444"/>
    <cellStyle name="20% - Accent5 2 3 2 5 2 2" xfId="4928"/>
    <cellStyle name="20% - Accent5 2 3 2 5 3" xfId="3393"/>
    <cellStyle name="20% - Accent5 2 3 2 6" xfId="1666"/>
    <cellStyle name="20% - Accent5 2 3 2 6 2" xfId="2646"/>
    <cellStyle name="20% - Accent5 2 3 2 6 3" xfId="3800"/>
    <cellStyle name="20% - Accent5 2 3 2 7" xfId="1935"/>
    <cellStyle name="20% - Accent5 2 3 2 7 2" xfId="4281"/>
    <cellStyle name="20% - Accent5 2 3 2 8" xfId="2911"/>
    <cellStyle name="20% - Accent5 2 3 3" xfId="863"/>
    <cellStyle name="20% - Accent5 2 3 3 2" xfId="1263"/>
    <cellStyle name="20% - Accent5 2 3 3 2 2" xfId="2245"/>
    <cellStyle name="20% - Accent5 2 3 3 2 2 2" xfId="5114"/>
    <cellStyle name="20% - Accent5 2 3 3 2 2 3" xfId="3606"/>
    <cellStyle name="20% - Accent5 2 3 3 2 3" xfId="4012"/>
    <cellStyle name="20% - Accent5 2 3 3 2 4" xfId="4730"/>
    <cellStyle name="20% - Accent5 2 3 3 2 5" xfId="3190"/>
    <cellStyle name="20% - Accent5 2 3 3 3" xfId="1499"/>
    <cellStyle name="20% - Accent5 2 3 3 3 2" xfId="2479"/>
    <cellStyle name="20% - Accent5 2 3 3 3 2 2" xfId="5219"/>
    <cellStyle name="20% - Accent5 2 3 3 3 2 3" xfId="3711"/>
    <cellStyle name="20% - Accent5 2 3 3 3 3" xfId="4117"/>
    <cellStyle name="20% - Accent5 2 3 3 3 4" xfId="4807"/>
    <cellStyle name="20% - Accent5 2 3 3 3 5" xfId="3301"/>
    <cellStyle name="20% - Accent5 2 3 3 4" xfId="1733"/>
    <cellStyle name="20% - Accent5 2 3 3 4 2" xfId="2712"/>
    <cellStyle name="20% - Accent5 2 3 3 4 2 2" xfId="4651"/>
    <cellStyle name="20% - Accent5 2 3 3 4 3" xfId="3501"/>
    <cellStyle name="20% - Accent5 2 3 3 5" xfId="1970"/>
    <cellStyle name="20% - Accent5 2 3 3 5 2" xfId="5011"/>
    <cellStyle name="20% - Accent5 2 3 3 5 3" xfId="3907"/>
    <cellStyle name="20% - Accent5 2 3 3 6" xfId="4401"/>
    <cellStyle name="20% - Accent5 2 3 3 7" xfId="3074"/>
    <cellStyle name="20% - Accent5 2 3 4" xfId="974"/>
    <cellStyle name="20% - Accent5 2 3 4 2" xfId="1342"/>
    <cellStyle name="20% - Accent5 2 3 4 2 2" xfId="2322"/>
    <cellStyle name="20% - Accent5 2 3 4 2 2 2" xfId="5047"/>
    <cellStyle name="20% - Accent5 2 3 4 2 3" xfId="3539"/>
    <cellStyle name="20% - Accent5 2 3 4 3" xfId="1576"/>
    <cellStyle name="20% - Accent5 2 3 4 3 2" xfId="2556"/>
    <cellStyle name="20% - Accent5 2 3 4 3 3" xfId="3945"/>
    <cellStyle name="20% - Accent5 2 3 4 4" xfId="1810"/>
    <cellStyle name="20% - Accent5 2 3 4 4 2" xfId="2789"/>
    <cellStyle name="20% - Accent5 2 3 4 4 3" xfId="4476"/>
    <cellStyle name="20% - Accent5 2 3 4 5" xfId="2047"/>
    <cellStyle name="20% - Accent5 2 3 4 6" xfId="3123"/>
    <cellStyle name="20% - Accent5 2 3 5" xfId="1057"/>
    <cellStyle name="20% - Accent5 2 3 5 2" xfId="2124"/>
    <cellStyle name="20% - Accent5 2 3 5 2 2" xfId="5152"/>
    <cellStyle name="20% - Accent5 2 3 5 2 3" xfId="3644"/>
    <cellStyle name="20% - Accent5 2 3 5 3" xfId="4050"/>
    <cellStyle name="20% - Accent5 2 3 5 4" xfId="4768"/>
    <cellStyle name="20% - Accent5 2 3 5 5" xfId="3228"/>
    <cellStyle name="20% - Accent5 2 3 6" xfId="1182"/>
    <cellStyle name="20% - Accent5 2 3 6 2" xfId="2168"/>
    <cellStyle name="20% - Accent5 2 3 6 2 2" xfId="4984"/>
    <cellStyle name="20% - Accent5 2 3 6 2 3" xfId="3433"/>
    <cellStyle name="20% - Accent5 2 3 6 3" xfId="3840"/>
    <cellStyle name="20% - Accent5 2 3 6 4" xfId="4539"/>
    <cellStyle name="20% - Accent5 2 3 6 5" xfId="2979"/>
    <cellStyle name="20% - Accent5 2 3 7" xfId="1422"/>
    <cellStyle name="20% - Accent5 2 3 7 2" xfId="2402"/>
    <cellStyle name="20% - Accent5 2 3 7 2 2" xfId="4857"/>
    <cellStyle name="20% - Accent5 2 3 7 3" xfId="3338"/>
    <cellStyle name="20% - Accent5 2 3 8" xfId="1673"/>
    <cellStyle name="20% - Accent5 2 3 8 2" xfId="2653"/>
    <cellStyle name="20% - Accent5 2 3 8 3" xfId="3762"/>
    <cellStyle name="20% - Accent5 2 3 9" xfId="1893"/>
    <cellStyle name="20% - Accent5 2 3 9 2" xfId="4187"/>
    <cellStyle name="20% - Accent5 3" xfId="49"/>
    <cellStyle name="20% - Accent5 4" xfId="50"/>
    <cellStyle name="20% - Accent6 2" xfId="51"/>
    <cellStyle name="20% - Accent6 2 2" xfId="52"/>
    <cellStyle name="20% - Accent6 2 3" xfId="53"/>
    <cellStyle name="20% - Accent6 2 3 10" xfId="2875"/>
    <cellStyle name="20% - Accent6 2 3 2" xfId="829"/>
    <cellStyle name="20% - Accent6 2 3 2 2" xfId="935"/>
    <cellStyle name="20% - Accent6 2 3 2 2 2" xfId="1308"/>
    <cellStyle name="20% - Accent6 2 3 2 2 2 2" xfId="2288"/>
    <cellStyle name="20% - Accent6 2 3 2 2 2 2 2" xfId="4698"/>
    <cellStyle name="20% - Accent6 2 3 2 2 2 3" xfId="3573"/>
    <cellStyle name="20% - Accent6 2 3 2 2 3" xfId="1542"/>
    <cellStyle name="20% - Accent6 2 3 2 2 3 2" xfId="2522"/>
    <cellStyle name="20% - Accent6 2 3 2 2 3 2 2" xfId="5081"/>
    <cellStyle name="20% - Accent6 2 3 2 2 3 3" xfId="3979"/>
    <cellStyle name="20% - Accent6 2 3 2 2 4" xfId="1776"/>
    <cellStyle name="20% - Accent6 2 3 2 2 4 2" xfId="2755"/>
    <cellStyle name="20% - Accent6 2 3 2 2 4 3" xfId="4430"/>
    <cellStyle name="20% - Accent6 2 3 2 2 5" xfId="2013"/>
    <cellStyle name="20% - Accent6 2 3 2 2 6" xfId="3157"/>
    <cellStyle name="20% - Accent6 2 3 2 3" xfId="1017"/>
    <cellStyle name="20% - Accent6 2 3 2 3 2" xfId="1385"/>
    <cellStyle name="20% - Accent6 2 3 2 3 2 2" xfId="2365"/>
    <cellStyle name="20% - Accent6 2 3 2 3 2 2 2" xfId="5186"/>
    <cellStyle name="20% - Accent6 2 3 2 3 2 3" xfId="3678"/>
    <cellStyle name="20% - Accent6 2 3 2 3 3" xfId="1619"/>
    <cellStyle name="20% - Accent6 2 3 2 3 3 2" xfId="2599"/>
    <cellStyle name="20% - Accent6 2 3 2 3 3 3" xfId="4084"/>
    <cellStyle name="20% - Accent6 2 3 2 3 4" xfId="1853"/>
    <cellStyle name="20% - Accent6 2 3 2 3 4 2" xfId="2832"/>
    <cellStyle name="20% - Accent6 2 3 2 3 4 3" xfId="4564"/>
    <cellStyle name="20% - Accent6 2 3 2 3 5" xfId="2090"/>
    <cellStyle name="20% - Accent6 2 3 2 3 6" xfId="3264"/>
    <cellStyle name="20% - Accent6 2 3 2 4" xfId="1229"/>
    <cellStyle name="20% - Accent6 2 3 2 4 2" xfId="2211"/>
    <cellStyle name="20% - Accent6 2 3 2 4 2 2" xfId="4897"/>
    <cellStyle name="20% - Accent6 2 3 2 4 2 3" xfId="3468"/>
    <cellStyle name="20% - Accent6 2 3 2 4 3" xfId="3874"/>
    <cellStyle name="20% - Accent6 2 3 2 4 4" xfId="4507"/>
    <cellStyle name="20% - Accent6 2 3 2 4 5" xfId="3037"/>
    <cellStyle name="20% - Accent6 2 3 2 5" xfId="1465"/>
    <cellStyle name="20% - Accent6 2 3 2 5 2" xfId="2445"/>
    <cellStyle name="20% - Accent6 2 3 2 5 2 2" xfId="4929"/>
    <cellStyle name="20% - Accent6 2 3 2 5 3" xfId="3394"/>
    <cellStyle name="20% - Accent6 2 3 2 6" xfId="1665"/>
    <cellStyle name="20% - Accent6 2 3 2 6 2" xfId="2645"/>
    <cellStyle name="20% - Accent6 2 3 2 6 3" xfId="3801"/>
    <cellStyle name="20% - Accent6 2 3 2 7" xfId="1936"/>
    <cellStyle name="20% - Accent6 2 3 2 7 2" xfId="4282"/>
    <cellStyle name="20% - Accent6 2 3 2 8" xfId="2912"/>
    <cellStyle name="20% - Accent6 2 3 3" xfId="864"/>
    <cellStyle name="20% - Accent6 2 3 3 2" xfId="1264"/>
    <cellStyle name="20% - Accent6 2 3 3 2 2" xfId="2246"/>
    <cellStyle name="20% - Accent6 2 3 3 2 2 2" xfId="5115"/>
    <cellStyle name="20% - Accent6 2 3 3 2 2 3" xfId="3607"/>
    <cellStyle name="20% - Accent6 2 3 3 2 3" xfId="4013"/>
    <cellStyle name="20% - Accent6 2 3 3 2 4" xfId="4731"/>
    <cellStyle name="20% - Accent6 2 3 3 2 5" xfId="3191"/>
    <cellStyle name="20% - Accent6 2 3 3 3" xfId="1500"/>
    <cellStyle name="20% - Accent6 2 3 3 3 2" xfId="2480"/>
    <cellStyle name="20% - Accent6 2 3 3 3 2 2" xfId="5220"/>
    <cellStyle name="20% - Accent6 2 3 3 3 2 3" xfId="3712"/>
    <cellStyle name="20% - Accent6 2 3 3 3 3" xfId="4118"/>
    <cellStyle name="20% - Accent6 2 3 3 3 4" xfId="4808"/>
    <cellStyle name="20% - Accent6 2 3 3 3 5" xfId="3302"/>
    <cellStyle name="20% - Accent6 2 3 3 4" xfId="1734"/>
    <cellStyle name="20% - Accent6 2 3 3 4 2" xfId="2713"/>
    <cellStyle name="20% - Accent6 2 3 3 4 2 2" xfId="4652"/>
    <cellStyle name="20% - Accent6 2 3 3 4 3" xfId="3502"/>
    <cellStyle name="20% - Accent6 2 3 3 5" xfId="1971"/>
    <cellStyle name="20% - Accent6 2 3 3 5 2" xfId="5012"/>
    <cellStyle name="20% - Accent6 2 3 3 5 3" xfId="3908"/>
    <cellStyle name="20% - Accent6 2 3 3 6" xfId="4402"/>
    <cellStyle name="20% - Accent6 2 3 3 7" xfId="3075"/>
    <cellStyle name="20% - Accent6 2 3 4" xfId="975"/>
    <cellStyle name="20% - Accent6 2 3 4 2" xfId="1343"/>
    <cellStyle name="20% - Accent6 2 3 4 2 2" xfId="2323"/>
    <cellStyle name="20% - Accent6 2 3 4 2 2 2" xfId="5048"/>
    <cellStyle name="20% - Accent6 2 3 4 2 3" xfId="3540"/>
    <cellStyle name="20% - Accent6 2 3 4 3" xfId="1577"/>
    <cellStyle name="20% - Accent6 2 3 4 3 2" xfId="2557"/>
    <cellStyle name="20% - Accent6 2 3 4 3 3" xfId="3946"/>
    <cellStyle name="20% - Accent6 2 3 4 4" xfId="1811"/>
    <cellStyle name="20% - Accent6 2 3 4 4 2" xfId="2790"/>
    <cellStyle name="20% - Accent6 2 3 4 4 3" xfId="4477"/>
    <cellStyle name="20% - Accent6 2 3 4 5" xfId="2048"/>
    <cellStyle name="20% - Accent6 2 3 4 6" xfId="3124"/>
    <cellStyle name="20% - Accent6 2 3 5" xfId="1058"/>
    <cellStyle name="20% - Accent6 2 3 5 2" xfId="2125"/>
    <cellStyle name="20% - Accent6 2 3 5 2 2" xfId="5153"/>
    <cellStyle name="20% - Accent6 2 3 5 2 3" xfId="3645"/>
    <cellStyle name="20% - Accent6 2 3 5 3" xfId="4051"/>
    <cellStyle name="20% - Accent6 2 3 5 4" xfId="4769"/>
    <cellStyle name="20% - Accent6 2 3 5 5" xfId="3229"/>
    <cellStyle name="20% - Accent6 2 3 6" xfId="1183"/>
    <cellStyle name="20% - Accent6 2 3 6 2" xfId="2169"/>
    <cellStyle name="20% - Accent6 2 3 6 2 2" xfId="4975"/>
    <cellStyle name="20% - Accent6 2 3 6 2 3" xfId="3434"/>
    <cellStyle name="20% - Accent6 2 3 6 3" xfId="3841"/>
    <cellStyle name="20% - Accent6 2 3 6 4" xfId="4492"/>
    <cellStyle name="20% - Accent6 2 3 6 5" xfId="2982"/>
    <cellStyle name="20% - Accent6 2 3 7" xfId="1423"/>
    <cellStyle name="20% - Accent6 2 3 7 2" xfId="2403"/>
    <cellStyle name="20% - Accent6 2 3 7 2 2" xfId="4858"/>
    <cellStyle name="20% - Accent6 2 3 7 3" xfId="3339"/>
    <cellStyle name="20% - Accent6 2 3 8" xfId="1674"/>
    <cellStyle name="20% - Accent6 2 3 8 2" xfId="2654"/>
    <cellStyle name="20% - Accent6 2 3 8 3" xfId="3763"/>
    <cellStyle name="20% - Accent6 2 3 9" xfId="1894"/>
    <cellStyle name="20% - Accent6 2 3 9 2" xfId="4188"/>
    <cellStyle name="20% - Accent6 2 4" xfId="748"/>
    <cellStyle name="20% - Accent6 2 5" xfId="747"/>
    <cellStyle name="20% - Accent6 2 6" xfId="1059"/>
    <cellStyle name="20% - Accent6 3" xfId="54"/>
    <cellStyle name="20% - Accent6 4" xfId="55"/>
    <cellStyle name="40% - Accent1 2" xfId="56"/>
    <cellStyle name="40% - Accent1 2 2" xfId="57"/>
    <cellStyle name="40% - Accent1 2 3" xfId="58"/>
    <cellStyle name="40% - Accent1 2 3 10" xfId="2876"/>
    <cellStyle name="40% - Accent1 2 3 2" xfId="830"/>
    <cellStyle name="40% - Accent1 2 3 2 2" xfId="936"/>
    <cellStyle name="40% - Accent1 2 3 2 2 2" xfId="1309"/>
    <cellStyle name="40% - Accent1 2 3 2 2 2 2" xfId="2289"/>
    <cellStyle name="40% - Accent1 2 3 2 2 2 2 2" xfId="4699"/>
    <cellStyle name="40% - Accent1 2 3 2 2 2 3" xfId="3574"/>
    <cellStyle name="40% - Accent1 2 3 2 2 3" xfId="1543"/>
    <cellStyle name="40% - Accent1 2 3 2 2 3 2" xfId="2523"/>
    <cellStyle name="40% - Accent1 2 3 2 2 3 2 2" xfId="5082"/>
    <cellStyle name="40% - Accent1 2 3 2 2 3 3" xfId="3980"/>
    <cellStyle name="40% - Accent1 2 3 2 2 4" xfId="1777"/>
    <cellStyle name="40% - Accent1 2 3 2 2 4 2" xfId="2756"/>
    <cellStyle name="40% - Accent1 2 3 2 2 4 3" xfId="4431"/>
    <cellStyle name="40% - Accent1 2 3 2 2 5" xfId="2014"/>
    <cellStyle name="40% - Accent1 2 3 2 2 6" xfId="3158"/>
    <cellStyle name="40% - Accent1 2 3 2 3" xfId="1018"/>
    <cellStyle name="40% - Accent1 2 3 2 3 2" xfId="1386"/>
    <cellStyle name="40% - Accent1 2 3 2 3 2 2" xfId="2366"/>
    <cellStyle name="40% - Accent1 2 3 2 3 2 2 2" xfId="5187"/>
    <cellStyle name="40% - Accent1 2 3 2 3 2 3" xfId="3679"/>
    <cellStyle name="40% - Accent1 2 3 2 3 3" xfId="1620"/>
    <cellStyle name="40% - Accent1 2 3 2 3 3 2" xfId="2600"/>
    <cellStyle name="40% - Accent1 2 3 2 3 3 3" xfId="4085"/>
    <cellStyle name="40% - Accent1 2 3 2 3 4" xfId="1854"/>
    <cellStyle name="40% - Accent1 2 3 2 3 4 2" xfId="2833"/>
    <cellStyle name="40% - Accent1 2 3 2 3 4 3" xfId="4565"/>
    <cellStyle name="40% - Accent1 2 3 2 3 5" xfId="2091"/>
    <cellStyle name="40% - Accent1 2 3 2 3 6" xfId="3265"/>
    <cellStyle name="40% - Accent1 2 3 2 4" xfId="1230"/>
    <cellStyle name="40% - Accent1 2 3 2 4 2" xfId="2212"/>
    <cellStyle name="40% - Accent1 2 3 2 4 2 2" xfId="4915"/>
    <cellStyle name="40% - Accent1 2 3 2 4 2 3" xfId="3469"/>
    <cellStyle name="40% - Accent1 2 3 2 4 3" xfId="3875"/>
    <cellStyle name="40% - Accent1 2 3 2 4 4" xfId="4551"/>
    <cellStyle name="40% - Accent1 2 3 2 4 5" xfId="3038"/>
    <cellStyle name="40% - Accent1 2 3 2 5" xfId="1466"/>
    <cellStyle name="40% - Accent1 2 3 2 5 2" xfId="2446"/>
    <cellStyle name="40% - Accent1 2 3 2 5 2 2" xfId="4930"/>
    <cellStyle name="40% - Accent1 2 3 2 5 3" xfId="3395"/>
    <cellStyle name="40% - Accent1 2 3 2 6" xfId="1664"/>
    <cellStyle name="40% - Accent1 2 3 2 6 2" xfId="2644"/>
    <cellStyle name="40% - Accent1 2 3 2 6 3" xfId="3802"/>
    <cellStyle name="40% - Accent1 2 3 2 7" xfId="1937"/>
    <cellStyle name="40% - Accent1 2 3 2 7 2" xfId="4283"/>
    <cellStyle name="40% - Accent1 2 3 2 8" xfId="2913"/>
    <cellStyle name="40% - Accent1 2 3 3" xfId="865"/>
    <cellStyle name="40% - Accent1 2 3 3 2" xfId="1265"/>
    <cellStyle name="40% - Accent1 2 3 3 2 2" xfId="2247"/>
    <cellStyle name="40% - Accent1 2 3 3 2 2 2" xfId="5116"/>
    <cellStyle name="40% - Accent1 2 3 3 2 2 3" xfId="3608"/>
    <cellStyle name="40% - Accent1 2 3 3 2 3" xfId="4014"/>
    <cellStyle name="40% - Accent1 2 3 3 2 4" xfId="4732"/>
    <cellStyle name="40% - Accent1 2 3 3 2 5" xfId="3192"/>
    <cellStyle name="40% - Accent1 2 3 3 3" xfId="1501"/>
    <cellStyle name="40% - Accent1 2 3 3 3 2" xfId="2481"/>
    <cellStyle name="40% - Accent1 2 3 3 3 2 2" xfId="5221"/>
    <cellStyle name="40% - Accent1 2 3 3 3 2 3" xfId="3713"/>
    <cellStyle name="40% - Accent1 2 3 3 3 3" xfId="4119"/>
    <cellStyle name="40% - Accent1 2 3 3 3 4" xfId="4809"/>
    <cellStyle name="40% - Accent1 2 3 3 3 5" xfId="3303"/>
    <cellStyle name="40% - Accent1 2 3 3 4" xfId="1735"/>
    <cellStyle name="40% - Accent1 2 3 3 4 2" xfId="2714"/>
    <cellStyle name="40% - Accent1 2 3 3 4 2 2" xfId="4653"/>
    <cellStyle name="40% - Accent1 2 3 3 4 3" xfId="3503"/>
    <cellStyle name="40% - Accent1 2 3 3 5" xfId="1972"/>
    <cellStyle name="40% - Accent1 2 3 3 5 2" xfId="5013"/>
    <cellStyle name="40% - Accent1 2 3 3 5 3" xfId="3909"/>
    <cellStyle name="40% - Accent1 2 3 3 6" xfId="4403"/>
    <cellStyle name="40% - Accent1 2 3 3 7" xfId="3076"/>
    <cellStyle name="40% - Accent1 2 3 4" xfId="976"/>
    <cellStyle name="40% - Accent1 2 3 4 2" xfId="1344"/>
    <cellStyle name="40% - Accent1 2 3 4 2 2" xfId="2324"/>
    <cellStyle name="40% - Accent1 2 3 4 2 2 2" xfId="5049"/>
    <cellStyle name="40% - Accent1 2 3 4 2 3" xfId="3541"/>
    <cellStyle name="40% - Accent1 2 3 4 3" xfId="1578"/>
    <cellStyle name="40% - Accent1 2 3 4 3 2" xfId="2558"/>
    <cellStyle name="40% - Accent1 2 3 4 3 3" xfId="3947"/>
    <cellStyle name="40% - Accent1 2 3 4 4" xfId="1812"/>
    <cellStyle name="40% - Accent1 2 3 4 4 2" xfId="2791"/>
    <cellStyle name="40% - Accent1 2 3 4 4 3" xfId="4478"/>
    <cellStyle name="40% - Accent1 2 3 4 5" xfId="2049"/>
    <cellStyle name="40% - Accent1 2 3 4 6" xfId="3125"/>
    <cellStyle name="40% - Accent1 2 3 5" xfId="1060"/>
    <cellStyle name="40% - Accent1 2 3 5 2" xfId="2126"/>
    <cellStyle name="40% - Accent1 2 3 5 2 2" xfId="5154"/>
    <cellStyle name="40% - Accent1 2 3 5 2 3" xfId="3646"/>
    <cellStyle name="40% - Accent1 2 3 5 3" xfId="4052"/>
    <cellStyle name="40% - Accent1 2 3 5 4" xfId="4770"/>
    <cellStyle name="40% - Accent1 2 3 5 5" xfId="3230"/>
    <cellStyle name="40% - Accent1 2 3 6" xfId="1184"/>
    <cellStyle name="40% - Accent1 2 3 6 2" xfId="2170"/>
    <cellStyle name="40% - Accent1 2 3 6 2 2" xfId="4987"/>
    <cellStyle name="40% - Accent1 2 3 6 2 3" xfId="3435"/>
    <cellStyle name="40% - Accent1 2 3 6 3" xfId="3842"/>
    <cellStyle name="40% - Accent1 2 3 6 4" xfId="4493"/>
    <cellStyle name="40% - Accent1 2 3 6 5" xfId="2983"/>
    <cellStyle name="40% - Accent1 2 3 7" xfId="1424"/>
    <cellStyle name="40% - Accent1 2 3 7 2" xfId="2404"/>
    <cellStyle name="40% - Accent1 2 3 7 2 2" xfId="4859"/>
    <cellStyle name="40% - Accent1 2 3 7 3" xfId="3340"/>
    <cellStyle name="40% - Accent1 2 3 8" xfId="1675"/>
    <cellStyle name="40% - Accent1 2 3 8 2" xfId="2655"/>
    <cellStyle name="40% - Accent1 2 3 8 3" xfId="3764"/>
    <cellStyle name="40% - Accent1 2 3 9" xfId="1895"/>
    <cellStyle name="40% - Accent1 2 3 9 2" xfId="4189"/>
    <cellStyle name="40% - Accent1 2 4" xfId="746"/>
    <cellStyle name="40% - Accent1 2 5" xfId="745"/>
    <cellStyle name="40% - Accent1 2 6" xfId="1061"/>
    <cellStyle name="40% - Accent1 3" xfId="59"/>
    <cellStyle name="40% - Accent1 4" xfId="60"/>
    <cellStyle name="40% - Accent2 2" xfId="61"/>
    <cellStyle name="40% - Accent2 2 2" xfId="62"/>
    <cellStyle name="40% - Accent2 2 3" xfId="63"/>
    <cellStyle name="40% - Accent2 2 3 10" xfId="2877"/>
    <cellStyle name="40% - Accent2 2 3 2" xfId="831"/>
    <cellStyle name="40% - Accent2 2 3 2 2" xfId="937"/>
    <cellStyle name="40% - Accent2 2 3 2 2 2" xfId="1310"/>
    <cellStyle name="40% - Accent2 2 3 2 2 2 2" xfId="2290"/>
    <cellStyle name="40% - Accent2 2 3 2 2 2 2 2" xfId="4700"/>
    <cellStyle name="40% - Accent2 2 3 2 2 2 3" xfId="3575"/>
    <cellStyle name="40% - Accent2 2 3 2 2 3" xfId="1544"/>
    <cellStyle name="40% - Accent2 2 3 2 2 3 2" xfId="2524"/>
    <cellStyle name="40% - Accent2 2 3 2 2 3 2 2" xfId="5083"/>
    <cellStyle name="40% - Accent2 2 3 2 2 3 3" xfId="3981"/>
    <cellStyle name="40% - Accent2 2 3 2 2 4" xfId="1778"/>
    <cellStyle name="40% - Accent2 2 3 2 2 4 2" xfId="2757"/>
    <cellStyle name="40% - Accent2 2 3 2 2 4 3" xfId="4432"/>
    <cellStyle name="40% - Accent2 2 3 2 2 5" xfId="2015"/>
    <cellStyle name="40% - Accent2 2 3 2 2 6" xfId="3159"/>
    <cellStyle name="40% - Accent2 2 3 2 3" xfId="1019"/>
    <cellStyle name="40% - Accent2 2 3 2 3 2" xfId="1387"/>
    <cellStyle name="40% - Accent2 2 3 2 3 2 2" xfId="2367"/>
    <cellStyle name="40% - Accent2 2 3 2 3 2 2 2" xfId="5188"/>
    <cellStyle name="40% - Accent2 2 3 2 3 2 3" xfId="3680"/>
    <cellStyle name="40% - Accent2 2 3 2 3 3" xfId="1621"/>
    <cellStyle name="40% - Accent2 2 3 2 3 3 2" xfId="2601"/>
    <cellStyle name="40% - Accent2 2 3 2 3 3 3" xfId="4086"/>
    <cellStyle name="40% - Accent2 2 3 2 3 4" xfId="1855"/>
    <cellStyle name="40% - Accent2 2 3 2 3 4 2" xfId="2834"/>
    <cellStyle name="40% - Accent2 2 3 2 3 4 3" xfId="4566"/>
    <cellStyle name="40% - Accent2 2 3 2 3 5" xfId="2092"/>
    <cellStyle name="40% - Accent2 2 3 2 3 6" xfId="3266"/>
    <cellStyle name="40% - Accent2 2 3 2 4" xfId="1231"/>
    <cellStyle name="40% - Accent2 2 3 2 4 2" xfId="2213"/>
    <cellStyle name="40% - Accent2 2 3 2 4 2 2" xfId="4961"/>
    <cellStyle name="40% - Accent2 2 3 2 4 2 3" xfId="3470"/>
    <cellStyle name="40% - Accent2 2 3 2 4 3" xfId="3876"/>
    <cellStyle name="40% - Accent2 2 3 2 4 4" xfId="4502"/>
    <cellStyle name="40% - Accent2 2 3 2 4 5" xfId="3039"/>
    <cellStyle name="40% - Accent2 2 3 2 5" xfId="1467"/>
    <cellStyle name="40% - Accent2 2 3 2 5 2" xfId="2447"/>
    <cellStyle name="40% - Accent2 2 3 2 5 2 2" xfId="4931"/>
    <cellStyle name="40% - Accent2 2 3 2 5 3" xfId="3396"/>
    <cellStyle name="40% - Accent2 2 3 2 6" xfId="1663"/>
    <cellStyle name="40% - Accent2 2 3 2 6 2" xfId="2643"/>
    <cellStyle name="40% - Accent2 2 3 2 6 3" xfId="3803"/>
    <cellStyle name="40% - Accent2 2 3 2 7" xfId="1938"/>
    <cellStyle name="40% - Accent2 2 3 2 7 2" xfId="4284"/>
    <cellStyle name="40% - Accent2 2 3 2 8" xfId="2914"/>
    <cellStyle name="40% - Accent2 2 3 3" xfId="866"/>
    <cellStyle name="40% - Accent2 2 3 3 2" xfId="1266"/>
    <cellStyle name="40% - Accent2 2 3 3 2 2" xfId="2248"/>
    <cellStyle name="40% - Accent2 2 3 3 2 2 2" xfId="5117"/>
    <cellStyle name="40% - Accent2 2 3 3 2 2 3" xfId="3609"/>
    <cellStyle name="40% - Accent2 2 3 3 2 3" xfId="4015"/>
    <cellStyle name="40% - Accent2 2 3 3 2 4" xfId="4733"/>
    <cellStyle name="40% - Accent2 2 3 3 2 5" xfId="3193"/>
    <cellStyle name="40% - Accent2 2 3 3 3" xfId="1502"/>
    <cellStyle name="40% - Accent2 2 3 3 3 2" xfId="2482"/>
    <cellStyle name="40% - Accent2 2 3 3 3 2 2" xfId="5222"/>
    <cellStyle name="40% - Accent2 2 3 3 3 2 3" xfId="3714"/>
    <cellStyle name="40% - Accent2 2 3 3 3 3" xfId="4120"/>
    <cellStyle name="40% - Accent2 2 3 3 3 4" xfId="4810"/>
    <cellStyle name="40% - Accent2 2 3 3 3 5" xfId="3304"/>
    <cellStyle name="40% - Accent2 2 3 3 4" xfId="1736"/>
    <cellStyle name="40% - Accent2 2 3 3 4 2" xfId="2715"/>
    <cellStyle name="40% - Accent2 2 3 3 4 2 2" xfId="4654"/>
    <cellStyle name="40% - Accent2 2 3 3 4 3" xfId="3504"/>
    <cellStyle name="40% - Accent2 2 3 3 5" xfId="1973"/>
    <cellStyle name="40% - Accent2 2 3 3 5 2" xfId="5014"/>
    <cellStyle name="40% - Accent2 2 3 3 5 3" xfId="3910"/>
    <cellStyle name="40% - Accent2 2 3 3 6" xfId="4404"/>
    <cellStyle name="40% - Accent2 2 3 3 7" xfId="3077"/>
    <cellStyle name="40% - Accent2 2 3 4" xfId="977"/>
    <cellStyle name="40% - Accent2 2 3 4 2" xfId="1345"/>
    <cellStyle name="40% - Accent2 2 3 4 2 2" xfId="2325"/>
    <cellStyle name="40% - Accent2 2 3 4 2 2 2" xfId="5052"/>
    <cellStyle name="40% - Accent2 2 3 4 2 3" xfId="3544"/>
    <cellStyle name="40% - Accent2 2 3 4 3" xfId="1579"/>
    <cellStyle name="40% - Accent2 2 3 4 3 2" xfId="2559"/>
    <cellStyle name="40% - Accent2 2 3 4 3 3" xfId="3950"/>
    <cellStyle name="40% - Accent2 2 3 4 4" xfId="1813"/>
    <cellStyle name="40% - Accent2 2 3 4 4 2" xfId="2792"/>
    <cellStyle name="40% - Accent2 2 3 4 4 3" xfId="4480"/>
    <cellStyle name="40% - Accent2 2 3 4 5" xfId="2050"/>
    <cellStyle name="40% - Accent2 2 3 4 6" xfId="3128"/>
    <cellStyle name="40% - Accent2 2 3 5" xfId="1062"/>
    <cellStyle name="40% - Accent2 2 3 5 2" xfId="2127"/>
    <cellStyle name="40% - Accent2 2 3 5 2 2" xfId="5157"/>
    <cellStyle name="40% - Accent2 2 3 5 2 3" xfId="3649"/>
    <cellStyle name="40% - Accent2 2 3 5 3" xfId="4055"/>
    <cellStyle name="40% - Accent2 2 3 5 4" xfId="4773"/>
    <cellStyle name="40% - Accent2 2 3 5 5" xfId="3234"/>
    <cellStyle name="40% - Accent2 2 3 6" xfId="1185"/>
    <cellStyle name="40% - Accent2 2 3 6 2" xfId="2171"/>
    <cellStyle name="40% - Accent2 2 3 6 2 2" xfId="4976"/>
    <cellStyle name="40% - Accent2 2 3 6 2 3" xfId="3438"/>
    <cellStyle name="40% - Accent2 2 3 6 3" xfId="3845"/>
    <cellStyle name="40% - Accent2 2 3 6 4" xfId="4541"/>
    <cellStyle name="40% - Accent2 2 3 6 5" xfId="2988"/>
    <cellStyle name="40% - Accent2 2 3 7" xfId="1425"/>
    <cellStyle name="40% - Accent2 2 3 7 2" xfId="2405"/>
    <cellStyle name="40% - Accent2 2 3 7 2 2" xfId="4860"/>
    <cellStyle name="40% - Accent2 2 3 7 3" xfId="3343"/>
    <cellStyle name="40% - Accent2 2 3 8" xfId="1676"/>
    <cellStyle name="40% - Accent2 2 3 8 2" xfId="2656"/>
    <cellStyle name="40% - Accent2 2 3 8 3" xfId="3765"/>
    <cellStyle name="40% - Accent2 2 3 9" xfId="1896"/>
    <cellStyle name="40% - Accent2 2 3 9 2" xfId="4190"/>
    <cellStyle name="40% - Accent2 3" xfId="64"/>
    <cellStyle name="40% - Accent2 4" xfId="65"/>
    <cellStyle name="40% - Accent3 2" xfId="66"/>
    <cellStyle name="40% - Accent3 2 2" xfId="67"/>
    <cellStyle name="40% - Accent3 2 2 2" xfId="4318"/>
    <cellStyle name="40% - Accent3 2 2 3" xfId="4191"/>
    <cellStyle name="40% - Accent3 2 3" xfId="68"/>
    <cellStyle name="40% - Accent3 2 3 10" xfId="2878"/>
    <cellStyle name="40% - Accent3 2 3 2" xfId="832"/>
    <cellStyle name="40% - Accent3 2 3 2 2" xfId="938"/>
    <cellStyle name="40% - Accent3 2 3 2 2 2" xfId="1311"/>
    <cellStyle name="40% - Accent3 2 3 2 2 2 2" xfId="2291"/>
    <cellStyle name="40% - Accent3 2 3 2 2 2 2 2" xfId="4701"/>
    <cellStyle name="40% - Accent3 2 3 2 2 2 3" xfId="3576"/>
    <cellStyle name="40% - Accent3 2 3 2 2 3" xfId="1545"/>
    <cellStyle name="40% - Accent3 2 3 2 2 3 2" xfId="2525"/>
    <cellStyle name="40% - Accent3 2 3 2 2 3 2 2" xfId="5084"/>
    <cellStyle name="40% - Accent3 2 3 2 2 3 3" xfId="3982"/>
    <cellStyle name="40% - Accent3 2 3 2 2 4" xfId="1779"/>
    <cellStyle name="40% - Accent3 2 3 2 2 4 2" xfId="2758"/>
    <cellStyle name="40% - Accent3 2 3 2 2 4 3" xfId="4433"/>
    <cellStyle name="40% - Accent3 2 3 2 2 4 4" xfId="5435"/>
    <cellStyle name="40% - Accent3 2 3 2 2 5" xfId="2016"/>
    <cellStyle name="40% - Accent3 2 3 2 2 6" xfId="3160"/>
    <cellStyle name="40% - Accent3 2 3 2 3" xfId="1020"/>
    <cellStyle name="40% - Accent3 2 3 2 3 2" xfId="1388"/>
    <cellStyle name="40% - Accent3 2 3 2 3 2 2" xfId="2368"/>
    <cellStyle name="40% - Accent3 2 3 2 3 2 2 2" xfId="4798"/>
    <cellStyle name="40% - Accent3 2 3 2 3 2 3" xfId="3681"/>
    <cellStyle name="40% - Accent3 2 3 2 3 3" xfId="1622"/>
    <cellStyle name="40% - Accent3 2 3 2 3 3 2" xfId="2602"/>
    <cellStyle name="40% - Accent3 2 3 2 3 3 2 2" xfId="5189"/>
    <cellStyle name="40% - Accent3 2 3 2 3 3 3" xfId="4087"/>
    <cellStyle name="40% - Accent3 2 3 2 3 4" xfId="1856"/>
    <cellStyle name="40% - Accent3 2 3 2 3 4 2" xfId="2835"/>
    <cellStyle name="40% - Accent3 2 3 2 3 4 3" xfId="4567"/>
    <cellStyle name="40% - Accent3 2 3 2 3 4 4" xfId="5454"/>
    <cellStyle name="40% - Accent3 2 3 2 3 5" xfId="2093"/>
    <cellStyle name="40% - Accent3 2 3 2 3 6" xfId="3267"/>
    <cellStyle name="40% - Accent3 2 3 2 4" xfId="1232"/>
    <cellStyle name="40% - Accent3 2 3 2 4 2" xfId="2214"/>
    <cellStyle name="40% - Accent3 2 3 2 4 2 2" xfId="4999"/>
    <cellStyle name="40% - Accent3 2 3 2 4 2 3" xfId="3471"/>
    <cellStyle name="40% - Accent3 2 3 2 4 3" xfId="3877"/>
    <cellStyle name="40% - Accent3 2 3 2 4 4" xfId="4624"/>
    <cellStyle name="40% - Accent3 2 3 2 4 5" xfId="3040"/>
    <cellStyle name="40% - Accent3 2 3 2 5" xfId="1468"/>
    <cellStyle name="40% - Accent3 2 3 2 5 2" xfId="2448"/>
    <cellStyle name="40% - Accent3 2 3 2 5 2 2" xfId="4508"/>
    <cellStyle name="40% - Accent3 2 3 2 5 3" xfId="3397"/>
    <cellStyle name="40% - Accent3 2 3 2 6" xfId="1662"/>
    <cellStyle name="40% - Accent3 2 3 2 6 2" xfId="2642"/>
    <cellStyle name="40% - Accent3 2 3 2 6 2 2" xfId="4932"/>
    <cellStyle name="40% - Accent3 2 3 2 6 3" xfId="3804"/>
    <cellStyle name="40% - Accent3 2 3 2 7" xfId="1939"/>
    <cellStyle name="40% - Accent3 2 3 2 7 2" xfId="4874"/>
    <cellStyle name="40% - Accent3 2 3 2 8" xfId="4285"/>
    <cellStyle name="40% - Accent3 2 3 2 9" xfId="2915"/>
    <cellStyle name="40% - Accent3 2 3 3" xfId="867"/>
    <cellStyle name="40% - Accent3 2 3 3 2" xfId="1267"/>
    <cellStyle name="40% - Accent3 2 3 3 2 2" xfId="2249"/>
    <cellStyle name="40% - Accent3 2 3 3 2 2 2" xfId="4734"/>
    <cellStyle name="40% - Accent3 2 3 3 2 2 3" xfId="3610"/>
    <cellStyle name="40% - Accent3 2 3 3 2 3" xfId="4016"/>
    <cellStyle name="40% - Accent3 2 3 3 2 3 2" xfId="5118"/>
    <cellStyle name="40% - Accent3 2 3 3 2 4" xfId="4454"/>
    <cellStyle name="40% - Accent3 2 3 3 2 5" xfId="3194"/>
    <cellStyle name="40% - Accent3 2 3 3 3" xfId="1503"/>
    <cellStyle name="40% - Accent3 2 3 3 3 2" xfId="2483"/>
    <cellStyle name="40% - Accent3 2 3 3 3 2 2" xfId="5223"/>
    <cellStyle name="40% - Accent3 2 3 3 3 2 3" xfId="3715"/>
    <cellStyle name="40% - Accent3 2 3 3 3 3" xfId="4121"/>
    <cellStyle name="40% - Accent3 2 3 3 3 4" xfId="4588"/>
    <cellStyle name="40% - Accent3 2 3 3 3 5" xfId="3305"/>
    <cellStyle name="40% - Accent3 2 3 3 4" xfId="1737"/>
    <cellStyle name="40% - Accent3 2 3 3 4 2" xfId="2716"/>
    <cellStyle name="40% - Accent3 2 3 3 4 2 2" xfId="4956"/>
    <cellStyle name="40% - Accent3 2 3 3 4 3" xfId="3505"/>
    <cellStyle name="40% - Accent3 2 3 3 5" xfId="1974"/>
    <cellStyle name="40% - Accent3 2 3 3 5 2" xfId="3911"/>
    <cellStyle name="40% - Accent3 2 3 3 6" xfId="4319"/>
    <cellStyle name="40% - Accent3 2 3 3 7" xfId="3078"/>
    <cellStyle name="40% - Accent3 2 3 4" xfId="978"/>
    <cellStyle name="40% - Accent3 2 3 4 2" xfId="1346"/>
    <cellStyle name="40% - Accent3 2 3 4 2 2" xfId="2326"/>
    <cellStyle name="40% - Accent3 2 3 4 2 2 2" xfId="4680"/>
    <cellStyle name="40% - Accent3 2 3 4 2 3" xfId="3545"/>
    <cellStyle name="40% - Accent3 2 3 4 3" xfId="1580"/>
    <cellStyle name="40% - Accent3 2 3 4 3 2" xfId="2560"/>
    <cellStyle name="40% - Accent3 2 3 4 3 2 2" xfId="5053"/>
    <cellStyle name="40% - Accent3 2 3 4 3 3" xfId="3951"/>
    <cellStyle name="40% - Accent3 2 3 4 4" xfId="1814"/>
    <cellStyle name="40% - Accent3 2 3 4 4 2" xfId="2793"/>
    <cellStyle name="40% - Accent3 2 3 4 4 3" xfId="4405"/>
    <cellStyle name="40% - Accent3 2 3 4 4 4" xfId="5444"/>
    <cellStyle name="40% - Accent3 2 3 4 5" xfId="2051"/>
    <cellStyle name="40% - Accent3 2 3 4 6" xfId="3129"/>
    <cellStyle name="40% - Accent3 2 3 5" xfId="1063"/>
    <cellStyle name="40% - Accent3 2 3 5 2" xfId="2128"/>
    <cellStyle name="40% - Accent3 2 3 5 2 2" xfId="4774"/>
    <cellStyle name="40% - Accent3 2 3 5 2 3" xfId="3650"/>
    <cellStyle name="40% - Accent3 2 3 5 3" xfId="4056"/>
    <cellStyle name="40% - Accent3 2 3 5 3 2" xfId="5158"/>
    <cellStyle name="40% - Accent3 2 3 5 4" xfId="4481"/>
    <cellStyle name="40% - Accent3 2 3 5 5" xfId="3235"/>
    <cellStyle name="40% - Accent3 2 3 6" xfId="1186"/>
    <cellStyle name="40% - Accent3 2 3 6 2" xfId="2172"/>
    <cellStyle name="40% - Accent3 2 3 6 2 2" xfId="4903"/>
    <cellStyle name="40% - Accent3 2 3 6 2 3" xfId="3439"/>
    <cellStyle name="40% - Accent3 2 3 6 3" xfId="3846"/>
    <cellStyle name="40% - Accent3 2 3 6 4" xfId="4542"/>
    <cellStyle name="40% - Accent3 2 3 6 5" xfId="2989"/>
    <cellStyle name="40% - Accent3 2 3 7" xfId="1426"/>
    <cellStyle name="40% - Accent3 2 3 7 2" xfId="2406"/>
    <cellStyle name="40% - Accent3 2 3 7 2 2" xfId="4861"/>
    <cellStyle name="40% - Accent3 2 3 7 3" xfId="3344"/>
    <cellStyle name="40% - Accent3 2 3 8" xfId="1677"/>
    <cellStyle name="40% - Accent3 2 3 8 2" xfId="2657"/>
    <cellStyle name="40% - Accent3 2 3 8 3" xfId="3766"/>
    <cellStyle name="40% - Accent3 2 3 9" xfId="1897"/>
    <cellStyle name="40% - Accent3 2 3 9 2" xfId="4192"/>
    <cellStyle name="40% - Accent3 2 4" xfId="744"/>
    <cellStyle name="40% - Accent3 2 4 2" xfId="4320"/>
    <cellStyle name="40% - Accent3 2 4 3" xfId="4193"/>
    <cellStyle name="40% - Accent3 2 5" xfId="743"/>
    <cellStyle name="40% - Accent3 2 5 2" xfId="4321"/>
    <cellStyle name="40% - Accent3 2 5 3" xfId="4194"/>
    <cellStyle name="40% - Accent3 2 6" xfId="1064"/>
    <cellStyle name="40% - Accent3 2 6 2" xfId="4322"/>
    <cellStyle name="40% - Accent3 2 6 3" xfId="4593"/>
    <cellStyle name="40% - Accent3 2 6 4" xfId="4266"/>
    <cellStyle name="40% - Accent3 2 6 5" xfId="2953"/>
    <cellStyle name="40% - Accent3 3" xfId="69"/>
    <cellStyle name="40% - Accent3 3 2" xfId="4323"/>
    <cellStyle name="40% - Accent3 3 3" xfId="4195"/>
    <cellStyle name="40% - Accent3 4" xfId="70"/>
    <cellStyle name="40% - Accent3 4 2" xfId="4324"/>
    <cellStyle name="40% - Accent3 4 3" xfId="4196"/>
    <cellStyle name="40% - Accent4 2" xfId="71"/>
    <cellStyle name="40% - Accent4 2 2" xfId="72"/>
    <cellStyle name="40% - Accent4 2 3" xfId="73"/>
    <cellStyle name="40% - Accent4 2 3 10" xfId="2879"/>
    <cellStyle name="40% - Accent4 2 3 2" xfId="833"/>
    <cellStyle name="40% - Accent4 2 3 2 2" xfId="939"/>
    <cellStyle name="40% - Accent4 2 3 2 2 2" xfId="1312"/>
    <cellStyle name="40% - Accent4 2 3 2 2 2 2" xfId="2292"/>
    <cellStyle name="40% - Accent4 2 3 2 2 2 2 2" xfId="4702"/>
    <cellStyle name="40% - Accent4 2 3 2 2 2 3" xfId="3577"/>
    <cellStyle name="40% - Accent4 2 3 2 2 3" xfId="1546"/>
    <cellStyle name="40% - Accent4 2 3 2 2 3 2" xfId="2526"/>
    <cellStyle name="40% - Accent4 2 3 2 2 3 2 2" xfId="5085"/>
    <cellStyle name="40% - Accent4 2 3 2 2 3 3" xfId="3983"/>
    <cellStyle name="40% - Accent4 2 3 2 2 4" xfId="1780"/>
    <cellStyle name="40% - Accent4 2 3 2 2 4 2" xfId="2759"/>
    <cellStyle name="40% - Accent4 2 3 2 2 4 3" xfId="4434"/>
    <cellStyle name="40% - Accent4 2 3 2 2 5" xfId="2017"/>
    <cellStyle name="40% - Accent4 2 3 2 2 6" xfId="3161"/>
    <cellStyle name="40% - Accent4 2 3 2 3" xfId="1021"/>
    <cellStyle name="40% - Accent4 2 3 2 3 2" xfId="1389"/>
    <cellStyle name="40% - Accent4 2 3 2 3 2 2" xfId="2369"/>
    <cellStyle name="40% - Accent4 2 3 2 3 2 2 2" xfId="5190"/>
    <cellStyle name="40% - Accent4 2 3 2 3 2 3" xfId="3682"/>
    <cellStyle name="40% - Accent4 2 3 2 3 3" xfId="1623"/>
    <cellStyle name="40% - Accent4 2 3 2 3 3 2" xfId="2603"/>
    <cellStyle name="40% - Accent4 2 3 2 3 3 3" xfId="4088"/>
    <cellStyle name="40% - Accent4 2 3 2 3 4" xfId="1857"/>
    <cellStyle name="40% - Accent4 2 3 2 3 4 2" xfId="2836"/>
    <cellStyle name="40% - Accent4 2 3 2 3 4 3" xfId="4568"/>
    <cellStyle name="40% - Accent4 2 3 2 3 5" xfId="2094"/>
    <cellStyle name="40% - Accent4 2 3 2 3 6" xfId="3268"/>
    <cellStyle name="40% - Accent4 2 3 2 4" xfId="1233"/>
    <cellStyle name="40% - Accent4 2 3 2 4 2" xfId="2215"/>
    <cellStyle name="40% - Accent4 2 3 2 4 2 2" xfId="4872"/>
    <cellStyle name="40% - Accent4 2 3 2 4 2 3" xfId="3472"/>
    <cellStyle name="40% - Accent4 2 3 2 4 3" xfId="3878"/>
    <cellStyle name="40% - Accent4 2 3 2 4 4" xfId="4552"/>
    <cellStyle name="40% - Accent4 2 3 2 4 5" xfId="3041"/>
    <cellStyle name="40% - Accent4 2 3 2 5" xfId="1469"/>
    <cellStyle name="40% - Accent4 2 3 2 5 2" xfId="2449"/>
    <cellStyle name="40% - Accent4 2 3 2 5 2 2" xfId="4933"/>
    <cellStyle name="40% - Accent4 2 3 2 5 3" xfId="3398"/>
    <cellStyle name="40% - Accent4 2 3 2 6" xfId="1661"/>
    <cellStyle name="40% - Accent4 2 3 2 6 2" xfId="2641"/>
    <cellStyle name="40% - Accent4 2 3 2 6 3" xfId="3805"/>
    <cellStyle name="40% - Accent4 2 3 2 7" xfId="1940"/>
    <cellStyle name="40% - Accent4 2 3 2 7 2" xfId="4286"/>
    <cellStyle name="40% - Accent4 2 3 2 8" xfId="2916"/>
    <cellStyle name="40% - Accent4 2 3 3" xfId="868"/>
    <cellStyle name="40% - Accent4 2 3 3 2" xfId="1268"/>
    <cellStyle name="40% - Accent4 2 3 3 2 2" xfId="2250"/>
    <cellStyle name="40% - Accent4 2 3 3 2 2 2" xfId="5119"/>
    <cellStyle name="40% - Accent4 2 3 3 2 2 3" xfId="3611"/>
    <cellStyle name="40% - Accent4 2 3 3 2 3" xfId="4017"/>
    <cellStyle name="40% - Accent4 2 3 3 2 4" xfId="4735"/>
    <cellStyle name="40% - Accent4 2 3 3 2 5" xfId="3195"/>
    <cellStyle name="40% - Accent4 2 3 3 3" xfId="1504"/>
    <cellStyle name="40% - Accent4 2 3 3 3 2" xfId="2484"/>
    <cellStyle name="40% - Accent4 2 3 3 3 2 2" xfId="5224"/>
    <cellStyle name="40% - Accent4 2 3 3 3 2 3" xfId="3716"/>
    <cellStyle name="40% - Accent4 2 3 3 3 3" xfId="4122"/>
    <cellStyle name="40% - Accent4 2 3 3 3 4" xfId="4811"/>
    <cellStyle name="40% - Accent4 2 3 3 3 5" xfId="3306"/>
    <cellStyle name="40% - Accent4 2 3 3 4" xfId="1738"/>
    <cellStyle name="40% - Accent4 2 3 3 4 2" xfId="2717"/>
    <cellStyle name="40% - Accent4 2 3 3 4 2 2" xfId="4655"/>
    <cellStyle name="40% - Accent4 2 3 3 4 3" xfId="3506"/>
    <cellStyle name="40% - Accent4 2 3 3 5" xfId="1975"/>
    <cellStyle name="40% - Accent4 2 3 3 5 2" xfId="5015"/>
    <cellStyle name="40% - Accent4 2 3 3 5 3" xfId="3912"/>
    <cellStyle name="40% - Accent4 2 3 3 6" xfId="4406"/>
    <cellStyle name="40% - Accent4 2 3 3 7" xfId="3079"/>
    <cellStyle name="40% - Accent4 2 3 4" xfId="979"/>
    <cellStyle name="40% - Accent4 2 3 4 2" xfId="1347"/>
    <cellStyle name="40% - Accent4 2 3 4 2 2" xfId="2327"/>
    <cellStyle name="40% - Accent4 2 3 4 2 2 2" xfId="5054"/>
    <cellStyle name="40% - Accent4 2 3 4 2 3" xfId="3546"/>
    <cellStyle name="40% - Accent4 2 3 4 3" xfId="1581"/>
    <cellStyle name="40% - Accent4 2 3 4 3 2" xfId="2561"/>
    <cellStyle name="40% - Accent4 2 3 4 3 3" xfId="3952"/>
    <cellStyle name="40% - Accent4 2 3 4 4" xfId="1815"/>
    <cellStyle name="40% - Accent4 2 3 4 4 2" xfId="2794"/>
    <cellStyle name="40% - Accent4 2 3 4 4 3" xfId="4482"/>
    <cellStyle name="40% - Accent4 2 3 4 5" xfId="2052"/>
    <cellStyle name="40% - Accent4 2 3 4 6" xfId="3130"/>
    <cellStyle name="40% - Accent4 2 3 5" xfId="1065"/>
    <cellStyle name="40% - Accent4 2 3 5 2" xfId="2129"/>
    <cellStyle name="40% - Accent4 2 3 5 2 2" xfId="5159"/>
    <cellStyle name="40% - Accent4 2 3 5 2 3" xfId="3651"/>
    <cellStyle name="40% - Accent4 2 3 5 3" xfId="4057"/>
    <cellStyle name="40% - Accent4 2 3 5 4" xfId="4775"/>
    <cellStyle name="40% - Accent4 2 3 5 5" xfId="3236"/>
    <cellStyle name="40% - Accent4 2 3 6" xfId="1187"/>
    <cellStyle name="40% - Accent4 2 3 6 2" xfId="2173"/>
    <cellStyle name="40% - Accent4 2 3 6 2 2" xfId="4902"/>
    <cellStyle name="40% - Accent4 2 3 6 2 3" xfId="3440"/>
    <cellStyle name="40% - Accent4 2 3 6 3" xfId="3847"/>
    <cellStyle name="40% - Accent4 2 3 6 4" xfId="4543"/>
    <cellStyle name="40% - Accent4 2 3 6 5" xfId="2990"/>
    <cellStyle name="40% - Accent4 2 3 7" xfId="1427"/>
    <cellStyle name="40% - Accent4 2 3 7 2" xfId="2407"/>
    <cellStyle name="40% - Accent4 2 3 7 2 2" xfId="4863"/>
    <cellStyle name="40% - Accent4 2 3 7 3" xfId="3345"/>
    <cellStyle name="40% - Accent4 2 3 8" xfId="1678"/>
    <cellStyle name="40% - Accent4 2 3 8 2" xfId="2658"/>
    <cellStyle name="40% - Accent4 2 3 8 3" xfId="3767"/>
    <cellStyle name="40% - Accent4 2 3 9" xfId="1898"/>
    <cellStyle name="40% - Accent4 2 3 9 2" xfId="4197"/>
    <cellStyle name="40% - Accent4 2 4" xfId="742"/>
    <cellStyle name="40% - Accent4 2 5" xfId="741"/>
    <cellStyle name="40% - Accent4 2 6" xfId="1066"/>
    <cellStyle name="40% - Accent4 3" xfId="74"/>
    <cellStyle name="40% - Accent4 4" xfId="75"/>
    <cellStyle name="40% - Accent5 2" xfId="76"/>
    <cellStyle name="40% - Accent5 2 2" xfId="77"/>
    <cellStyle name="40% - Accent5 2 3" xfId="78"/>
    <cellStyle name="40% - Accent5 2 3 10" xfId="2880"/>
    <cellStyle name="40% - Accent5 2 3 2" xfId="834"/>
    <cellStyle name="40% - Accent5 2 3 2 2" xfId="940"/>
    <cellStyle name="40% - Accent5 2 3 2 2 2" xfId="1313"/>
    <cellStyle name="40% - Accent5 2 3 2 2 2 2" xfId="2293"/>
    <cellStyle name="40% - Accent5 2 3 2 2 2 2 2" xfId="4703"/>
    <cellStyle name="40% - Accent5 2 3 2 2 2 3" xfId="3578"/>
    <cellStyle name="40% - Accent5 2 3 2 2 3" xfId="1547"/>
    <cellStyle name="40% - Accent5 2 3 2 2 3 2" xfId="2527"/>
    <cellStyle name="40% - Accent5 2 3 2 2 3 2 2" xfId="5086"/>
    <cellStyle name="40% - Accent5 2 3 2 2 3 3" xfId="3984"/>
    <cellStyle name="40% - Accent5 2 3 2 2 4" xfId="1781"/>
    <cellStyle name="40% - Accent5 2 3 2 2 4 2" xfId="2760"/>
    <cellStyle name="40% - Accent5 2 3 2 2 4 3" xfId="4435"/>
    <cellStyle name="40% - Accent5 2 3 2 2 5" xfId="2018"/>
    <cellStyle name="40% - Accent5 2 3 2 2 6" xfId="3162"/>
    <cellStyle name="40% - Accent5 2 3 2 3" xfId="1022"/>
    <cellStyle name="40% - Accent5 2 3 2 3 2" xfId="1390"/>
    <cellStyle name="40% - Accent5 2 3 2 3 2 2" xfId="2370"/>
    <cellStyle name="40% - Accent5 2 3 2 3 2 2 2" xfId="5191"/>
    <cellStyle name="40% - Accent5 2 3 2 3 2 3" xfId="3683"/>
    <cellStyle name="40% - Accent5 2 3 2 3 3" xfId="1624"/>
    <cellStyle name="40% - Accent5 2 3 2 3 3 2" xfId="2604"/>
    <cellStyle name="40% - Accent5 2 3 2 3 3 3" xfId="4089"/>
    <cellStyle name="40% - Accent5 2 3 2 3 4" xfId="1858"/>
    <cellStyle name="40% - Accent5 2 3 2 3 4 2" xfId="2837"/>
    <cellStyle name="40% - Accent5 2 3 2 3 4 3" xfId="4569"/>
    <cellStyle name="40% - Accent5 2 3 2 3 5" xfId="2095"/>
    <cellStyle name="40% - Accent5 2 3 2 3 6" xfId="3269"/>
    <cellStyle name="40% - Accent5 2 3 2 4" xfId="1234"/>
    <cellStyle name="40% - Accent5 2 3 2 4 2" xfId="2216"/>
    <cellStyle name="40% - Accent5 2 3 2 4 2 2" xfId="4981"/>
    <cellStyle name="40% - Accent5 2 3 2 4 2 3" xfId="3473"/>
    <cellStyle name="40% - Accent5 2 3 2 4 3" xfId="3879"/>
    <cellStyle name="40% - Accent5 2 3 2 4 4" xfId="4626"/>
    <cellStyle name="40% - Accent5 2 3 2 4 5" xfId="3042"/>
    <cellStyle name="40% - Accent5 2 3 2 5" xfId="1470"/>
    <cellStyle name="40% - Accent5 2 3 2 5 2" xfId="2450"/>
    <cellStyle name="40% - Accent5 2 3 2 5 2 2" xfId="4934"/>
    <cellStyle name="40% - Accent5 2 3 2 5 3" xfId="3399"/>
    <cellStyle name="40% - Accent5 2 3 2 6" xfId="1660"/>
    <cellStyle name="40% - Accent5 2 3 2 6 2" xfId="2640"/>
    <cellStyle name="40% - Accent5 2 3 2 6 3" xfId="3806"/>
    <cellStyle name="40% - Accent5 2 3 2 7" xfId="1941"/>
    <cellStyle name="40% - Accent5 2 3 2 7 2" xfId="4287"/>
    <cellStyle name="40% - Accent5 2 3 2 8" xfId="2917"/>
    <cellStyle name="40% - Accent5 2 3 3" xfId="869"/>
    <cellStyle name="40% - Accent5 2 3 3 2" xfId="1269"/>
    <cellStyle name="40% - Accent5 2 3 3 2 2" xfId="2251"/>
    <cellStyle name="40% - Accent5 2 3 3 2 2 2" xfId="5120"/>
    <cellStyle name="40% - Accent5 2 3 3 2 2 3" xfId="3612"/>
    <cellStyle name="40% - Accent5 2 3 3 2 3" xfId="4018"/>
    <cellStyle name="40% - Accent5 2 3 3 2 4" xfId="4736"/>
    <cellStyle name="40% - Accent5 2 3 3 2 5" xfId="3196"/>
    <cellStyle name="40% - Accent5 2 3 3 3" xfId="1505"/>
    <cellStyle name="40% - Accent5 2 3 3 3 2" xfId="2485"/>
    <cellStyle name="40% - Accent5 2 3 3 3 2 2" xfId="5225"/>
    <cellStyle name="40% - Accent5 2 3 3 3 2 3" xfId="3717"/>
    <cellStyle name="40% - Accent5 2 3 3 3 3" xfId="4123"/>
    <cellStyle name="40% - Accent5 2 3 3 3 4" xfId="4812"/>
    <cellStyle name="40% - Accent5 2 3 3 3 5" xfId="3307"/>
    <cellStyle name="40% - Accent5 2 3 3 4" xfId="1739"/>
    <cellStyle name="40% - Accent5 2 3 3 4 2" xfId="2718"/>
    <cellStyle name="40% - Accent5 2 3 3 4 2 2" xfId="4656"/>
    <cellStyle name="40% - Accent5 2 3 3 4 3" xfId="3507"/>
    <cellStyle name="40% - Accent5 2 3 3 5" xfId="1976"/>
    <cellStyle name="40% - Accent5 2 3 3 5 2" xfId="5016"/>
    <cellStyle name="40% - Accent5 2 3 3 5 3" xfId="3913"/>
    <cellStyle name="40% - Accent5 2 3 3 6" xfId="4407"/>
    <cellStyle name="40% - Accent5 2 3 3 7" xfId="3080"/>
    <cellStyle name="40% - Accent5 2 3 4" xfId="980"/>
    <cellStyle name="40% - Accent5 2 3 4 2" xfId="1348"/>
    <cellStyle name="40% - Accent5 2 3 4 2 2" xfId="2328"/>
    <cellStyle name="40% - Accent5 2 3 4 2 2 2" xfId="5055"/>
    <cellStyle name="40% - Accent5 2 3 4 2 3" xfId="3547"/>
    <cellStyle name="40% - Accent5 2 3 4 3" xfId="1582"/>
    <cellStyle name="40% - Accent5 2 3 4 3 2" xfId="2562"/>
    <cellStyle name="40% - Accent5 2 3 4 3 3" xfId="3953"/>
    <cellStyle name="40% - Accent5 2 3 4 4" xfId="1816"/>
    <cellStyle name="40% - Accent5 2 3 4 4 2" xfId="2795"/>
    <cellStyle name="40% - Accent5 2 3 4 4 3" xfId="4483"/>
    <cellStyle name="40% - Accent5 2 3 4 5" xfId="2053"/>
    <cellStyle name="40% - Accent5 2 3 4 6" xfId="3131"/>
    <cellStyle name="40% - Accent5 2 3 5" xfId="1067"/>
    <cellStyle name="40% - Accent5 2 3 5 2" xfId="2130"/>
    <cellStyle name="40% - Accent5 2 3 5 2 2" xfId="5160"/>
    <cellStyle name="40% - Accent5 2 3 5 2 3" xfId="3652"/>
    <cellStyle name="40% - Accent5 2 3 5 3" xfId="4058"/>
    <cellStyle name="40% - Accent5 2 3 5 4" xfId="4776"/>
    <cellStyle name="40% - Accent5 2 3 5 5" xfId="3237"/>
    <cellStyle name="40% - Accent5 2 3 6" xfId="1188"/>
    <cellStyle name="40% - Accent5 2 3 6 2" xfId="2174"/>
    <cellStyle name="40% - Accent5 2 3 6 2 2" xfId="4882"/>
    <cellStyle name="40% - Accent5 2 3 6 2 3" xfId="3441"/>
    <cellStyle name="40% - Accent5 2 3 6 3" xfId="3848"/>
    <cellStyle name="40% - Accent5 2 3 6 4" xfId="4596"/>
    <cellStyle name="40% - Accent5 2 3 6 5" xfId="2991"/>
    <cellStyle name="40% - Accent5 2 3 7" xfId="1428"/>
    <cellStyle name="40% - Accent5 2 3 7 2" xfId="2408"/>
    <cellStyle name="40% - Accent5 2 3 7 2 2" xfId="4864"/>
    <cellStyle name="40% - Accent5 2 3 7 3" xfId="3346"/>
    <cellStyle name="40% - Accent5 2 3 8" xfId="1679"/>
    <cellStyle name="40% - Accent5 2 3 8 2" xfId="2659"/>
    <cellStyle name="40% - Accent5 2 3 8 3" xfId="3768"/>
    <cellStyle name="40% - Accent5 2 3 9" xfId="1899"/>
    <cellStyle name="40% - Accent5 2 3 9 2" xfId="4198"/>
    <cellStyle name="40% - Accent5 2 4" xfId="740"/>
    <cellStyle name="40% - Accent5 2 5" xfId="739"/>
    <cellStyle name="40% - Accent5 2 6" xfId="1068"/>
    <cellStyle name="40% - Accent5 3" xfId="79"/>
    <cellStyle name="40% - Accent5 4" xfId="80"/>
    <cellStyle name="40% - Accent6 2" xfId="81"/>
    <cellStyle name="40% - Accent6 2 2" xfId="82"/>
    <cellStyle name="40% - Accent6 2 3" xfId="83"/>
    <cellStyle name="40% - Accent6 2 3 10" xfId="2881"/>
    <cellStyle name="40% - Accent6 2 3 2" xfId="835"/>
    <cellStyle name="40% - Accent6 2 3 2 2" xfId="941"/>
    <cellStyle name="40% - Accent6 2 3 2 2 2" xfId="1314"/>
    <cellStyle name="40% - Accent6 2 3 2 2 2 2" xfId="2294"/>
    <cellStyle name="40% - Accent6 2 3 2 2 2 2 2" xfId="4704"/>
    <cellStyle name="40% - Accent6 2 3 2 2 2 3" xfId="3579"/>
    <cellStyle name="40% - Accent6 2 3 2 2 3" xfId="1548"/>
    <cellStyle name="40% - Accent6 2 3 2 2 3 2" xfId="2528"/>
    <cellStyle name="40% - Accent6 2 3 2 2 3 2 2" xfId="5087"/>
    <cellStyle name="40% - Accent6 2 3 2 2 3 3" xfId="3985"/>
    <cellStyle name="40% - Accent6 2 3 2 2 4" xfId="1782"/>
    <cellStyle name="40% - Accent6 2 3 2 2 4 2" xfId="2761"/>
    <cellStyle name="40% - Accent6 2 3 2 2 4 3" xfId="4436"/>
    <cellStyle name="40% - Accent6 2 3 2 2 5" xfId="2019"/>
    <cellStyle name="40% - Accent6 2 3 2 2 6" xfId="3163"/>
    <cellStyle name="40% - Accent6 2 3 2 3" xfId="1023"/>
    <cellStyle name="40% - Accent6 2 3 2 3 2" xfId="1391"/>
    <cellStyle name="40% - Accent6 2 3 2 3 2 2" xfId="2371"/>
    <cellStyle name="40% - Accent6 2 3 2 3 2 2 2" xfId="5192"/>
    <cellStyle name="40% - Accent6 2 3 2 3 2 3" xfId="3684"/>
    <cellStyle name="40% - Accent6 2 3 2 3 3" xfId="1625"/>
    <cellStyle name="40% - Accent6 2 3 2 3 3 2" xfId="2605"/>
    <cellStyle name="40% - Accent6 2 3 2 3 3 3" xfId="4090"/>
    <cellStyle name="40% - Accent6 2 3 2 3 4" xfId="1859"/>
    <cellStyle name="40% - Accent6 2 3 2 3 4 2" xfId="2838"/>
    <cellStyle name="40% - Accent6 2 3 2 3 4 3" xfId="4570"/>
    <cellStyle name="40% - Accent6 2 3 2 3 5" xfId="2096"/>
    <cellStyle name="40% - Accent6 2 3 2 3 6" xfId="3270"/>
    <cellStyle name="40% - Accent6 2 3 2 4" xfId="1235"/>
    <cellStyle name="40% - Accent6 2 3 2 4 2" xfId="2217"/>
    <cellStyle name="40% - Accent6 2 3 2 4 2 2" xfId="4899"/>
    <cellStyle name="40% - Accent6 2 3 2 4 2 3" xfId="3474"/>
    <cellStyle name="40% - Accent6 2 3 2 4 3" xfId="3880"/>
    <cellStyle name="40% - Accent6 2 3 2 4 4" xfId="4627"/>
    <cellStyle name="40% - Accent6 2 3 2 4 5" xfId="3043"/>
    <cellStyle name="40% - Accent6 2 3 2 5" xfId="1471"/>
    <cellStyle name="40% - Accent6 2 3 2 5 2" xfId="2451"/>
    <cellStyle name="40% - Accent6 2 3 2 5 2 2" xfId="4935"/>
    <cellStyle name="40% - Accent6 2 3 2 5 3" xfId="3400"/>
    <cellStyle name="40% - Accent6 2 3 2 6" xfId="1658"/>
    <cellStyle name="40% - Accent6 2 3 2 6 2" xfId="2638"/>
    <cellStyle name="40% - Accent6 2 3 2 6 3" xfId="3807"/>
    <cellStyle name="40% - Accent6 2 3 2 7" xfId="1942"/>
    <cellStyle name="40% - Accent6 2 3 2 7 2" xfId="4288"/>
    <cellStyle name="40% - Accent6 2 3 2 8" xfId="2918"/>
    <cellStyle name="40% - Accent6 2 3 3" xfId="870"/>
    <cellStyle name="40% - Accent6 2 3 3 2" xfId="1270"/>
    <cellStyle name="40% - Accent6 2 3 3 2 2" xfId="2252"/>
    <cellStyle name="40% - Accent6 2 3 3 2 2 2" xfId="5121"/>
    <cellStyle name="40% - Accent6 2 3 3 2 2 3" xfId="3613"/>
    <cellStyle name="40% - Accent6 2 3 3 2 3" xfId="4019"/>
    <cellStyle name="40% - Accent6 2 3 3 2 4" xfId="4737"/>
    <cellStyle name="40% - Accent6 2 3 3 2 5" xfId="3197"/>
    <cellStyle name="40% - Accent6 2 3 3 3" xfId="1506"/>
    <cellStyle name="40% - Accent6 2 3 3 3 2" xfId="2486"/>
    <cellStyle name="40% - Accent6 2 3 3 3 2 2" xfId="5226"/>
    <cellStyle name="40% - Accent6 2 3 3 3 2 3" xfId="3718"/>
    <cellStyle name="40% - Accent6 2 3 3 3 3" xfId="4124"/>
    <cellStyle name="40% - Accent6 2 3 3 3 4" xfId="4813"/>
    <cellStyle name="40% - Accent6 2 3 3 3 5" xfId="3308"/>
    <cellStyle name="40% - Accent6 2 3 3 4" xfId="1740"/>
    <cellStyle name="40% - Accent6 2 3 3 4 2" xfId="2719"/>
    <cellStyle name="40% - Accent6 2 3 3 4 2 2" xfId="4657"/>
    <cellStyle name="40% - Accent6 2 3 3 4 3" xfId="3508"/>
    <cellStyle name="40% - Accent6 2 3 3 5" xfId="1977"/>
    <cellStyle name="40% - Accent6 2 3 3 5 2" xfId="5017"/>
    <cellStyle name="40% - Accent6 2 3 3 5 3" xfId="3914"/>
    <cellStyle name="40% - Accent6 2 3 3 6" xfId="4408"/>
    <cellStyle name="40% - Accent6 2 3 3 7" xfId="3081"/>
    <cellStyle name="40% - Accent6 2 3 4" xfId="981"/>
    <cellStyle name="40% - Accent6 2 3 4 2" xfId="1349"/>
    <cellStyle name="40% - Accent6 2 3 4 2 2" xfId="2329"/>
    <cellStyle name="40% - Accent6 2 3 4 2 2 2" xfId="5056"/>
    <cellStyle name="40% - Accent6 2 3 4 2 3" xfId="3548"/>
    <cellStyle name="40% - Accent6 2 3 4 3" xfId="1583"/>
    <cellStyle name="40% - Accent6 2 3 4 3 2" xfId="2563"/>
    <cellStyle name="40% - Accent6 2 3 4 3 3" xfId="3954"/>
    <cellStyle name="40% - Accent6 2 3 4 4" xfId="1817"/>
    <cellStyle name="40% - Accent6 2 3 4 4 2" xfId="2796"/>
    <cellStyle name="40% - Accent6 2 3 4 4 3" xfId="4484"/>
    <cellStyle name="40% - Accent6 2 3 4 5" xfId="2054"/>
    <cellStyle name="40% - Accent6 2 3 4 6" xfId="3132"/>
    <cellStyle name="40% - Accent6 2 3 5" xfId="1069"/>
    <cellStyle name="40% - Accent6 2 3 5 2" xfId="2131"/>
    <cellStyle name="40% - Accent6 2 3 5 2 2" xfId="5161"/>
    <cellStyle name="40% - Accent6 2 3 5 2 3" xfId="3653"/>
    <cellStyle name="40% - Accent6 2 3 5 3" xfId="4059"/>
    <cellStyle name="40% - Accent6 2 3 5 4" xfId="4777"/>
    <cellStyle name="40% - Accent6 2 3 5 5" xfId="3238"/>
    <cellStyle name="40% - Accent6 2 3 6" xfId="1189"/>
    <cellStyle name="40% - Accent6 2 3 6 2" xfId="2175"/>
    <cellStyle name="40% - Accent6 2 3 6 2 2" xfId="4982"/>
    <cellStyle name="40% - Accent6 2 3 6 2 3" xfId="3442"/>
    <cellStyle name="40% - Accent6 2 3 6 3" xfId="3849"/>
    <cellStyle name="40% - Accent6 2 3 6 4" xfId="4618"/>
    <cellStyle name="40% - Accent6 2 3 6 5" xfId="2992"/>
    <cellStyle name="40% - Accent6 2 3 7" xfId="1429"/>
    <cellStyle name="40% - Accent6 2 3 7 2" xfId="2409"/>
    <cellStyle name="40% - Accent6 2 3 7 2 2" xfId="4865"/>
    <cellStyle name="40% - Accent6 2 3 7 3" xfId="3347"/>
    <cellStyle name="40% - Accent6 2 3 8" xfId="1680"/>
    <cellStyle name="40% - Accent6 2 3 8 2" xfId="2660"/>
    <cellStyle name="40% - Accent6 2 3 8 3" xfId="3769"/>
    <cellStyle name="40% - Accent6 2 3 9" xfId="1900"/>
    <cellStyle name="40% - Accent6 2 3 9 2" xfId="4199"/>
    <cellStyle name="40% - Accent6 2 4" xfId="738"/>
    <cellStyle name="40% - Accent6 2 5" xfId="737"/>
    <cellStyle name="40% - Accent6 2 6" xfId="1070"/>
    <cellStyle name="40% - Accent6 3" xfId="84"/>
    <cellStyle name="40% - Accent6 4" xfId="85"/>
    <cellStyle name="60% - Accent1 2" xfId="86"/>
    <cellStyle name="60% - Accent1 2 2" xfId="87"/>
    <cellStyle name="60% - Accent1 2 3" xfId="88"/>
    <cellStyle name="60% - Accent1 2 4" xfId="736"/>
    <cellStyle name="60% - Accent1 2 5" xfId="735"/>
    <cellStyle name="60% - Accent1 2 6" xfId="1071"/>
    <cellStyle name="60% - Accent1 3" xfId="89"/>
    <cellStyle name="60% - Accent1 4" xfId="90"/>
    <cellStyle name="60% - Accent2 2" xfId="91"/>
    <cellStyle name="60% - Accent2 2 2" xfId="92"/>
    <cellStyle name="60% - Accent2 2 3" xfId="93"/>
    <cellStyle name="60% - Accent2 2 4" xfId="734"/>
    <cellStyle name="60% - Accent2 2 5" xfId="733"/>
    <cellStyle name="60% - Accent2 2 6" xfId="1072"/>
    <cellStyle name="60% - Accent2 3" xfId="94"/>
    <cellStyle name="60% - Accent2 4" xfId="95"/>
    <cellStyle name="60% - Accent3 2" xfId="96"/>
    <cellStyle name="60% - Accent3 2 2" xfId="97"/>
    <cellStyle name="60% - Accent3 2 2 2" xfId="4325"/>
    <cellStyle name="60% - Accent3 2 2 3" xfId="4200"/>
    <cellStyle name="60% - Accent3 2 3" xfId="98"/>
    <cellStyle name="60% - Accent3 2 3 2" xfId="4326"/>
    <cellStyle name="60% - Accent3 2 3 3" xfId="4201"/>
    <cellStyle name="60% - Accent3 2 4" xfId="732"/>
    <cellStyle name="60% - Accent3 2 4 2" xfId="4327"/>
    <cellStyle name="60% - Accent3 2 4 3" xfId="4202"/>
    <cellStyle name="60% - Accent3 2 5" xfId="731"/>
    <cellStyle name="60% - Accent3 2 5 2" xfId="4328"/>
    <cellStyle name="60% - Accent3 2 5 3" xfId="4203"/>
    <cellStyle name="60% - Accent3 2 6" xfId="1073"/>
    <cellStyle name="60% - Accent3 2 6 2" xfId="4329"/>
    <cellStyle name="60% - Accent3 2 6 3" xfId="4535"/>
    <cellStyle name="60% - Accent3 2 6 4" xfId="4267"/>
    <cellStyle name="60% - Accent3 2 6 5" xfId="2956"/>
    <cellStyle name="60% - Accent3 3" xfId="99"/>
    <cellStyle name="60% - Accent3 3 2" xfId="4330"/>
    <cellStyle name="60% - Accent3 3 3" xfId="4204"/>
    <cellStyle name="60% - Accent3 4" xfId="100"/>
    <cellStyle name="60% - Accent3 4 2" xfId="4331"/>
    <cellStyle name="60% - Accent3 4 3" xfId="4205"/>
    <cellStyle name="60% - Accent4 2" xfId="101"/>
    <cellStyle name="60% - Accent4 2 2" xfId="102"/>
    <cellStyle name="60% - Accent4 2 3" xfId="103"/>
    <cellStyle name="60% - Accent4 2 4" xfId="730"/>
    <cellStyle name="60% - Accent4 2 5" xfId="729"/>
    <cellStyle name="60% - Accent4 2 6" xfId="1074"/>
    <cellStyle name="60% - Accent4 3" xfId="104"/>
    <cellStyle name="60% - Accent4 4" xfId="105"/>
    <cellStyle name="60% - Accent5 2" xfId="106"/>
    <cellStyle name="60% - Accent5 2 2" xfId="107"/>
    <cellStyle name="60% - Accent5 2 3" xfId="108"/>
    <cellStyle name="60% - Accent5 2 4" xfId="728"/>
    <cellStyle name="60% - Accent5 2 5" xfId="727"/>
    <cellStyle name="60% - Accent5 2 6" xfId="1075"/>
    <cellStyle name="60% - Accent5 3" xfId="109"/>
    <cellStyle name="60% - Accent5 4" xfId="110"/>
    <cellStyle name="60% - Accent6 2" xfId="111"/>
    <cellStyle name="60% - Accent6 2 2" xfId="112"/>
    <cellStyle name="60% - Accent6 2 2 2" xfId="4332"/>
    <cellStyle name="60% - Accent6 2 2 3" xfId="4206"/>
    <cellStyle name="60% - Accent6 2 3" xfId="113"/>
    <cellStyle name="60% - Accent6 2 3 2" xfId="4333"/>
    <cellStyle name="60% - Accent6 2 3 3" xfId="4207"/>
    <cellStyle name="60% - Accent6 2 4" xfId="726"/>
    <cellStyle name="60% - Accent6 2 4 2" xfId="4334"/>
    <cellStyle name="60% - Accent6 2 4 3" xfId="4208"/>
    <cellStyle name="60% - Accent6 2 5" xfId="725"/>
    <cellStyle name="60% - Accent6 2 6" xfId="1076"/>
    <cellStyle name="60% - Accent6 2 6 2" xfId="4335"/>
    <cellStyle name="60% - Accent6 2 6 3" xfId="4268"/>
    <cellStyle name="60% - Accent6 3" xfId="114"/>
    <cellStyle name="60% - Accent6 3 2" xfId="4336"/>
    <cellStyle name="60% - Accent6 3 3" xfId="4209"/>
    <cellStyle name="60% - Accent6 4" xfId="115"/>
    <cellStyle name="60% - Accent6 4 2" xfId="4337"/>
    <cellStyle name="60% - Accent6 4 3" xfId="4210"/>
    <cellStyle name="Accent1 2" xfId="116"/>
    <cellStyle name="Accent1 2 2" xfId="117"/>
    <cellStyle name="Accent1 2 3" xfId="118"/>
    <cellStyle name="Accent1 2 4" xfId="724"/>
    <cellStyle name="Accent1 2 5" xfId="723"/>
    <cellStyle name="Accent1 2 6" xfId="1077"/>
    <cellStyle name="Accent1 3" xfId="119"/>
    <cellStyle name="Accent1 4" xfId="120"/>
    <cellStyle name="Accent2 2" xfId="121"/>
    <cellStyle name="Accent2 2 2" xfId="122"/>
    <cellStyle name="Accent2 2 3" xfId="123"/>
    <cellStyle name="Accent2 2 4" xfId="722"/>
    <cellStyle name="Accent2 2 5" xfId="721"/>
    <cellStyle name="Accent2 2 6" xfId="1078"/>
    <cellStyle name="Accent2 3" xfId="124"/>
    <cellStyle name="Accent2 4" xfId="125"/>
    <cellStyle name="Accent3 2" xfId="126"/>
    <cellStyle name="Accent3 2 2" xfId="127"/>
    <cellStyle name="Accent3 2 3" xfId="128"/>
    <cellStyle name="Accent3 2 4" xfId="720"/>
    <cellStyle name="Accent3 2 5" xfId="719"/>
    <cellStyle name="Accent3 2 6" xfId="1079"/>
    <cellStyle name="Accent3 3" xfId="129"/>
    <cellStyle name="Accent3 4" xfId="130"/>
    <cellStyle name="Accent4 2" xfId="131"/>
    <cellStyle name="Accent4 2 2" xfId="132"/>
    <cellStyle name="Accent4 2 3" xfId="133"/>
    <cellStyle name="Accent4 2 4" xfId="718"/>
    <cellStyle name="Accent4 2 5" xfId="717"/>
    <cellStyle name="Accent4 2 6" xfId="1081"/>
    <cellStyle name="Accent4 3" xfId="134"/>
    <cellStyle name="Accent4 4" xfId="135"/>
    <cellStyle name="Accent5 2" xfId="136"/>
    <cellStyle name="Accent5 2 2" xfId="137"/>
    <cellStyle name="Accent5 2 3" xfId="138"/>
    <cellStyle name="Accent5 3" xfId="139"/>
    <cellStyle name="Accent5 4" xfId="140"/>
    <cellStyle name="Accent6 2" xfId="141"/>
    <cellStyle name="Accent6 2 2" xfId="142"/>
    <cellStyle name="Accent6 2 3" xfId="143"/>
    <cellStyle name="Accent6 2 4" xfId="716"/>
    <cellStyle name="Accent6 2 5" xfId="715"/>
    <cellStyle name="Accent6 2 6" xfId="1082"/>
    <cellStyle name="Accent6 3" xfId="144"/>
    <cellStyle name="Accent6 4" xfId="145"/>
    <cellStyle name="Bad 2" xfId="146"/>
    <cellStyle name="Bad 2 2" xfId="147"/>
    <cellStyle name="Bad 2 2 2" xfId="4338"/>
    <cellStyle name="Bad 2 2 3" xfId="4211"/>
    <cellStyle name="Bad 2 3" xfId="148"/>
    <cellStyle name="Bad 2 3 2" xfId="4339"/>
    <cellStyle name="Bad 2 3 3" xfId="4212"/>
    <cellStyle name="Bad 2 4" xfId="714"/>
    <cellStyle name="Bad 2 4 2" xfId="4340"/>
    <cellStyle name="Bad 2 4 3" xfId="4213"/>
    <cellStyle name="Bad 2 5" xfId="713"/>
    <cellStyle name="Bad 2 6" xfId="1083"/>
    <cellStyle name="Bad 2 6 2" xfId="4341"/>
    <cellStyle name="Bad 2 6 3" xfId="4269"/>
    <cellStyle name="Bad 3" xfId="149"/>
    <cellStyle name="Bad 3 2" xfId="4342"/>
    <cellStyle name="Bad 3 3" xfId="4214"/>
    <cellStyle name="Bad 4" xfId="150"/>
    <cellStyle name="Bad 4 2" xfId="4343"/>
    <cellStyle name="Bad 4 3" xfId="4215"/>
    <cellStyle name="Calculation 2" xfId="151"/>
    <cellStyle name="Calculation 2 2" xfId="152"/>
    <cellStyle name="Calculation 2 3" xfId="153"/>
    <cellStyle name="Calculation 2 4" xfId="712"/>
    <cellStyle name="Calculation 2 5" xfId="711"/>
    <cellStyle name="Calculation 2 6" xfId="1084"/>
    <cellStyle name="Calculation 3" xfId="154"/>
    <cellStyle name="Calculation 4" xfId="155"/>
    <cellStyle name="Check Cell 2" xfId="156"/>
    <cellStyle name="Check Cell 2 2" xfId="157"/>
    <cellStyle name="Check Cell 2 3" xfId="158"/>
    <cellStyle name="Check Cell 3" xfId="159"/>
    <cellStyle name="Check Cell 4" xfId="160"/>
    <cellStyle name="Comma" xfId="1" builtinId="3"/>
    <cellStyle name="Comma 10" xfId="161"/>
    <cellStyle name="Comma 11" xfId="162"/>
    <cellStyle name="Comma 11 2" xfId="710"/>
    <cellStyle name="Comma 11 2 2" xfId="924"/>
    <cellStyle name="Comma 11 2 2 2" xfId="1301"/>
    <cellStyle name="Comma 11 2 2 2 2" xfId="5346"/>
    <cellStyle name="Comma 11 2 3" xfId="1085"/>
    <cellStyle name="Comma 11 2 3 2" xfId="5277"/>
    <cellStyle name="Comma 12" xfId="2882"/>
    <cellStyle name="Comma 13" xfId="163"/>
    <cellStyle name="Comma 14" xfId="164"/>
    <cellStyle name="Comma 2" xfId="165"/>
    <cellStyle name="Comma 2 2" xfId="166"/>
    <cellStyle name="Comma 2 2 2" xfId="167"/>
    <cellStyle name="Comma 2 2 2 2" xfId="709"/>
    <cellStyle name="Comma 2 2 3" xfId="168"/>
    <cellStyle name="Comma 2 2 3 2" xfId="708"/>
    <cellStyle name="Comma 2 2 4" xfId="169"/>
    <cellStyle name="Comma 2 2 5" xfId="170"/>
    <cellStyle name="Comma 2 3" xfId="171"/>
    <cellStyle name="Comma 2 3 2" xfId="172"/>
    <cellStyle name="Comma 2 3 2 2" xfId="707"/>
    <cellStyle name="Comma 2 3 3" xfId="173"/>
    <cellStyle name="Comma 2 3 3 2" xfId="706"/>
    <cellStyle name="Comma 2 3 4" xfId="174"/>
    <cellStyle name="Comma 2 3 5" xfId="175"/>
    <cellStyle name="Comma 2 4" xfId="176"/>
    <cellStyle name="Comma 2 4 2" xfId="177"/>
    <cellStyle name="Comma 2 4 2 2" xfId="178"/>
    <cellStyle name="Comma 2 4 2 3" xfId="179"/>
    <cellStyle name="Comma 2 4 2 4" xfId="705"/>
    <cellStyle name="Comma 2 4 3" xfId="180"/>
    <cellStyle name="Comma 2 5" xfId="181"/>
    <cellStyle name="Comma 2 5 2" xfId="182"/>
    <cellStyle name="Comma 2 5 2 2" xfId="703"/>
    <cellStyle name="Comma 2 5 3" xfId="183"/>
    <cellStyle name="Comma 2 5 4" xfId="184"/>
    <cellStyle name="Comma 2 5 5" xfId="185"/>
    <cellStyle name="Comma 2 5 6" xfId="704"/>
    <cellStyle name="Comma 2 5 6 2" xfId="964"/>
    <cellStyle name="Comma 2 5 6 2 2" xfId="4147"/>
    <cellStyle name="Comma 2 5 6 3" xfId="1087"/>
    <cellStyle name="Comma 2 5 6 3 2" xfId="5279"/>
    <cellStyle name="Comma 2 5 7" xfId="1086"/>
    <cellStyle name="Comma 2 5 7 2" xfId="5278"/>
    <cellStyle name="Comma 2 6" xfId="186"/>
    <cellStyle name="Comma 2 6 10" xfId="982"/>
    <cellStyle name="Comma 2 6 10 2" xfId="1350"/>
    <cellStyle name="Comma 2 6 10 2 2" xfId="2330"/>
    <cellStyle name="Comma 2 6 10 2 3" xfId="5352"/>
    <cellStyle name="Comma 2 6 10 3" xfId="1584"/>
    <cellStyle name="Comma 2 6 10 3 2" xfId="2564"/>
    <cellStyle name="Comma 2 6 10 3 3" xfId="5392"/>
    <cellStyle name="Comma 2 6 10 4" xfId="1818"/>
    <cellStyle name="Comma 2 6 10 4 2" xfId="2797"/>
    <cellStyle name="Comma 2 6 10 4 3" xfId="5445"/>
    <cellStyle name="Comma 2 6 10 5" xfId="2055"/>
    <cellStyle name="Comma 2 6 10 6" xfId="5264"/>
    <cellStyle name="Comma 2 6 11" xfId="1088"/>
    <cellStyle name="Comma 2 6 11 2" xfId="2132"/>
    <cellStyle name="Comma 2 6 11 3" xfId="5280"/>
    <cellStyle name="Comma 2 6 12" xfId="1190"/>
    <cellStyle name="Comma 2 6 12 2" xfId="2176"/>
    <cellStyle name="Comma 2 6 12 3" xfId="5320"/>
    <cellStyle name="Comma 2 6 13" xfId="1430"/>
    <cellStyle name="Comma 2 6 13 2" xfId="2410"/>
    <cellStyle name="Comma 2 6 13 3" xfId="5367"/>
    <cellStyle name="Comma 2 6 14" xfId="1681"/>
    <cellStyle name="Comma 2 6 14 2" xfId="2661"/>
    <cellStyle name="Comma 2 6 14 3" xfId="5412"/>
    <cellStyle name="Comma 2 6 15" xfId="1901"/>
    <cellStyle name="Comma 2 6 2" xfId="187"/>
    <cellStyle name="Comma 2 6 2 10" xfId="2883"/>
    <cellStyle name="Comma 2 6 2 2" xfId="837"/>
    <cellStyle name="Comma 2 6 2 2 2" xfId="943"/>
    <cellStyle name="Comma 2 6 2 2 2 2" xfId="1316"/>
    <cellStyle name="Comma 2 6 2 2 2 2 2" xfId="2296"/>
    <cellStyle name="Comma 2 6 2 2 2 2 2 2" xfId="4681"/>
    <cellStyle name="Comma 2 6 2 2 2 2 3" xfId="3549"/>
    <cellStyle name="Comma 2 6 2 2 2 3" xfId="1550"/>
    <cellStyle name="Comma 2 6 2 2 2 3 2" xfId="2530"/>
    <cellStyle name="Comma 2 6 2 2 2 3 2 2" xfId="5057"/>
    <cellStyle name="Comma 2 6 2 2 2 3 3" xfId="3955"/>
    <cellStyle name="Comma 2 6 2 2 2 4" xfId="1784"/>
    <cellStyle name="Comma 2 6 2 2 2 4 2" xfId="2763"/>
    <cellStyle name="Comma 2 6 2 2 2 4 3" xfId="4455"/>
    <cellStyle name="Comma 2 6 2 2 2 5" xfId="2021"/>
    <cellStyle name="Comma 2 6 2 2 2 6" xfId="3133"/>
    <cellStyle name="Comma 2 6 2 2 3" xfId="1025"/>
    <cellStyle name="Comma 2 6 2 2 3 2" xfId="1393"/>
    <cellStyle name="Comma 2 6 2 2 3 2 2" xfId="2373"/>
    <cellStyle name="Comma 2 6 2 2 3 2 2 2" xfId="5162"/>
    <cellStyle name="Comma 2 6 2 2 3 2 3" xfId="3654"/>
    <cellStyle name="Comma 2 6 2 2 3 3" xfId="1627"/>
    <cellStyle name="Comma 2 6 2 2 3 3 2" xfId="2607"/>
    <cellStyle name="Comma 2 6 2 2 3 3 3" xfId="4060"/>
    <cellStyle name="Comma 2 6 2 2 3 4" xfId="1861"/>
    <cellStyle name="Comma 2 6 2 2 3 4 2" xfId="2840"/>
    <cellStyle name="Comma 2 6 2 2 3 4 3" xfId="4597"/>
    <cellStyle name="Comma 2 6 2 2 3 5" xfId="2098"/>
    <cellStyle name="Comma 2 6 2 2 3 6" xfId="3239"/>
    <cellStyle name="Comma 2 6 2 2 4" xfId="1237"/>
    <cellStyle name="Comma 2 6 2 2 4 2" xfId="2219"/>
    <cellStyle name="Comma 2 6 2 2 4 2 2" xfId="4954"/>
    <cellStyle name="Comma 2 6 2 2 4 2 3" xfId="3443"/>
    <cellStyle name="Comma 2 6 2 2 4 3" xfId="3850"/>
    <cellStyle name="Comma 2 6 2 2 4 4" xfId="4544"/>
    <cellStyle name="Comma 2 6 2 2 4 5" xfId="2993"/>
    <cellStyle name="Comma 2 6 2 2 5" xfId="1473"/>
    <cellStyle name="Comma 2 6 2 2 5 2" xfId="2453"/>
    <cellStyle name="Comma 2 6 2 2 5 2 2" xfId="4963"/>
    <cellStyle name="Comma 2 6 2 2 5 3" xfId="3401"/>
    <cellStyle name="Comma 2 6 2 2 6" xfId="1656"/>
    <cellStyle name="Comma 2 6 2 2 6 2" xfId="2636"/>
    <cellStyle name="Comma 2 6 2 2 6 3" xfId="3808"/>
    <cellStyle name="Comma 2 6 2 2 7" xfId="1944"/>
    <cellStyle name="Comma 2 6 2 2 7 2" xfId="4344"/>
    <cellStyle name="Comma 2 6 2 2 8" xfId="2919"/>
    <cellStyle name="Comma 2 6 2 3" xfId="877"/>
    <cellStyle name="Comma 2 6 2 3 2" xfId="1272"/>
    <cellStyle name="Comma 2 6 2 3 2 2" xfId="2254"/>
    <cellStyle name="Comma 2 6 2 3 2 2 2" xfId="5088"/>
    <cellStyle name="Comma 2 6 2 3 2 2 3" xfId="3580"/>
    <cellStyle name="Comma 2 6 2 3 2 3" xfId="3986"/>
    <cellStyle name="Comma 2 6 2 3 2 4" xfId="4705"/>
    <cellStyle name="Comma 2 6 2 3 2 5" xfId="3164"/>
    <cellStyle name="Comma 2 6 2 3 3" xfId="1508"/>
    <cellStyle name="Comma 2 6 2 3 3 2" xfId="2488"/>
    <cellStyle name="Comma 2 6 2 3 3 2 2" xfId="5193"/>
    <cellStyle name="Comma 2 6 2 3 3 2 3" xfId="3685"/>
    <cellStyle name="Comma 2 6 2 3 3 3" xfId="4091"/>
    <cellStyle name="Comma 2 6 2 3 3 4" xfId="4799"/>
    <cellStyle name="Comma 2 6 2 3 3 5" xfId="3271"/>
    <cellStyle name="Comma 2 6 2 3 4" xfId="1742"/>
    <cellStyle name="Comma 2 6 2 3 4 2" xfId="2721"/>
    <cellStyle name="Comma 2 6 2 3 4 2 2" xfId="4852"/>
    <cellStyle name="Comma 2 6 2 3 4 3" xfId="3475"/>
    <cellStyle name="Comma 2 6 2 3 5" xfId="1979"/>
    <cellStyle name="Comma 2 6 2 3 5 2" xfId="3881"/>
    <cellStyle name="Comma 2 6 2 3 6" xfId="4628"/>
    <cellStyle name="Comma 2 6 2 3 7" xfId="3044"/>
    <cellStyle name="Comma 2 6 2 4" xfId="983"/>
    <cellStyle name="Comma 2 6 2 4 2" xfId="1351"/>
    <cellStyle name="Comma 2 6 2 4 2 2" xfId="2331"/>
    <cellStyle name="Comma 2 6 2 4 2 2 2" xfId="5122"/>
    <cellStyle name="Comma 2 6 2 4 2 2 3" xfId="3614"/>
    <cellStyle name="Comma 2 6 2 4 2 3" xfId="4020"/>
    <cellStyle name="Comma 2 6 2 4 2 4" xfId="4738"/>
    <cellStyle name="Comma 2 6 2 4 2 5" xfId="3198"/>
    <cellStyle name="Comma 2 6 2 4 3" xfId="1585"/>
    <cellStyle name="Comma 2 6 2 4 3 2" xfId="2565"/>
    <cellStyle name="Comma 2 6 2 4 3 2 2" xfId="5227"/>
    <cellStyle name="Comma 2 6 2 4 3 2 3" xfId="3719"/>
    <cellStyle name="Comma 2 6 2 4 3 3" xfId="4125"/>
    <cellStyle name="Comma 2 6 2 4 3 4" xfId="4814"/>
    <cellStyle name="Comma 2 6 2 4 3 5" xfId="3309"/>
    <cellStyle name="Comma 2 6 2 4 4" xfId="1819"/>
    <cellStyle name="Comma 2 6 2 4 4 2" xfId="2798"/>
    <cellStyle name="Comma 2 6 2 4 4 2 2" xfId="5018"/>
    <cellStyle name="Comma 2 6 2 4 4 3" xfId="3509"/>
    <cellStyle name="Comma 2 6 2 4 5" xfId="2056"/>
    <cellStyle name="Comma 2 6 2 4 5 2" xfId="3915"/>
    <cellStyle name="Comma 2 6 2 4 6" xfId="4658"/>
    <cellStyle name="Comma 2 6 2 4 7" xfId="3082"/>
    <cellStyle name="Comma 2 6 2 5" xfId="1089"/>
    <cellStyle name="Comma 2 6 2 5 2" xfId="2133"/>
    <cellStyle name="Comma 2 6 2 5 3" xfId="2959"/>
    <cellStyle name="Comma 2 6 2 5 4" xfId="5281"/>
    <cellStyle name="Comma 2 6 2 6" xfId="1191"/>
    <cellStyle name="Comma 2 6 2 6 2" xfId="2177"/>
    <cellStyle name="Comma 2 6 2 6 3" xfId="3348"/>
    <cellStyle name="Comma 2 6 2 7" xfId="1431"/>
    <cellStyle name="Comma 2 6 2 7 2" xfId="2411"/>
    <cellStyle name="Comma 2 6 2 7 3" xfId="3771"/>
    <cellStyle name="Comma 2 6 2 8" xfId="1682"/>
    <cellStyle name="Comma 2 6 2 8 2" xfId="2662"/>
    <cellStyle name="Comma 2 6 2 8 3" xfId="5413"/>
    <cellStyle name="Comma 2 6 2 9" xfId="1902"/>
    <cellStyle name="Comma 2 6 3" xfId="188"/>
    <cellStyle name="Comma 2 6 4" xfId="189"/>
    <cellStyle name="Comma 2 6 4 2" xfId="190"/>
    <cellStyle name="Comma 2 6 4 3" xfId="191"/>
    <cellStyle name="Comma 2 6 5" xfId="192"/>
    <cellStyle name="Comma 2 6 6" xfId="702"/>
    <cellStyle name="Comma 2 6 6 10" xfId="2884"/>
    <cellStyle name="Comma 2 6 6 2" xfId="922"/>
    <cellStyle name="Comma 2 6 6 2 2" xfId="1299"/>
    <cellStyle name="Comma 2 6 6 2 2 2" xfId="2281"/>
    <cellStyle name="Comma 2 6 6 2 2 2 2" xfId="4706"/>
    <cellStyle name="Comma 2 6 6 2 2 2 3" xfId="3581"/>
    <cellStyle name="Comma 2 6 6 2 2 3" xfId="3987"/>
    <cellStyle name="Comma 2 6 6 2 2 3 2" xfId="5089"/>
    <cellStyle name="Comma 2 6 6 2 2 4" xfId="4456"/>
    <cellStyle name="Comma 2 6 6 2 2 5" xfId="3165"/>
    <cellStyle name="Comma 2 6 6 2 3" xfId="1535"/>
    <cellStyle name="Comma 2 6 6 2 3 2" xfId="2515"/>
    <cellStyle name="Comma 2 6 6 2 3 2 2" xfId="5194"/>
    <cellStyle name="Comma 2 6 6 2 3 2 3" xfId="3686"/>
    <cellStyle name="Comma 2 6 6 2 3 3" xfId="4092"/>
    <cellStyle name="Comma 2 6 6 2 3 4" xfId="4598"/>
    <cellStyle name="Comma 2 6 6 2 3 5" xfId="3272"/>
    <cellStyle name="Comma 2 6 6 2 4" xfId="1769"/>
    <cellStyle name="Comma 2 6 6 2 4 2" xfId="2748"/>
    <cellStyle name="Comma 2 6 6 2 4 2 2" xfId="4918"/>
    <cellStyle name="Comma 2 6 6 2 4 2 3" xfId="3476"/>
    <cellStyle name="Comma 2 6 6 2 4 3" xfId="3882"/>
    <cellStyle name="Comma 2 6 6 2 4 4" xfId="4629"/>
    <cellStyle name="Comma 2 6 6 2 4 5" xfId="3045"/>
    <cellStyle name="Comma 2 6 6 2 5" xfId="2006"/>
    <cellStyle name="Comma 2 6 6 2 5 2" xfId="4964"/>
    <cellStyle name="Comma 2 6 6 2 5 3" xfId="3402"/>
    <cellStyle name="Comma 2 6 6 2 6" xfId="3809"/>
    <cellStyle name="Comma 2 6 6 2 7" xfId="4345"/>
    <cellStyle name="Comma 2 6 6 2 8" xfId="2920"/>
    <cellStyle name="Comma 2 6 6 3" xfId="1010"/>
    <cellStyle name="Comma 2 6 6 3 2" xfId="1378"/>
    <cellStyle name="Comma 2 6 6 3 2 2" xfId="2358"/>
    <cellStyle name="Comma 2 6 6 3 2 2 2" xfId="5123"/>
    <cellStyle name="Comma 2 6 6 3 2 2 3" xfId="3615"/>
    <cellStyle name="Comma 2 6 6 3 2 3" xfId="4021"/>
    <cellStyle name="Comma 2 6 6 3 2 4" xfId="4739"/>
    <cellStyle name="Comma 2 6 6 3 2 5" xfId="3199"/>
    <cellStyle name="Comma 2 6 6 3 3" xfId="1612"/>
    <cellStyle name="Comma 2 6 6 3 3 2" xfId="2592"/>
    <cellStyle name="Comma 2 6 6 3 3 2 2" xfId="5228"/>
    <cellStyle name="Comma 2 6 6 3 3 2 3" xfId="3720"/>
    <cellStyle name="Comma 2 6 6 3 3 3" xfId="4126"/>
    <cellStyle name="Comma 2 6 6 3 3 4" xfId="4815"/>
    <cellStyle name="Comma 2 6 6 3 3 5" xfId="3310"/>
    <cellStyle name="Comma 2 6 6 3 4" xfId="1846"/>
    <cellStyle name="Comma 2 6 6 3 4 2" xfId="2825"/>
    <cellStyle name="Comma 2 6 6 3 4 2 2" xfId="5019"/>
    <cellStyle name="Comma 2 6 6 3 4 3" xfId="3510"/>
    <cellStyle name="Comma 2 6 6 3 5" xfId="2083"/>
    <cellStyle name="Comma 2 6 6 3 5 2" xfId="3916"/>
    <cellStyle name="Comma 2 6 6 3 6" xfId="4659"/>
    <cellStyle name="Comma 2 6 6 3 7" xfId="3083"/>
    <cellStyle name="Comma 2 6 6 4" xfId="1090"/>
    <cellStyle name="Comma 2 6 6 4 2" xfId="2134"/>
    <cellStyle name="Comma 2 6 6 4 2 2" xfId="5058"/>
    <cellStyle name="Comma 2 6 6 4 2 3" xfId="3550"/>
    <cellStyle name="Comma 2 6 6 4 3" xfId="3956"/>
    <cellStyle name="Comma 2 6 6 4 4" xfId="4682"/>
    <cellStyle name="Comma 2 6 6 4 5" xfId="3134"/>
    <cellStyle name="Comma 2 6 6 5" xfId="1220"/>
    <cellStyle name="Comma 2 6 6 5 2" xfId="2204"/>
    <cellStyle name="Comma 2 6 6 5 2 2" xfId="5163"/>
    <cellStyle name="Comma 2 6 6 5 2 3" xfId="3655"/>
    <cellStyle name="Comma 2 6 6 5 3" xfId="4061"/>
    <cellStyle name="Comma 2 6 6 5 4" xfId="4778"/>
    <cellStyle name="Comma 2 6 6 5 5" xfId="3240"/>
    <cellStyle name="Comma 2 6 6 6" xfId="1458"/>
    <cellStyle name="Comma 2 6 6 6 2" xfId="2438"/>
    <cellStyle name="Comma 2 6 6 6 2 2" xfId="4878"/>
    <cellStyle name="Comma 2 6 6 6 2 3" xfId="3444"/>
    <cellStyle name="Comma 2 6 6 6 3" xfId="3851"/>
    <cellStyle name="Comma 2 6 6 6 4" xfId="4619"/>
    <cellStyle name="Comma 2 6 6 6 5" xfId="2994"/>
    <cellStyle name="Comma 2 6 6 7" xfId="1683"/>
    <cellStyle name="Comma 2 6 6 7 2" xfId="2663"/>
    <cellStyle name="Comma 2 6 6 7 3" xfId="3349"/>
    <cellStyle name="Comma 2 6 6 8" xfId="1929"/>
    <cellStyle name="Comma 2 6 6 8 2" xfId="3772"/>
    <cellStyle name="Comma 2 6 6 9" xfId="4216"/>
    <cellStyle name="Comma 2 6 7" xfId="701"/>
    <cellStyle name="Comma 2 6 8" xfId="836"/>
    <cellStyle name="Comma 2 6 8 2" xfId="942"/>
    <cellStyle name="Comma 2 6 8 2 2" xfId="1315"/>
    <cellStyle name="Comma 2 6 8 2 2 2" xfId="2295"/>
    <cellStyle name="Comma 2 6 8 2 2 3" xfId="4449"/>
    <cellStyle name="Comma 2 6 8 2 3" xfId="1549"/>
    <cellStyle name="Comma 2 6 8 2 3 2" xfId="2529"/>
    <cellStyle name="Comma 2 6 8 2 3 3" xfId="4583"/>
    <cellStyle name="Comma 2 6 8 2 4" xfId="1783"/>
    <cellStyle name="Comma 2 6 8 2 4 2" xfId="2762"/>
    <cellStyle name="Comma 2 6 8 2 4 3" xfId="4948"/>
    <cellStyle name="Comma 2 6 8 2 5" xfId="2020"/>
    <cellStyle name="Comma 2 6 8 2 6" xfId="4301"/>
    <cellStyle name="Comma 2 6 8 3" xfId="1024"/>
    <cellStyle name="Comma 2 6 8 3 2" xfId="1392"/>
    <cellStyle name="Comma 2 6 8 3 2 2" xfId="2372"/>
    <cellStyle name="Comma 2 6 8 3 2 3" xfId="5359"/>
    <cellStyle name="Comma 2 6 8 3 3" xfId="1626"/>
    <cellStyle name="Comma 2 6 8 3 3 2" xfId="2606"/>
    <cellStyle name="Comma 2 6 8 3 3 3" xfId="5399"/>
    <cellStyle name="Comma 2 6 8 3 4" xfId="1860"/>
    <cellStyle name="Comma 2 6 8 3 4 2" xfId="2839"/>
    <cellStyle name="Comma 2 6 8 3 4 3" xfId="5455"/>
    <cellStyle name="Comma 2 6 8 3 5" xfId="2097"/>
    <cellStyle name="Comma 2 6 8 3 6" xfId="4346"/>
    <cellStyle name="Comma 2 6 8 3 7" xfId="5269"/>
    <cellStyle name="Comma 2 6 8 4" xfId="1091"/>
    <cellStyle name="Comma 2 6 8 4 2" xfId="4421"/>
    <cellStyle name="Comma 2 6 8 5" xfId="1236"/>
    <cellStyle name="Comma 2 6 8 5 2" xfId="2218"/>
    <cellStyle name="Comma 2 6 8 5 3" xfId="4554"/>
    <cellStyle name="Comma 2 6 8 6" xfId="1472"/>
    <cellStyle name="Comma 2 6 8 6 2" xfId="2452"/>
    <cellStyle name="Comma 2 6 8 6 3" xfId="4920"/>
    <cellStyle name="Comma 2 6 8 7" xfId="1657"/>
    <cellStyle name="Comma 2 6 8 7 2" xfId="2637"/>
    <cellStyle name="Comma 2 6 8 7 3" xfId="5411"/>
    <cellStyle name="Comma 2 6 8 8" xfId="1943"/>
    <cellStyle name="Comma 2 6 8 9" xfId="4270"/>
    <cellStyle name="Comma 2 6 9" xfId="876"/>
    <cellStyle name="Comma 2 6 9 2" xfId="1271"/>
    <cellStyle name="Comma 2 6 9 2 2" xfId="2253"/>
    <cellStyle name="Comma 2 6 9 2 3" xfId="5337"/>
    <cellStyle name="Comma 2 6 9 3" xfId="1507"/>
    <cellStyle name="Comma 2 6 9 3 2" xfId="2487"/>
    <cellStyle name="Comma 2 6 9 3 3" xfId="5380"/>
    <cellStyle name="Comma 2 6 9 4" xfId="1741"/>
    <cellStyle name="Comma 2 6 9 4 2" xfId="2720"/>
    <cellStyle name="Comma 2 6 9 4 3" xfId="5427"/>
    <cellStyle name="Comma 2 6 9 5" xfId="1978"/>
    <cellStyle name="Comma 2 6 9 6" xfId="5255"/>
    <cellStyle name="Comma 2 7" xfId="2958"/>
    <cellStyle name="Comma 22" xfId="193"/>
    <cellStyle name="Comma 22 2" xfId="4347"/>
    <cellStyle name="Comma 22 3" xfId="4217"/>
    <cellStyle name="Comma 3" xfId="194"/>
    <cellStyle name="Comma 3 2" xfId="195"/>
    <cellStyle name="Comma 3 2 2" xfId="196"/>
    <cellStyle name="Comma 3 2 2 2" xfId="197"/>
    <cellStyle name="Comma 3 2 2 2 2" xfId="700"/>
    <cellStyle name="Comma 3 2 2 2 2 2" xfId="2995"/>
    <cellStyle name="Comma 3 2 2 2 2 3" xfId="2960"/>
    <cellStyle name="Comma 3 2 2 2 3" xfId="699"/>
    <cellStyle name="Comma 3 2 2 2 4" xfId="1092"/>
    <cellStyle name="Comma 3 2 2 2 4 2" xfId="4348"/>
    <cellStyle name="Comma 3 2 2 2 4 3" xfId="4271"/>
    <cellStyle name="Comma 3 2 2 3" xfId="698"/>
    <cellStyle name="Comma 3 2 3" xfId="198"/>
    <cellStyle name="Comma 3 2 3 2" xfId="697"/>
    <cellStyle name="Comma 3 2 4" xfId="696"/>
    <cellStyle name="Comma 3 3" xfId="199"/>
    <cellStyle name="Comma 3 3 10" xfId="1684"/>
    <cellStyle name="Comma 3 3 10 2" xfId="2664"/>
    <cellStyle name="Comma 3 3 10 3" xfId="5414"/>
    <cellStyle name="Comma 3 3 11" xfId="1903"/>
    <cellStyle name="Comma 3 3 2" xfId="695"/>
    <cellStyle name="Comma 3 3 2 10" xfId="2885"/>
    <cellStyle name="Comma 3 3 2 2" xfId="921"/>
    <cellStyle name="Comma 3 3 2 2 2" xfId="1298"/>
    <cellStyle name="Comma 3 3 2 2 2 2" xfId="2280"/>
    <cellStyle name="Comma 3 3 2 2 2 2 2" xfId="5090"/>
    <cellStyle name="Comma 3 3 2 2 2 2 3" xfId="3582"/>
    <cellStyle name="Comma 3 3 2 2 2 3" xfId="3988"/>
    <cellStyle name="Comma 3 3 2 2 2 4" xfId="4707"/>
    <cellStyle name="Comma 3 3 2 2 2 5" xfId="3166"/>
    <cellStyle name="Comma 3 3 2 2 3" xfId="1534"/>
    <cellStyle name="Comma 3 3 2 2 3 2" xfId="2514"/>
    <cellStyle name="Comma 3 3 2 2 3 2 2" xfId="5195"/>
    <cellStyle name="Comma 3 3 2 2 3 2 3" xfId="3687"/>
    <cellStyle name="Comma 3 3 2 2 3 3" xfId="4093"/>
    <cellStyle name="Comma 3 3 2 2 3 4" xfId="4800"/>
    <cellStyle name="Comma 3 3 2 2 3 5" xfId="3273"/>
    <cellStyle name="Comma 3 3 2 2 4" xfId="1768"/>
    <cellStyle name="Comma 3 3 2 2 4 2" xfId="2747"/>
    <cellStyle name="Comma 3 3 2 2 4 2 2" xfId="4957"/>
    <cellStyle name="Comma 3 3 2 2 4 2 3" xfId="3477"/>
    <cellStyle name="Comma 3 3 2 2 4 3" xfId="3883"/>
    <cellStyle name="Comma 3 3 2 2 4 4" xfId="4630"/>
    <cellStyle name="Comma 3 3 2 2 4 5" xfId="3046"/>
    <cellStyle name="Comma 3 3 2 2 5" xfId="2005"/>
    <cellStyle name="Comma 3 3 2 2 5 2" xfId="4531"/>
    <cellStyle name="Comma 3 3 2 2 5 3" xfId="3403"/>
    <cellStyle name="Comma 3 3 2 2 6" xfId="3810"/>
    <cellStyle name="Comma 3 3 2 2 6 2" xfId="4880"/>
    <cellStyle name="Comma 3 3 2 2 7" xfId="4457"/>
    <cellStyle name="Comma 3 3 2 2 8" xfId="2921"/>
    <cellStyle name="Comma 3 3 2 3" xfId="1009"/>
    <cellStyle name="Comma 3 3 2 3 2" xfId="1377"/>
    <cellStyle name="Comma 3 3 2 3 2 2" xfId="2357"/>
    <cellStyle name="Comma 3 3 2 3 2 2 2" xfId="5124"/>
    <cellStyle name="Comma 3 3 2 3 2 2 3" xfId="3616"/>
    <cellStyle name="Comma 3 3 2 3 2 3" xfId="4022"/>
    <cellStyle name="Comma 3 3 2 3 2 4" xfId="4740"/>
    <cellStyle name="Comma 3 3 2 3 2 5" xfId="3200"/>
    <cellStyle name="Comma 3 3 2 3 3" xfId="1611"/>
    <cellStyle name="Comma 3 3 2 3 3 2" xfId="2591"/>
    <cellStyle name="Comma 3 3 2 3 3 2 2" xfId="5229"/>
    <cellStyle name="Comma 3 3 2 3 3 2 3" xfId="3721"/>
    <cellStyle name="Comma 3 3 2 3 3 3" xfId="4127"/>
    <cellStyle name="Comma 3 3 2 3 3 4" xfId="4816"/>
    <cellStyle name="Comma 3 3 2 3 3 5" xfId="3311"/>
    <cellStyle name="Comma 3 3 2 3 4" xfId="1845"/>
    <cellStyle name="Comma 3 3 2 3 4 2" xfId="2824"/>
    <cellStyle name="Comma 3 3 2 3 4 2 2" xfId="5020"/>
    <cellStyle name="Comma 3 3 2 3 4 3" xfId="3511"/>
    <cellStyle name="Comma 3 3 2 3 5" xfId="2082"/>
    <cellStyle name="Comma 3 3 2 3 5 2" xfId="3917"/>
    <cellStyle name="Comma 3 3 2 3 6" xfId="4599"/>
    <cellStyle name="Comma 3 3 2 3 7" xfId="3084"/>
    <cellStyle name="Comma 3 3 2 4" xfId="1094"/>
    <cellStyle name="Comma 3 3 2 4 2" xfId="2136"/>
    <cellStyle name="Comma 3 3 2 4 2 2" xfId="5059"/>
    <cellStyle name="Comma 3 3 2 4 2 3" xfId="3551"/>
    <cellStyle name="Comma 3 3 2 4 3" xfId="3957"/>
    <cellStyle name="Comma 3 3 2 4 4" xfId="4683"/>
    <cellStyle name="Comma 3 3 2 4 5" xfId="3135"/>
    <cellStyle name="Comma 3 3 2 5" xfId="1219"/>
    <cellStyle name="Comma 3 3 2 5 2" xfId="2203"/>
    <cellStyle name="Comma 3 3 2 5 2 2" xfId="5164"/>
    <cellStyle name="Comma 3 3 2 5 2 3" xfId="3656"/>
    <cellStyle name="Comma 3 3 2 5 3" xfId="4062"/>
    <cellStyle name="Comma 3 3 2 5 4" xfId="4779"/>
    <cellStyle name="Comma 3 3 2 5 5" xfId="3241"/>
    <cellStyle name="Comma 3 3 2 6" xfId="1457"/>
    <cellStyle name="Comma 3 3 2 6 2" xfId="2437"/>
    <cellStyle name="Comma 3 3 2 6 2 2" xfId="4868"/>
    <cellStyle name="Comma 3 3 2 6 2 3" xfId="3445"/>
    <cellStyle name="Comma 3 3 2 6 3" xfId="3852"/>
    <cellStyle name="Comma 3 3 2 6 4" xfId="4620"/>
    <cellStyle name="Comma 3 3 2 6 5" xfId="2996"/>
    <cellStyle name="Comma 3 3 2 7" xfId="1685"/>
    <cellStyle name="Comma 3 3 2 7 2" xfId="2665"/>
    <cellStyle name="Comma 3 3 2 7 2 2" xfId="4966"/>
    <cellStyle name="Comma 3 3 2 7 3" xfId="3350"/>
    <cellStyle name="Comma 3 3 2 8" xfId="1928"/>
    <cellStyle name="Comma 3 3 2 8 2" xfId="3773"/>
    <cellStyle name="Comma 3 3 2 9" xfId="4349"/>
    <cellStyle name="Comma 3 3 3" xfId="694"/>
    <cellStyle name="Comma 3 3 4" xfId="838"/>
    <cellStyle name="Comma 3 3 4 2" xfId="944"/>
    <cellStyle name="Comma 3 3 4 2 2" xfId="1317"/>
    <cellStyle name="Comma 3 3 4 2 2 2" xfId="2297"/>
    <cellStyle name="Comma 3 3 4 2 2 3" xfId="5347"/>
    <cellStyle name="Comma 3 3 4 2 3" xfId="1551"/>
    <cellStyle name="Comma 3 3 4 2 3 2" xfId="2531"/>
    <cellStyle name="Comma 3 3 4 2 3 3" xfId="5386"/>
    <cellStyle name="Comma 3 3 4 2 4" xfId="1785"/>
    <cellStyle name="Comma 3 3 4 2 4 2" xfId="2764"/>
    <cellStyle name="Comma 3 3 4 2 4 3" xfId="5436"/>
    <cellStyle name="Comma 3 3 4 2 5" xfId="2022"/>
    <cellStyle name="Comma 3 3 4 2 6" xfId="5259"/>
    <cellStyle name="Comma 3 3 4 3" xfId="1026"/>
    <cellStyle name="Comma 3 3 4 3 2" xfId="1394"/>
    <cellStyle name="Comma 3 3 4 3 2 2" xfId="2374"/>
    <cellStyle name="Comma 3 3 4 3 2 3" xfId="5360"/>
    <cellStyle name="Comma 3 3 4 3 3" xfId="1628"/>
    <cellStyle name="Comma 3 3 4 3 3 2" xfId="2608"/>
    <cellStyle name="Comma 3 3 4 3 3 3" xfId="5400"/>
    <cellStyle name="Comma 3 3 4 3 4" xfId="1862"/>
    <cellStyle name="Comma 3 3 4 3 4 2" xfId="2841"/>
    <cellStyle name="Comma 3 3 4 3 4 3" xfId="5456"/>
    <cellStyle name="Comma 3 3 4 3 5" xfId="2099"/>
    <cellStyle name="Comma 3 3 4 3 6" xfId="5270"/>
    <cellStyle name="Comma 3 3 4 4" xfId="1238"/>
    <cellStyle name="Comma 3 3 4 4 2" xfId="2220"/>
    <cellStyle name="Comma 3 3 4 4 3" xfId="5331"/>
    <cellStyle name="Comma 3 3 4 5" xfId="1474"/>
    <cellStyle name="Comma 3 3 4 5 2" xfId="2454"/>
    <cellStyle name="Comma 3 3 4 5 3" xfId="5374"/>
    <cellStyle name="Comma 3 3 4 6" xfId="1655"/>
    <cellStyle name="Comma 3 3 4 6 2" xfId="2635"/>
    <cellStyle name="Comma 3 3 4 6 3" xfId="5410"/>
    <cellStyle name="Comma 3 3 4 7" xfId="1945"/>
    <cellStyle name="Comma 3 3 4 8" xfId="4218"/>
    <cellStyle name="Comma 3 3 4 9" xfId="5252"/>
    <cellStyle name="Comma 3 3 5" xfId="878"/>
    <cellStyle name="Comma 3 3 5 2" xfId="1273"/>
    <cellStyle name="Comma 3 3 5 2 2" xfId="2255"/>
    <cellStyle name="Comma 3 3 5 2 3" xfId="5338"/>
    <cellStyle name="Comma 3 3 5 3" xfId="1509"/>
    <cellStyle name="Comma 3 3 5 3 2" xfId="2489"/>
    <cellStyle name="Comma 3 3 5 3 3" xfId="5381"/>
    <cellStyle name="Comma 3 3 5 4" xfId="1743"/>
    <cellStyle name="Comma 3 3 5 4 2" xfId="2722"/>
    <cellStyle name="Comma 3 3 5 4 3" xfId="5428"/>
    <cellStyle name="Comma 3 3 5 5" xfId="1980"/>
    <cellStyle name="Comma 3 3 5 6" xfId="5256"/>
    <cellStyle name="Comma 3 3 6" xfId="984"/>
    <cellStyle name="Comma 3 3 6 2" xfId="1352"/>
    <cellStyle name="Comma 3 3 6 2 2" xfId="2332"/>
    <cellStyle name="Comma 3 3 6 2 3" xfId="5353"/>
    <cellStyle name="Comma 3 3 6 3" xfId="1586"/>
    <cellStyle name="Comma 3 3 6 3 2" xfId="2566"/>
    <cellStyle name="Comma 3 3 6 3 3" xfId="5393"/>
    <cellStyle name="Comma 3 3 6 4" xfId="1820"/>
    <cellStyle name="Comma 3 3 6 4 2" xfId="2799"/>
    <cellStyle name="Comma 3 3 6 4 3" xfId="5446"/>
    <cellStyle name="Comma 3 3 6 5" xfId="2057"/>
    <cellStyle name="Comma 3 3 6 6" xfId="5265"/>
    <cellStyle name="Comma 3 3 7" xfId="1093"/>
    <cellStyle name="Comma 3 3 7 2" xfId="2135"/>
    <cellStyle name="Comma 3 3 7 3" xfId="5282"/>
    <cellStyle name="Comma 3 3 8" xfId="1192"/>
    <cellStyle name="Comma 3 3 8 2" xfId="2178"/>
    <cellStyle name="Comma 3 3 8 3" xfId="5321"/>
    <cellStyle name="Comma 3 3 9" xfId="1432"/>
    <cellStyle name="Comma 3 3 9 2" xfId="2412"/>
    <cellStyle name="Comma 3 3 9 3" xfId="5368"/>
    <cellStyle name="Comma 4" xfId="200"/>
    <cellStyle name="Comma 4 10" xfId="985"/>
    <cellStyle name="Comma 4 10 2" xfId="1353"/>
    <cellStyle name="Comma 4 10 2 2" xfId="2333"/>
    <cellStyle name="Comma 4 10 2 3" xfId="5354"/>
    <cellStyle name="Comma 4 10 3" xfId="1587"/>
    <cellStyle name="Comma 4 10 3 2" xfId="2567"/>
    <cellStyle name="Comma 4 10 3 3" xfId="5394"/>
    <cellStyle name="Comma 4 10 4" xfId="1821"/>
    <cellStyle name="Comma 4 10 4 2" xfId="2800"/>
    <cellStyle name="Comma 4 10 4 3" xfId="5447"/>
    <cellStyle name="Comma 4 10 5" xfId="2058"/>
    <cellStyle name="Comma 4 10 6" xfId="5266"/>
    <cellStyle name="Comma 4 11" xfId="1095"/>
    <cellStyle name="Comma 4 11 2" xfId="2137"/>
    <cellStyle name="Comma 4 11 3" xfId="5283"/>
    <cellStyle name="Comma 4 12" xfId="1193"/>
    <cellStyle name="Comma 4 12 2" xfId="2179"/>
    <cellStyle name="Comma 4 12 3" xfId="5322"/>
    <cellStyle name="Comma 4 13" xfId="1433"/>
    <cellStyle name="Comma 4 13 2" xfId="2413"/>
    <cellStyle name="Comma 4 13 3" xfId="5369"/>
    <cellStyle name="Comma 4 14" xfId="1686"/>
    <cellStyle name="Comma 4 14 2" xfId="2666"/>
    <cellStyle name="Comma 4 14 3" xfId="5415"/>
    <cellStyle name="Comma 4 15" xfId="1904"/>
    <cellStyle name="Comma 4 2" xfId="201"/>
    <cellStyle name="Comma 4 2 2" xfId="202"/>
    <cellStyle name="Comma 4 2 3" xfId="203"/>
    <cellStyle name="Comma 4 3" xfId="204"/>
    <cellStyle name="Comma 4 3 2" xfId="205"/>
    <cellStyle name="Comma 4 3 3" xfId="206"/>
    <cellStyle name="Comma 4 4" xfId="207"/>
    <cellStyle name="Comma 4 4 10" xfId="1194"/>
    <cellStyle name="Comma 4 4 10 2" xfId="2180"/>
    <cellStyle name="Comma 4 4 10 3" xfId="5323"/>
    <cellStyle name="Comma 4 4 11" xfId="1434"/>
    <cellStyle name="Comma 4 4 11 2" xfId="2414"/>
    <cellStyle name="Comma 4 4 11 3" xfId="5370"/>
    <cellStyle name="Comma 4 4 12" xfId="1687"/>
    <cellStyle name="Comma 4 4 12 2" xfId="2667"/>
    <cellStyle name="Comma 4 4 12 3" xfId="5416"/>
    <cellStyle name="Comma 4 4 13" xfId="1905"/>
    <cellStyle name="Comma 4 4 2" xfId="208"/>
    <cellStyle name="Comma 4 4 2 2" xfId="4350"/>
    <cellStyle name="Comma 4 4 2 3" xfId="4219"/>
    <cellStyle name="Comma 4 4 3" xfId="209"/>
    <cellStyle name="Comma 4 4 3 10" xfId="2886"/>
    <cellStyle name="Comma 4 4 3 2" xfId="841"/>
    <cellStyle name="Comma 4 4 3 2 2" xfId="947"/>
    <cellStyle name="Comma 4 4 3 2 2 2" xfId="1320"/>
    <cellStyle name="Comma 4 4 3 2 2 2 2" xfId="2300"/>
    <cellStyle name="Comma 4 4 3 2 2 2 2 2" xfId="4708"/>
    <cellStyle name="Comma 4 4 3 2 2 2 3" xfId="3583"/>
    <cellStyle name="Comma 4 4 3 2 2 3" xfId="1554"/>
    <cellStyle name="Comma 4 4 3 2 2 3 2" xfId="2534"/>
    <cellStyle name="Comma 4 4 3 2 2 3 2 2" xfId="5091"/>
    <cellStyle name="Comma 4 4 3 2 2 3 3" xfId="3989"/>
    <cellStyle name="Comma 4 4 3 2 2 4" xfId="1788"/>
    <cellStyle name="Comma 4 4 3 2 2 4 2" xfId="2767"/>
    <cellStyle name="Comma 4 4 3 2 2 4 3" xfId="4458"/>
    <cellStyle name="Comma 4 4 3 2 2 5" xfId="2025"/>
    <cellStyle name="Comma 4 4 3 2 2 6" xfId="3167"/>
    <cellStyle name="Comma 4 4 3 2 3" xfId="1029"/>
    <cellStyle name="Comma 4 4 3 2 3 2" xfId="1397"/>
    <cellStyle name="Comma 4 4 3 2 3 2 2" xfId="2377"/>
    <cellStyle name="Comma 4 4 3 2 3 2 2 2" xfId="5196"/>
    <cellStyle name="Comma 4 4 3 2 3 2 3" xfId="3688"/>
    <cellStyle name="Comma 4 4 3 2 3 3" xfId="1631"/>
    <cellStyle name="Comma 4 4 3 2 3 3 2" xfId="2611"/>
    <cellStyle name="Comma 4 4 3 2 3 3 3" xfId="4094"/>
    <cellStyle name="Comma 4 4 3 2 3 4" xfId="1865"/>
    <cellStyle name="Comma 4 4 3 2 3 4 2" xfId="2844"/>
    <cellStyle name="Comma 4 4 3 2 3 4 3" xfId="4600"/>
    <cellStyle name="Comma 4 4 3 2 3 5" xfId="2102"/>
    <cellStyle name="Comma 4 4 3 2 3 6" xfId="3274"/>
    <cellStyle name="Comma 4 4 3 2 4" xfId="1241"/>
    <cellStyle name="Comma 4 4 3 2 4 2" xfId="2223"/>
    <cellStyle name="Comma 4 4 3 2 4 2 2" xfId="4883"/>
    <cellStyle name="Comma 4 4 3 2 4 2 3" xfId="3478"/>
    <cellStyle name="Comma 4 4 3 2 4 3" xfId="3884"/>
    <cellStyle name="Comma 4 4 3 2 4 4" xfId="4631"/>
    <cellStyle name="Comma 4 4 3 2 4 5" xfId="3047"/>
    <cellStyle name="Comma 4 4 3 2 5" xfId="1477"/>
    <cellStyle name="Comma 4 4 3 2 5 2" xfId="2457"/>
    <cellStyle name="Comma 4 4 3 2 5 2 2" xfId="4968"/>
    <cellStyle name="Comma 4 4 3 2 5 3" xfId="3404"/>
    <cellStyle name="Comma 4 4 3 2 6" xfId="1652"/>
    <cellStyle name="Comma 4 4 3 2 6 2" xfId="2632"/>
    <cellStyle name="Comma 4 4 3 2 6 3" xfId="3811"/>
    <cellStyle name="Comma 4 4 3 2 7" xfId="1948"/>
    <cellStyle name="Comma 4 4 3 2 7 2" xfId="4351"/>
    <cellStyle name="Comma 4 4 3 2 8" xfId="2922"/>
    <cellStyle name="Comma 4 4 3 3" xfId="882"/>
    <cellStyle name="Comma 4 4 3 3 2" xfId="1276"/>
    <cellStyle name="Comma 4 4 3 3 2 2" xfId="2258"/>
    <cellStyle name="Comma 4 4 3 3 2 2 2" xfId="5125"/>
    <cellStyle name="Comma 4 4 3 3 2 2 3" xfId="3617"/>
    <cellStyle name="Comma 4 4 3 3 2 3" xfId="4023"/>
    <cellStyle name="Comma 4 4 3 3 2 4" xfId="4741"/>
    <cellStyle name="Comma 4 4 3 3 2 5" xfId="3201"/>
    <cellStyle name="Comma 4 4 3 3 3" xfId="1512"/>
    <cellStyle name="Comma 4 4 3 3 3 2" xfId="2492"/>
    <cellStyle name="Comma 4 4 3 3 3 2 2" xfId="5230"/>
    <cellStyle name="Comma 4 4 3 3 3 2 3" xfId="3722"/>
    <cellStyle name="Comma 4 4 3 3 3 3" xfId="4128"/>
    <cellStyle name="Comma 4 4 3 3 3 4" xfId="4817"/>
    <cellStyle name="Comma 4 4 3 3 3 5" xfId="3312"/>
    <cellStyle name="Comma 4 4 3 3 4" xfId="1746"/>
    <cellStyle name="Comma 4 4 3 3 4 2" xfId="2725"/>
    <cellStyle name="Comma 4 4 3 3 4 2 2" xfId="5021"/>
    <cellStyle name="Comma 4 4 3 3 4 3" xfId="3512"/>
    <cellStyle name="Comma 4 4 3 3 5" xfId="1983"/>
    <cellStyle name="Comma 4 4 3 3 5 2" xfId="3918"/>
    <cellStyle name="Comma 4 4 3 3 6" xfId="4660"/>
    <cellStyle name="Comma 4 4 3 3 7" xfId="3085"/>
    <cellStyle name="Comma 4 4 3 4" xfId="987"/>
    <cellStyle name="Comma 4 4 3 4 2" xfId="1355"/>
    <cellStyle name="Comma 4 4 3 4 2 2" xfId="2335"/>
    <cellStyle name="Comma 4 4 3 4 2 2 2" xfId="5060"/>
    <cellStyle name="Comma 4 4 3 4 2 3" xfId="3552"/>
    <cellStyle name="Comma 4 4 3 4 3" xfId="1589"/>
    <cellStyle name="Comma 4 4 3 4 3 2" xfId="2569"/>
    <cellStyle name="Comma 4 4 3 4 3 3" xfId="3958"/>
    <cellStyle name="Comma 4 4 3 4 4" xfId="1823"/>
    <cellStyle name="Comma 4 4 3 4 4 2" xfId="2802"/>
    <cellStyle name="Comma 4 4 3 4 4 3" xfId="4684"/>
    <cellStyle name="Comma 4 4 3 4 5" xfId="2060"/>
    <cellStyle name="Comma 4 4 3 4 6" xfId="3136"/>
    <cellStyle name="Comma 4 4 3 5" xfId="1097"/>
    <cellStyle name="Comma 4 4 3 5 2" xfId="2139"/>
    <cellStyle name="Comma 4 4 3 5 2 2" xfId="5165"/>
    <cellStyle name="Comma 4 4 3 5 2 3" xfId="3657"/>
    <cellStyle name="Comma 4 4 3 5 3" xfId="4063"/>
    <cellStyle name="Comma 4 4 3 5 4" xfId="4780"/>
    <cellStyle name="Comma 4 4 3 5 5" xfId="3242"/>
    <cellStyle name="Comma 4 4 3 6" xfId="1195"/>
    <cellStyle name="Comma 4 4 3 6 2" xfId="2181"/>
    <cellStyle name="Comma 4 4 3 6 2 2" xfId="4995"/>
    <cellStyle name="Comma 4 4 3 6 2 3" xfId="3446"/>
    <cellStyle name="Comma 4 4 3 6 3" xfId="3853"/>
    <cellStyle name="Comma 4 4 3 6 4" xfId="4594"/>
    <cellStyle name="Comma 4 4 3 6 5" xfId="2997"/>
    <cellStyle name="Comma 4 4 3 7" xfId="1435"/>
    <cellStyle name="Comma 4 4 3 7 2" xfId="2415"/>
    <cellStyle name="Comma 4 4 3 7 3" xfId="3351"/>
    <cellStyle name="Comma 4 4 3 8" xfId="1688"/>
    <cellStyle name="Comma 4 4 3 8 2" xfId="2668"/>
    <cellStyle name="Comma 4 4 3 8 3" xfId="3774"/>
    <cellStyle name="Comma 4 4 3 9" xfId="1906"/>
    <cellStyle name="Comma 4 4 3 9 2" xfId="4220"/>
    <cellStyle name="Comma 4 4 4" xfId="693"/>
    <cellStyle name="Comma 4 4 4 10" xfId="2887"/>
    <cellStyle name="Comma 4 4 4 2" xfId="920"/>
    <cellStyle name="Comma 4 4 4 2 2" xfId="1297"/>
    <cellStyle name="Comma 4 4 4 2 2 2" xfId="2279"/>
    <cellStyle name="Comma 4 4 4 2 2 2 2" xfId="5092"/>
    <cellStyle name="Comma 4 4 4 2 2 2 3" xfId="3584"/>
    <cellStyle name="Comma 4 4 4 2 2 3" xfId="3990"/>
    <cellStyle name="Comma 4 4 4 2 2 4" xfId="4709"/>
    <cellStyle name="Comma 4 4 4 2 2 5" xfId="3168"/>
    <cellStyle name="Comma 4 4 4 2 3" xfId="1533"/>
    <cellStyle name="Comma 4 4 4 2 3 2" xfId="2513"/>
    <cellStyle name="Comma 4 4 4 2 3 2 2" xfId="5197"/>
    <cellStyle name="Comma 4 4 4 2 3 2 3" xfId="3689"/>
    <cellStyle name="Comma 4 4 4 2 3 3" xfId="4095"/>
    <cellStyle name="Comma 4 4 4 2 3 4" xfId="4801"/>
    <cellStyle name="Comma 4 4 4 2 3 5" xfId="3275"/>
    <cellStyle name="Comma 4 4 4 2 4" xfId="1767"/>
    <cellStyle name="Comma 4 4 4 2 4 2" xfId="2746"/>
    <cellStyle name="Comma 4 4 4 2 4 2 2" xfId="4909"/>
    <cellStyle name="Comma 4 4 4 2 4 2 3" xfId="3479"/>
    <cellStyle name="Comma 4 4 4 2 4 3" xfId="3885"/>
    <cellStyle name="Comma 4 4 4 2 4 4" xfId="4632"/>
    <cellStyle name="Comma 4 4 4 2 4 5" xfId="3048"/>
    <cellStyle name="Comma 4 4 4 2 5" xfId="2004"/>
    <cellStyle name="Comma 4 4 4 2 5 2" xfId="4532"/>
    <cellStyle name="Comma 4 4 4 2 5 3" xfId="3405"/>
    <cellStyle name="Comma 4 4 4 2 6" xfId="3812"/>
    <cellStyle name="Comma 4 4 4 2 6 2" xfId="4871"/>
    <cellStyle name="Comma 4 4 4 2 7" xfId="4459"/>
    <cellStyle name="Comma 4 4 4 2 8" xfId="2923"/>
    <cellStyle name="Comma 4 4 4 3" xfId="1008"/>
    <cellStyle name="Comma 4 4 4 3 2" xfId="1376"/>
    <cellStyle name="Comma 4 4 4 3 2 2" xfId="2356"/>
    <cellStyle name="Comma 4 4 4 3 2 2 2" xfId="5126"/>
    <cellStyle name="Comma 4 4 4 3 2 2 3" xfId="3618"/>
    <cellStyle name="Comma 4 4 4 3 2 3" xfId="4024"/>
    <cellStyle name="Comma 4 4 4 3 2 4" xfId="4742"/>
    <cellStyle name="Comma 4 4 4 3 2 5" xfId="3202"/>
    <cellStyle name="Comma 4 4 4 3 3" xfId="1610"/>
    <cellStyle name="Comma 4 4 4 3 3 2" xfId="2590"/>
    <cellStyle name="Comma 4 4 4 3 3 2 2" xfId="5231"/>
    <cellStyle name="Comma 4 4 4 3 3 2 3" xfId="3723"/>
    <cellStyle name="Comma 4 4 4 3 3 3" xfId="4129"/>
    <cellStyle name="Comma 4 4 4 3 3 4" xfId="4818"/>
    <cellStyle name="Comma 4 4 4 3 3 5" xfId="3313"/>
    <cellStyle name="Comma 4 4 4 3 4" xfId="1844"/>
    <cellStyle name="Comma 4 4 4 3 4 2" xfId="2823"/>
    <cellStyle name="Comma 4 4 4 3 4 2 2" xfId="5022"/>
    <cellStyle name="Comma 4 4 4 3 4 3" xfId="3513"/>
    <cellStyle name="Comma 4 4 4 3 5" xfId="2081"/>
    <cellStyle name="Comma 4 4 4 3 5 2" xfId="3919"/>
    <cellStyle name="Comma 4 4 4 3 6" xfId="4601"/>
    <cellStyle name="Comma 4 4 4 3 7" xfId="3086"/>
    <cellStyle name="Comma 4 4 4 4" xfId="1098"/>
    <cellStyle name="Comma 4 4 4 4 2" xfId="2140"/>
    <cellStyle name="Comma 4 4 4 4 2 2" xfId="5061"/>
    <cellStyle name="Comma 4 4 4 4 2 3" xfId="3553"/>
    <cellStyle name="Comma 4 4 4 4 3" xfId="3959"/>
    <cellStyle name="Comma 4 4 4 4 4" xfId="4685"/>
    <cellStyle name="Comma 4 4 4 4 5" xfId="3137"/>
    <cellStyle name="Comma 4 4 4 5" xfId="1218"/>
    <cellStyle name="Comma 4 4 4 5 2" xfId="2202"/>
    <cellStyle name="Comma 4 4 4 5 2 2" xfId="5166"/>
    <cellStyle name="Comma 4 4 4 5 2 3" xfId="3658"/>
    <cellStyle name="Comma 4 4 4 5 3" xfId="4064"/>
    <cellStyle name="Comma 4 4 4 5 4" xfId="4781"/>
    <cellStyle name="Comma 4 4 4 5 5" xfId="3243"/>
    <cellStyle name="Comma 4 4 4 6" xfId="1456"/>
    <cellStyle name="Comma 4 4 4 6 2" xfId="2436"/>
    <cellStyle name="Comma 4 4 4 6 2 2" xfId="4873"/>
    <cellStyle name="Comma 4 4 4 6 2 3" xfId="3447"/>
    <cellStyle name="Comma 4 4 4 6 3" xfId="3854"/>
    <cellStyle name="Comma 4 4 4 6 4" xfId="4545"/>
    <cellStyle name="Comma 4 4 4 6 5" xfId="2998"/>
    <cellStyle name="Comma 4 4 4 7" xfId="1689"/>
    <cellStyle name="Comma 4 4 4 7 2" xfId="2669"/>
    <cellStyle name="Comma 4 4 4 7 2 2" xfId="4969"/>
    <cellStyle name="Comma 4 4 4 7 3" xfId="3352"/>
    <cellStyle name="Comma 4 4 4 8" xfId="1927"/>
    <cellStyle name="Comma 4 4 4 8 2" xfId="3775"/>
    <cellStyle name="Comma 4 4 4 9" xfId="4352"/>
    <cellStyle name="Comma 4 4 5" xfId="692"/>
    <cellStyle name="Comma 4 4 6" xfId="840"/>
    <cellStyle name="Comma 4 4 6 2" xfId="946"/>
    <cellStyle name="Comma 4 4 6 2 2" xfId="1319"/>
    <cellStyle name="Comma 4 4 6 2 2 2" xfId="2299"/>
    <cellStyle name="Comma 4 4 6 2 2 3" xfId="5349"/>
    <cellStyle name="Comma 4 4 6 2 3" xfId="1553"/>
    <cellStyle name="Comma 4 4 6 2 3 2" xfId="2533"/>
    <cellStyle name="Comma 4 4 6 2 3 3" xfId="5388"/>
    <cellStyle name="Comma 4 4 6 2 4" xfId="1787"/>
    <cellStyle name="Comma 4 4 6 2 4 2" xfId="2766"/>
    <cellStyle name="Comma 4 4 6 2 4 3" xfId="5438"/>
    <cellStyle name="Comma 4 4 6 2 5" xfId="2024"/>
    <cellStyle name="Comma 4 4 6 2 6" xfId="5261"/>
    <cellStyle name="Comma 4 4 6 3" xfId="1028"/>
    <cellStyle name="Comma 4 4 6 3 2" xfId="1396"/>
    <cellStyle name="Comma 4 4 6 3 2 2" xfId="2376"/>
    <cellStyle name="Comma 4 4 6 3 2 3" xfId="5362"/>
    <cellStyle name="Comma 4 4 6 3 3" xfId="1630"/>
    <cellStyle name="Comma 4 4 6 3 3 2" xfId="2610"/>
    <cellStyle name="Comma 4 4 6 3 3 3" xfId="5402"/>
    <cellStyle name="Comma 4 4 6 3 4" xfId="1864"/>
    <cellStyle name="Comma 4 4 6 3 4 2" xfId="2843"/>
    <cellStyle name="Comma 4 4 6 3 4 3" xfId="5458"/>
    <cellStyle name="Comma 4 4 6 3 5" xfId="2101"/>
    <cellStyle name="Comma 4 4 6 3 6" xfId="5272"/>
    <cellStyle name="Comma 4 4 6 4" xfId="1240"/>
    <cellStyle name="Comma 4 4 6 4 2" xfId="2222"/>
    <cellStyle name="Comma 4 4 6 4 3" xfId="5333"/>
    <cellStyle name="Comma 4 4 6 5" xfId="1476"/>
    <cellStyle name="Comma 4 4 6 5 2" xfId="2456"/>
    <cellStyle name="Comma 4 4 6 5 3" xfId="5376"/>
    <cellStyle name="Comma 4 4 6 6" xfId="1653"/>
    <cellStyle name="Comma 4 4 6 6 2" xfId="2633"/>
    <cellStyle name="Comma 4 4 6 6 3" xfId="5408"/>
    <cellStyle name="Comma 4 4 6 7" xfId="1947"/>
    <cellStyle name="Comma 4 4 6 8" xfId="5254"/>
    <cellStyle name="Comma 4 4 7" xfId="881"/>
    <cellStyle name="Comma 4 4 7 2" xfId="1275"/>
    <cellStyle name="Comma 4 4 7 2 2" xfId="2257"/>
    <cellStyle name="Comma 4 4 7 2 3" xfId="5340"/>
    <cellStyle name="Comma 4 4 7 3" xfId="1511"/>
    <cellStyle name="Comma 4 4 7 3 2" xfId="2491"/>
    <cellStyle name="Comma 4 4 7 3 3" xfId="5382"/>
    <cellStyle name="Comma 4 4 7 4" xfId="1745"/>
    <cellStyle name="Comma 4 4 7 4 2" xfId="2724"/>
    <cellStyle name="Comma 4 4 7 4 3" xfId="5429"/>
    <cellStyle name="Comma 4 4 7 5" xfId="1982"/>
    <cellStyle name="Comma 4 4 7 6" xfId="5257"/>
    <cellStyle name="Comma 4 4 8" xfId="986"/>
    <cellStyle name="Comma 4 4 8 2" xfId="1354"/>
    <cellStyle name="Comma 4 4 8 2 2" xfId="2334"/>
    <cellStyle name="Comma 4 4 8 2 3" xfId="5355"/>
    <cellStyle name="Comma 4 4 8 3" xfId="1588"/>
    <cellStyle name="Comma 4 4 8 3 2" xfId="2568"/>
    <cellStyle name="Comma 4 4 8 3 3" xfId="5395"/>
    <cellStyle name="Comma 4 4 8 4" xfId="1822"/>
    <cellStyle name="Comma 4 4 8 4 2" xfId="2801"/>
    <cellStyle name="Comma 4 4 8 4 3" xfId="5448"/>
    <cellStyle name="Comma 4 4 8 5" xfId="2059"/>
    <cellStyle name="Comma 4 4 8 6" xfId="5267"/>
    <cellStyle name="Comma 4 4 9" xfId="1096"/>
    <cellStyle name="Comma 4 4 9 2" xfId="2138"/>
    <cellStyle name="Comma 4 4 9 3" xfId="5284"/>
    <cellStyle name="Comma 4 5" xfId="210"/>
    <cellStyle name="Comma 4 5 2" xfId="211"/>
    <cellStyle name="Comma 4 5 3" xfId="212"/>
    <cellStyle name="Comma 4 5 4" xfId="2999"/>
    <cellStyle name="Comma 4 5 5" xfId="2961"/>
    <cellStyle name="Comma 4 6" xfId="213"/>
    <cellStyle name="Comma 4 7" xfId="691"/>
    <cellStyle name="Comma 4 7 10" xfId="2888"/>
    <cellStyle name="Comma 4 7 2" xfId="919"/>
    <cellStyle name="Comma 4 7 2 2" xfId="1296"/>
    <cellStyle name="Comma 4 7 2 2 2" xfId="2278"/>
    <cellStyle name="Comma 4 7 2 2 2 2" xfId="4710"/>
    <cellStyle name="Comma 4 7 2 2 2 3" xfId="3585"/>
    <cellStyle name="Comma 4 7 2 2 3" xfId="3991"/>
    <cellStyle name="Comma 4 7 2 2 3 2" xfId="5093"/>
    <cellStyle name="Comma 4 7 2 2 4" xfId="4460"/>
    <cellStyle name="Comma 4 7 2 2 5" xfId="3169"/>
    <cellStyle name="Comma 4 7 2 3" xfId="1532"/>
    <cellStyle name="Comma 4 7 2 3 2" xfId="2512"/>
    <cellStyle name="Comma 4 7 2 3 2 2" xfId="5198"/>
    <cellStyle name="Comma 4 7 2 3 2 3" xfId="3690"/>
    <cellStyle name="Comma 4 7 2 3 3" xfId="4096"/>
    <cellStyle name="Comma 4 7 2 3 4" xfId="4602"/>
    <cellStyle name="Comma 4 7 2 3 5" xfId="3276"/>
    <cellStyle name="Comma 4 7 2 4" xfId="1766"/>
    <cellStyle name="Comma 4 7 2 4 2" xfId="2745"/>
    <cellStyle name="Comma 4 7 2 4 2 2" xfId="4898"/>
    <cellStyle name="Comma 4 7 2 4 2 3" xfId="3480"/>
    <cellStyle name="Comma 4 7 2 4 3" xfId="3886"/>
    <cellStyle name="Comma 4 7 2 4 4" xfId="4633"/>
    <cellStyle name="Comma 4 7 2 4 5" xfId="3049"/>
    <cellStyle name="Comma 4 7 2 5" xfId="2003"/>
    <cellStyle name="Comma 4 7 2 5 2" xfId="4971"/>
    <cellStyle name="Comma 4 7 2 5 3" xfId="3406"/>
    <cellStyle name="Comma 4 7 2 6" xfId="3813"/>
    <cellStyle name="Comma 4 7 2 7" xfId="4353"/>
    <cellStyle name="Comma 4 7 2 8" xfId="2924"/>
    <cellStyle name="Comma 4 7 3" xfId="1007"/>
    <cellStyle name="Comma 4 7 3 2" xfId="1375"/>
    <cellStyle name="Comma 4 7 3 2 2" xfId="2355"/>
    <cellStyle name="Comma 4 7 3 2 2 2" xfId="5127"/>
    <cellStyle name="Comma 4 7 3 2 2 3" xfId="3619"/>
    <cellStyle name="Comma 4 7 3 2 3" xfId="4025"/>
    <cellStyle name="Comma 4 7 3 2 4" xfId="4743"/>
    <cellStyle name="Comma 4 7 3 2 5" xfId="3203"/>
    <cellStyle name="Comma 4 7 3 3" xfId="1609"/>
    <cellStyle name="Comma 4 7 3 3 2" xfId="2589"/>
    <cellStyle name="Comma 4 7 3 3 2 2" xfId="5232"/>
    <cellStyle name="Comma 4 7 3 3 2 3" xfId="3724"/>
    <cellStyle name="Comma 4 7 3 3 3" xfId="4130"/>
    <cellStyle name="Comma 4 7 3 3 4" xfId="4819"/>
    <cellStyle name="Comma 4 7 3 3 5" xfId="3314"/>
    <cellStyle name="Comma 4 7 3 4" xfId="1843"/>
    <cellStyle name="Comma 4 7 3 4 2" xfId="2822"/>
    <cellStyle name="Comma 4 7 3 4 2 2" xfId="5023"/>
    <cellStyle name="Comma 4 7 3 4 3" xfId="3514"/>
    <cellStyle name="Comma 4 7 3 5" xfId="2080"/>
    <cellStyle name="Comma 4 7 3 5 2" xfId="3920"/>
    <cellStyle name="Comma 4 7 3 6" xfId="4661"/>
    <cellStyle name="Comma 4 7 3 7" xfId="3087"/>
    <cellStyle name="Comma 4 7 4" xfId="1099"/>
    <cellStyle name="Comma 4 7 4 2" xfId="2141"/>
    <cellStyle name="Comma 4 7 4 2 2" xfId="5062"/>
    <cellStyle name="Comma 4 7 4 2 3" xfId="3554"/>
    <cellStyle name="Comma 4 7 4 3" xfId="3960"/>
    <cellStyle name="Comma 4 7 4 4" xfId="4686"/>
    <cellStyle name="Comma 4 7 4 5" xfId="3138"/>
    <cellStyle name="Comma 4 7 5" xfId="1217"/>
    <cellStyle name="Comma 4 7 5 2" xfId="2201"/>
    <cellStyle name="Comma 4 7 5 2 2" xfId="5167"/>
    <cellStyle name="Comma 4 7 5 2 3" xfId="3659"/>
    <cellStyle name="Comma 4 7 5 3" xfId="4065"/>
    <cellStyle name="Comma 4 7 5 4" xfId="4782"/>
    <cellStyle name="Comma 4 7 5 5" xfId="3244"/>
    <cellStyle name="Comma 4 7 6" xfId="1455"/>
    <cellStyle name="Comma 4 7 6 2" xfId="2435"/>
    <cellStyle name="Comma 4 7 6 2 2" xfId="4991"/>
    <cellStyle name="Comma 4 7 6 2 3" xfId="3448"/>
    <cellStyle name="Comma 4 7 6 3" xfId="3855"/>
    <cellStyle name="Comma 4 7 6 4" xfId="4510"/>
    <cellStyle name="Comma 4 7 6 5" xfId="3000"/>
    <cellStyle name="Comma 4 7 7" xfId="1690"/>
    <cellStyle name="Comma 4 7 7 2" xfId="2670"/>
    <cellStyle name="Comma 4 7 7 3" xfId="3353"/>
    <cellStyle name="Comma 4 7 8" xfId="1926"/>
    <cellStyle name="Comma 4 7 8 2" xfId="3776"/>
    <cellStyle name="Comma 4 7 9" xfId="4221"/>
    <cellStyle name="Comma 4 8" xfId="839"/>
    <cellStyle name="Comma 4 8 2" xfId="945"/>
    <cellStyle name="Comma 4 8 2 2" xfId="1318"/>
    <cellStyle name="Comma 4 8 2 2 2" xfId="2298"/>
    <cellStyle name="Comma 4 8 2 2 3" xfId="5348"/>
    <cellStyle name="Comma 4 8 2 3" xfId="1552"/>
    <cellStyle name="Comma 4 8 2 3 2" xfId="2532"/>
    <cellStyle name="Comma 4 8 2 3 3" xfId="5387"/>
    <cellStyle name="Comma 4 8 2 4" xfId="1786"/>
    <cellStyle name="Comma 4 8 2 4 2" xfId="2765"/>
    <cellStyle name="Comma 4 8 2 4 3" xfId="5437"/>
    <cellStyle name="Comma 4 8 2 5" xfId="2023"/>
    <cellStyle name="Comma 4 8 2 6" xfId="4354"/>
    <cellStyle name="Comma 4 8 2 7" xfId="5260"/>
    <cellStyle name="Comma 4 8 3" xfId="874"/>
    <cellStyle name="Comma 4 8 3 2" xfId="4222"/>
    <cellStyle name="Comma 4 8 4" xfId="1027"/>
    <cellStyle name="Comma 4 8 4 2" xfId="1395"/>
    <cellStyle name="Comma 4 8 4 2 2" xfId="2375"/>
    <cellStyle name="Comma 4 8 4 2 3" xfId="5361"/>
    <cellStyle name="Comma 4 8 4 3" xfId="1629"/>
    <cellStyle name="Comma 4 8 4 3 2" xfId="2609"/>
    <cellStyle name="Comma 4 8 4 3 3" xfId="5401"/>
    <cellStyle name="Comma 4 8 4 4" xfId="1863"/>
    <cellStyle name="Comma 4 8 4 4 2" xfId="2842"/>
    <cellStyle name="Comma 4 8 4 4 3" xfId="5457"/>
    <cellStyle name="Comma 4 8 4 5" xfId="2100"/>
    <cellStyle name="Comma 4 8 4 6" xfId="5271"/>
    <cellStyle name="Comma 4 8 5" xfId="1239"/>
    <cellStyle name="Comma 4 8 5 2" xfId="2221"/>
    <cellStyle name="Comma 4 8 5 3" xfId="5332"/>
    <cellStyle name="Comma 4 8 6" xfId="1475"/>
    <cellStyle name="Comma 4 8 6 2" xfId="2455"/>
    <cellStyle name="Comma 4 8 6 3" xfId="5375"/>
    <cellStyle name="Comma 4 8 7" xfId="1654"/>
    <cellStyle name="Comma 4 8 7 2" xfId="2634"/>
    <cellStyle name="Comma 4 8 7 3" xfId="5409"/>
    <cellStyle name="Comma 4 8 8" xfId="1946"/>
    <cellStyle name="Comma 4 8 9" xfId="5253"/>
    <cellStyle name="Comma 4 9" xfId="879"/>
    <cellStyle name="Comma 4 9 2" xfId="1100"/>
    <cellStyle name="Comma 4 9 2 2" xfId="4450"/>
    <cellStyle name="Comma 4 9 2 3" xfId="4584"/>
    <cellStyle name="Comma 4 9 2 4" xfId="4949"/>
    <cellStyle name="Comma 4 9 2 5" xfId="4302"/>
    <cellStyle name="Comma 4 9 3" xfId="1274"/>
    <cellStyle name="Comma 4 9 3 2" xfId="2256"/>
    <cellStyle name="Comma 4 9 3 3" xfId="4355"/>
    <cellStyle name="Comma 4 9 3 4" xfId="5339"/>
    <cellStyle name="Comma 4 9 4" xfId="1510"/>
    <cellStyle name="Comma 4 9 4 2" xfId="2490"/>
    <cellStyle name="Comma 4 9 4 3" xfId="4422"/>
    <cellStyle name="Comma 4 9 5" xfId="1744"/>
    <cellStyle name="Comma 4 9 5 2" xfId="2723"/>
    <cellStyle name="Comma 4 9 5 3" xfId="4555"/>
    <cellStyle name="Comma 4 9 6" xfId="1981"/>
    <cellStyle name="Comma 4 9 6 2" xfId="4921"/>
    <cellStyle name="Comma 4 9 7" xfId="4272"/>
    <cellStyle name="Comma 5" xfId="214"/>
    <cellStyle name="Comma 5 2" xfId="215"/>
    <cellStyle name="Comma 5 2 2" xfId="216"/>
    <cellStyle name="Comma 5 2 2 2" xfId="688"/>
    <cellStyle name="Comma 5 2 3" xfId="217"/>
    <cellStyle name="Comma 5 2 3 2" xfId="218"/>
    <cellStyle name="Comma 5 2 3 3" xfId="219"/>
    <cellStyle name="Comma 5 2 3 3 2" xfId="220"/>
    <cellStyle name="Comma 5 2 3 4" xfId="221"/>
    <cellStyle name="Comma 5 2 3 5" xfId="222"/>
    <cellStyle name="Comma 5 2 3 6" xfId="687"/>
    <cellStyle name="Comma 5 2 3 6 2" xfId="917"/>
    <cellStyle name="Comma 5 2 3 6 2 2" xfId="4512"/>
    <cellStyle name="Comma 5 2 3 6 3" xfId="4356"/>
    <cellStyle name="Comma 5 2 3 7" xfId="1101"/>
    <cellStyle name="Comma 5 2 4" xfId="223"/>
    <cellStyle name="Comma 5 2 4 2" xfId="224"/>
    <cellStyle name="Comma 5 2 4 2 2" xfId="4357"/>
    <cellStyle name="Comma 5 2 4 2 3" xfId="4223"/>
    <cellStyle name="Comma 5 2 4 3" xfId="225"/>
    <cellStyle name="Comma 5 2 4 4" xfId="226"/>
    <cellStyle name="Comma 5 2 4 4 2" xfId="4358"/>
    <cellStyle name="Comma 5 2 4 4 3" xfId="4224"/>
    <cellStyle name="Comma 5 2 5" xfId="689"/>
    <cellStyle name="Comma 5 2 5 2" xfId="912"/>
    <cellStyle name="Comma 5 2 5 2 2" xfId="4607"/>
    <cellStyle name="Comma 5 2 5 3" xfId="4359"/>
    <cellStyle name="Comma 5 3" xfId="227"/>
    <cellStyle name="Comma 5 3 2" xfId="228"/>
    <cellStyle name="Comma 5 3 2 2" xfId="229"/>
    <cellStyle name="Comma 5 3 2 2 2" xfId="3001"/>
    <cellStyle name="Comma 5 3 2 2 2 2" xfId="4494"/>
    <cellStyle name="Comma 5 3 2 2 2 3" xfId="4225"/>
    <cellStyle name="Comma 5 3 2 2 3" xfId="2963"/>
    <cellStyle name="Comma 5 3 2 2 3 2" xfId="4614"/>
    <cellStyle name="Comma 5 3 2 2 3 3" xfId="4360"/>
    <cellStyle name="Comma 5 3 2 3" xfId="230"/>
    <cellStyle name="Comma 5 3 2 4" xfId="686"/>
    <cellStyle name="Comma 5 3 2 4 2" xfId="928"/>
    <cellStyle name="Comma 5 3 2 4 2 2" xfId="4148"/>
    <cellStyle name="Comma 5 3 2 4 3" xfId="1103"/>
    <cellStyle name="Comma 5 3 2 4 3 2" xfId="5286"/>
    <cellStyle name="Comma 5 3 2 5" xfId="1104"/>
    <cellStyle name="Comma 5 3 2 6" xfId="1102"/>
    <cellStyle name="Comma 5 3 2 6 2" xfId="5285"/>
    <cellStyle name="Comma 5 4" xfId="231"/>
    <cellStyle name="Comma 5 4 2" xfId="232"/>
    <cellStyle name="Comma 5 4 2 10" xfId="2889"/>
    <cellStyle name="Comma 5 4 2 2" xfId="842"/>
    <cellStyle name="Comma 5 4 2 2 2" xfId="948"/>
    <cellStyle name="Comma 5 4 2 2 2 2" xfId="1321"/>
    <cellStyle name="Comma 5 4 2 2 2 2 2" xfId="2301"/>
    <cellStyle name="Comma 5 4 2 2 2 2 2 2" xfId="5063"/>
    <cellStyle name="Comma 5 4 2 2 2 2 3" xfId="3555"/>
    <cellStyle name="Comma 5 4 2 2 2 3" xfId="1555"/>
    <cellStyle name="Comma 5 4 2 2 2 3 2" xfId="2535"/>
    <cellStyle name="Comma 5 4 2 2 2 3 3" xfId="3961"/>
    <cellStyle name="Comma 5 4 2 2 2 4" xfId="1789"/>
    <cellStyle name="Comma 5 4 2 2 2 4 2" xfId="2768"/>
    <cellStyle name="Comma 5 4 2 2 2 4 3" xfId="4687"/>
    <cellStyle name="Comma 5 4 2 2 2 5" xfId="2026"/>
    <cellStyle name="Comma 5 4 2 2 2 6" xfId="3139"/>
    <cellStyle name="Comma 5 4 2 2 3" xfId="1030"/>
    <cellStyle name="Comma 5 4 2 2 3 2" xfId="1398"/>
    <cellStyle name="Comma 5 4 2 2 3 2 2" xfId="2378"/>
    <cellStyle name="Comma 5 4 2 2 3 2 2 2" xfId="5168"/>
    <cellStyle name="Comma 5 4 2 2 3 2 3" xfId="3660"/>
    <cellStyle name="Comma 5 4 2 2 3 3" xfId="1632"/>
    <cellStyle name="Comma 5 4 2 2 3 3 2" xfId="2612"/>
    <cellStyle name="Comma 5 4 2 2 3 3 3" xfId="4066"/>
    <cellStyle name="Comma 5 4 2 2 3 4" xfId="1866"/>
    <cellStyle name="Comma 5 4 2 2 3 4 2" xfId="2845"/>
    <cellStyle name="Comma 5 4 2 2 3 4 3" xfId="4783"/>
    <cellStyle name="Comma 5 4 2 2 3 5" xfId="2103"/>
    <cellStyle name="Comma 5 4 2 2 3 6" xfId="3245"/>
    <cellStyle name="Comma 5 4 2 2 4" xfId="1242"/>
    <cellStyle name="Comma 5 4 2 2 4 2" xfId="2224"/>
    <cellStyle name="Comma 5 4 2 2 4 2 2" xfId="4916"/>
    <cellStyle name="Comma 5 4 2 2 4 2 3" xfId="3449"/>
    <cellStyle name="Comma 5 4 2 2 4 3" xfId="3856"/>
    <cellStyle name="Comma 5 4 2 2 4 4" xfId="4621"/>
    <cellStyle name="Comma 5 4 2 2 4 5" xfId="3002"/>
    <cellStyle name="Comma 5 4 2 2 5" xfId="1478"/>
    <cellStyle name="Comma 5 4 2 2 5 2" xfId="2458"/>
    <cellStyle name="Comma 5 4 2 2 5 2 2" xfId="4488"/>
    <cellStyle name="Comma 5 4 2 2 5 3" xfId="3407"/>
    <cellStyle name="Comma 5 4 2 2 6" xfId="1650"/>
    <cellStyle name="Comma 5 4 2 2 6 2" xfId="2630"/>
    <cellStyle name="Comma 5 4 2 2 6 2 2" xfId="4889"/>
    <cellStyle name="Comma 5 4 2 2 6 3" xfId="3814"/>
    <cellStyle name="Comma 5 4 2 2 7" xfId="1949"/>
    <cellStyle name="Comma 5 4 2 2 7 2" xfId="4226"/>
    <cellStyle name="Comma 5 4 2 2 8" xfId="2925"/>
    <cellStyle name="Comma 5 4 2 3" xfId="883"/>
    <cellStyle name="Comma 5 4 2 3 2" xfId="1277"/>
    <cellStyle name="Comma 5 4 2 3 2 2" xfId="2259"/>
    <cellStyle name="Comma 5 4 2 3 2 2 2" xfId="4711"/>
    <cellStyle name="Comma 5 4 2 3 2 2 3" xfId="3586"/>
    <cellStyle name="Comma 5 4 2 3 2 3" xfId="3992"/>
    <cellStyle name="Comma 5 4 2 3 2 3 2" xfId="5094"/>
    <cellStyle name="Comma 5 4 2 3 2 4" xfId="4461"/>
    <cellStyle name="Comma 5 4 2 3 2 5" xfId="3170"/>
    <cellStyle name="Comma 5 4 2 3 3" xfId="1513"/>
    <cellStyle name="Comma 5 4 2 3 3 2" xfId="2493"/>
    <cellStyle name="Comma 5 4 2 3 3 2 2" xfId="5199"/>
    <cellStyle name="Comma 5 4 2 3 3 2 3" xfId="3691"/>
    <cellStyle name="Comma 5 4 2 3 3 3" xfId="4097"/>
    <cellStyle name="Comma 5 4 2 3 3 4" xfId="4603"/>
    <cellStyle name="Comma 5 4 2 3 3 5" xfId="3277"/>
    <cellStyle name="Comma 5 4 2 3 4" xfId="1747"/>
    <cellStyle name="Comma 5 4 2 3 4 2" xfId="2726"/>
    <cellStyle name="Comma 5 4 2 3 4 2 2" xfId="4972"/>
    <cellStyle name="Comma 5 4 2 3 4 3" xfId="3481"/>
    <cellStyle name="Comma 5 4 2 3 5" xfId="1984"/>
    <cellStyle name="Comma 5 4 2 3 5 2" xfId="3887"/>
    <cellStyle name="Comma 5 4 2 3 6" xfId="4361"/>
    <cellStyle name="Comma 5 4 2 3 7" xfId="3050"/>
    <cellStyle name="Comma 5 4 2 4" xfId="988"/>
    <cellStyle name="Comma 5 4 2 4 2" xfId="1356"/>
    <cellStyle name="Comma 5 4 2 4 2 2" xfId="2336"/>
    <cellStyle name="Comma 5 4 2 4 2 2 2" xfId="5128"/>
    <cellStyle name="Comma 5 4 2 4 2 2 3" xfId="3620"/>
    <cellStyle name="Comma 5 4 2 4 2 3" xfId="4026"/>
    <cellStyle name="Comma 5 4 2 4 2 4" xfId="4744"/>
    <cellStyle name="Comma 5 4 2 4 2 5" xfId="3204"/>
    <cellStyle name="Comma 5 4 2 4 3" xfId="1590"/>
    <cellStyle name="Comma 5 4 2 4 3 2" xfId="2570"/>
    <cellStyle name="Comma 5 4 2 4 3 2 2" xfId="5233"/>
    <cellStyle name="Comma 5 4 2 4 3 2 3" xfId="3725"/>
    <cellStyle name="Comma 5 4 2 4 3 3" xfId="4131"/>
    <cellStyle name="Comma 5 4 2 4 3 4" xfId="4820"/>
    <cellStyle name="Comma 5 4 2 4 3 5" xfId="3315"/>
    <cellStyle name="Comma 5 4 2 4 4" xfId="1824"/>
    <cellStyle name="Comma 5 4 2 4 4 2" xfId="2803"/>
    <cellStyle name="Comma 5 4 2 4 4 2 2" xfId="5024"/>
    <cellStyle name="Comma 5 4 2 4 4 3" xfId="3515"/>
    <cellStyle name="Comma 5 4 2 4 5" xfId="2061"/>
    <cellStyle name="Comma 5 4 2 4 5 2" xfId="3921"/>
    <cellStyle name="Comma 5 4 2 4 6" xfId="4662"/>
    <cellStyle name="Comma 5 4 2 4 7" xfId="3088"/>
    <cellStyle name="Comma 5 4 2 5" xfId="1106"/>
    <cellStyle name="Comma 5 4 2 5 2" xfId="2142"/>
    <cellStyle name="Comma 5 4 2 5 3" xfId="2964"/>
    <cellStyle name="Comma 5 4 2 5 4" xfId="5288"/>
    <cellStyle name="Comma 5 4 2 6" xfId="1196"/>
    <cellStyle name="Comma 5 4 2 6 2" xfId="2182"/>
    <cellStyle name="Comma 5 4 2 6 3" xfId="3354"/>
    <cellStyle name="Comma 5 4 2 7" xfId="1436"/>
    <cellStyle name="Comma 5 4 2 7 2" xfId="2416"/>
    <cellStyle name="Comma 5 4 2 7 3" xfId="3777"/>
    <cellStyle name="Comma 5 4 2 8" xfId="1691"/>
    <cellStyle name="Comma 5 4 2 8 2" xfId="2671"/>
    <cellStyle name="Comma 5 4 2 8 3" xfId="5417"/>
    <cellStyle name="Comma 5 4 2 9" xfId="1907"/>
    <cellStyle name="Comma 5 4 3" xfId="233"/>
    <cellStyle name="Comma 5 4 4" xfId="234"/>
    <cellStyle name="Comma 5 4 4 10" xfId="2890"/>
    <cellStyle name="Comma 5 4 4 2" xfId="843"/>
    <cellStyle name="Comma 5 4 4 2 2" xfId="949"/>
    <cellStyle name="Comma 5 4 4 2 2 2" xfId="1322"/>
    <cellStyle name="Comma 5 4 4 2 2 2 2" xfId="2302"/>
    <cellStyle name="Comma 5 4 4 2 2 2 2 2" xfId="4712"/>
    <cellStyle name="Comma 5 4 4 2 2 2 3" xfId="3587"/>
    <cellStyle name="Comma 5 4 4 2 2 3" xfId="1556"/>
    <cellStyle name="Comma 5 4 4 2 2 3 2" xfId="2536"/>
    <cellStyle name="Comma 5 4 4 2 2 3 2 2" xfId="5095"/>
    <cellStyle name="Comma 5 4 4 2 2 3 3" xfId="3993"/>
    <cellStyle name="Comma 5 4 4 2 2 4" xfId="1790"/>
    <cellStyle name="Comma 5 4 4 2 2 4 2" xfId="2769"/>
    <cellStyle name="Comma 5 4 4 2 2 4 3" xfId="4462"/>
    <cellStyle name="Comma 5 4 4 2 2 5" xfId="2027"/>
    <cellStyle name="Comma 5 4 4 2 2 6" xfId="3171"/>
    <cellStyle name="Comma 5 4 4 2 3" xfId="1031"/>
    <cellStyle name="Comma 5 4 4 2 3 2" xfId="1399"/>
    <cellStyle name="Comma 5 4 4 2 3 2 2" xfId="2379"/>
    <cellStyle name="Comma 5 4 4 2 3 2 2 2" xfId="5200"/>
    <cellStyle name="Comma 5 4 4 2 3 2 3" xfId="3692"/>
    <cellStyle name="Comma 5 4 4 2 3 3" xfId="1633"/>
    <cellStyle name="Comma 5 4 4 2 3 3 2" xfId="2613"/>
    <cellStyle name="Comma 5 4 4 2 3 3 3" xfId="4098"/>
    <cellStyle name="Comma 5 4 4 2 3 4" xfId="1867"/>
    <cellStyle name="Comma 5 4 4 2 3 4 2" xfId="2846"/>
    <cellStyle name="Comma 5 4 4 2 3 4 3" xfId="4604"/>
    <cellStyle name="Comma 5 4 4 2 3 5" xfId="2104"/>
    <cellStyle name="Comma 5 4 4 2 3 6" xfId="3278"/>
    <cellStyle name="Comma 5 4 4 2 4" xfId="1243"/>
    <cellStyle name="Comma 5 4 4 2 4 2" xfId="2225"/>
    <cellStyle name="Comma 5 4 4 2 4 2 2" xfId="4980"/>
    <cellStyle name="Comma 5 4 4 2 4 2 3" xfId="3482"/>
    <cellStyle name="Comma 5 4 4 2 4 3" xfId="3888"/>
    <cellStyle name="Comma 5 4 4 2 4 4" xfId="4634"/>
    <cellStyle name="Comma 5 4 4 2 4 5" xfId="3051"/>
    <cellStyle name="Comma 5 4 4 2 5" xfId="1479"/>
    <cellStyle name="Comma 5 4 4 2 5 2" xfId="2459"/>
    <cellStyle name="Comma 5 4 4 2 5 2 2" xfId="4973"/>
    <cellStyle name="Comma 5 4 4 2 5 3" xfId="3408"/>
    <cellStyle name="Comma 5 4 4 2 6" xfId="1649"/>
    <cellStyle name="Comma 5 4 4 2 6 2" xfId="2629"/>
    <cellStyle name="Comma 5 4 4 2 6 3" xfId="3815"/>
    <cellStyle name="Comma 5 4 4 2 7" xfId="1950"/>
    <cellStyle name="Comma 5 4 4 2 7 2" xfId="4362"/>
    <cellStyle name="Comma 5 4 4 2 8" xfId="2926"/>
    <cellStyle name="Comma 5 4 4 3" xfId="884"/>
    <cellStyle name="Comma 5 4 4 3 2" xfId="1278"/>
    <cellStyle name="Comma 5 4 4 3 2 2" xfId="2260"/>
    <cellStyle name="Comma 5 4 4 3 2 2 2" xfId="5129"/>
    <cellStyle name="Comma 5 4 4 3 2 2 3" xfId="3621"/>
    <cellStyle name="Comma 5 4 4 3 2 3" xfId="4027"/>
    <cellStyle name="Comma 5 4 4 3 2 4" xfId="4745"/>
    <cellStyle name="Comma 5 4 4 3 2 5" xfId="3205"/>
    <cellStyle name="Comma 5 4 4 3 3" xfId="1514"/>
    <cellStyle name="Comma 5 4 4 3 3 2" xfId="2494"/>
    <cellStyle name="Comma 5 4 4 3 3 2 2" xfId="5234"/>
    <cellStyle name="Comma 5 4 4 3 3 2 3" xfId="3726"/>
    <cellStyle name="Comma 5 4 4 3 3 3" xfId="4132"/>
    <cellStyle name="Comma 5 4 4 3 3 4" xfId="4821"/>
    <cellStyle name="Comma 5 4 4 3 3 5" xfId="3316"/>
    <cellStyle name="Comma 5 4 4 3 4" xfId="1748"/>
    <cellStyle name="Comma 5 4 4 3 4 2" xfId="2727"/>
    <cellStyle name="Comma 5 4 4 3 4 2 2" xfId="5025"/>
    <cellStyle name="Comma 5 4 4 3 4 3" xfId="3516"/>
    <cellStyle name="Comma 5 4 4 3 5" xfId="1985"/>
    <cellStyle name="Comma 5 4 4 3 5 2" xfId="3922"/>
    <cellStyle name="Comma 5 4 4 3 6" xfId="4663"/>
    <cellStyle name="Comma 5 4 4 3 7" xfId="3089"/>
    <cellStyle name="Comma 5 4 4 4" xfId="989"/>
    <cellStyle name="Comma 5 4 4 4 2" xfId="1357"/>
    <cellStyle name="Comma 5 4 4 4 2 2" xfId="2337"/>
    <cellStyle name="Comma 5 4 4 4 2 2 2" xfId="5064"/>
    <cellStyle name="Comma 5 4 4 4 2 3" xfId="3556"/>
    <cellStyle name="Comma 5 4 4 4 3" xfId="1591"/>
    <cellStyle name="Comma 5 4 4 4 3 2" xfId="2571"/>
    <cellStyle name="Comma 5 4 4 4 3 3" xfId="3962"/>
    <cellStyle name="Comma 5 4 4 4 4" xfId="1825"/>
    <cellStyle name="Comma 5 4 4 4 4 2" xfId="2804"/>
    <cellStyle name="Comma 5 4 4 4 4 3" xfId="4688"/>
    <cellStyle name="Comma 5 4 4 4 5" xfId="2062"/>
    <cellStyle name="Comma 5 4 4 4 6" xfId="3140"/>
    <cellStyle name="Comma 5 4 4 5" xfId="1107"/>
    <cellStyle name="Comma 5 4 4 5 2" xfId="2143"/>
    <cellStyle name="Comma 5 4 4 5 2 2" xfId="5169"/>
    <cellStyle name="Comma 5 4 4 5 2 3" xfId="3661"/>
    <cellStyle name="Comma 5 4 4 5 3" xfId="4067"/>
    <cellStyle name="Comma 5 4 4 5 4" xfId="4784"/>
    <cellStyle name="Comma 5 4 4 5 5" xfId="3246"/>
    <cellStyle name="Comma 5 4 4 6" xfId="1197"/>
    <cellStyle name="Comma 5 4 4 6 2" xfId="2183"/>
    <cellStyle name="Comma 5 4 4 6 2 2" xfId="4997"/>
    <cellStyle name="Comma 5 4 4 6 2 3" xfId="3450"/>
    <cellStyle name="Comma 5 4 4 6 3" xfId="3857"/>
    <cellStyle name="Comma 5 4 4 6 4" xfId="4495"/>
    <cellStyle name="Comma 5 4 4 6 5" xfId="3003"/>
    <cellStyle name="Comma 5 4 4 7" xfId="1437"/>
    <cellStyle name="Comma 5 4 4 7 2" xfId="2417"/>
    <cellStyle name="Comma 5 4 4 7 3" xfId="3355"/>
    <cellStyle name="Comma 5 4 4 8" xfId="1692"/>
    <cellStyle name="Comma 5 4 4 8 2" xfId="2672"/>
    <cellStyle name="Comma 5 4 4 8 3" xfId="3778"/>
    <cellStyle name="Comma 5 4 4 9" xfId="1908"/>
    <cellStyle name="Comma 5 4 4 9 2" xfId="4227"/>
    <cellStyle name="Comma 5 4 5" xfId="235"/>
    <cellStyle name="Comma 5 4 6" xfId="685"/>
    <cellStyle name="Comma 5 4 6 2" xfId="907"/>
    <cellStyle name="Comma 5 4 6 2 2" xfId="4149"/>
    <cellStyle name="Comma 5 4 6 3" xfId="1108"/>
    <cellStyle name="Comma 5 4 6 3 2" xfId="5289"/>
    <cellStyle name="Comma 5 4 7" xfId="1109"/>
    <cellStyle name="Comma 5 4 8" xfId="1105"/>
    <cellStyle name="Comma 5 4 8 2" xfId="5287"/>
    <cellStyle name="Comma 5 5" xfId="236"/>
    <cellStyle name="Comma 5 6" xfId="690"/>
    <cellStyle name="Comma 5 6 2" xfId="899"/>
    <cellStyle name="Comma 5 6 2 2" xfId="4608"/>
    <cellStyle name="Comma 5 6 3" xfId="4363"/>
    <cellStyle name="Comma 5 7" xfId="2944"/>
    <cellStyle name="Comma 6" xfId="237"/>
    <cellStyle name="Comma 6 2" xfId="238"/>
    <cellStyle name="Comma 6 2 2" xfId="239"/>
    <cellStyle name="Comma 6 2 3" xfId="240"/>
    <cellStyle name="Comma 6 3" xfId="684"/>
    <cellStyle name="Comma 6 4" xfId="2945"/>
    <cellStyle name="Comma 7" xfId="241"/>
    <cellStyle name="Comma 7 2" xfId="242"/>
    <cellStyle name="Comma 7 3" xfId="243"/>
    <cellStyle name="Comma 7 3 10" xfId="1438"/>
    <cellStyle name="Comma 7 3 10 2" xfId="2418"/>
    <cellStyle name="Comma 7 3 10 3" xfId="5371"/>
    <cellStyle name="Comma 7 3 11" xfId="1693"/>
    <cellStyle name="Comma 7 3 11 2" xfId="2673"/>
    <cellStyle name="Comma 7 3 11 3" xfId="5418"/>
    <cellStyle name="Comma 7 3 12" xfId="1909"/>
    <cellStyle name="Comma 7 3 2" xfId="244"/>
    <cellStyle name="Comma 7 3 2 2" xfId="3004"/>
    <cellStyle name="Comma 7 3 2 3" xfId="2965"/>
    <cellStyle name="Comma 7 3 3" xfId="682"/>
    <cellStyle name="Comma 7 3 3 10" xfId="2891"/>
    <cellStyle name="Comma 7 3 3 2" xfId="918"/>
    <cellStyle name="Comma 7 3 3 2 2" xfId="1295"/>
    <cellStyle name="Comma 7 3 3 2 2 2" xfId="2277"/>
    <cellStyle name="Comma 7 3 3 2 2 2 2" xfId="4713"/>
    <cellStyle name="Comma 7 3 3 2 2 2 3" xfId="3588"/>
    <cellStyle name="Comma 7 3 3 2 2 3" xfId="3994"/>
    <cellStyle name="Comma 7 3 3 2 2 3 2" xfId="5096"/>
    <cellStyle name="Comma 7 3 3 2 2 4" xfId="4463"/>
    <cellStyle name="Comma 7 3 3 2 2 5" xfId="3172"/>
    <cellStyle name="Comma 7 3 3 2 3" xfId="1531"/>
    <cellStyle name="Comma 7 3 3 2 3 2" xfId="2511"/>
    <cellStyle name="Comma 7 3 3 2 3 2 2" xfId="5201"/>
    <cellStyle name="Comma 7 3 3 2 3 2 3" xfId="3693"/>
    <cellStyle name="Comma 7 3 3 2 3 3" xfId="4099"/>
    <cellStyle name="Comma 7 3 3 2 3 4" xfId="4605"/>
    <cellStyle name="Comma 7 3 3 2 3 5" xfId="3279"/>
    <cellStyle name="Comma 7 3 3 2 4" xfId="1765"/>
    <cellStyle name="Comma 7 3 3 2 4 2" xfId="2744"/>
    <cellStyle name="Comma 7 3 3 2 4 2 2" xfId="4881"/>
    <cellStyle name="Comma 7 3 3 2 4 2 3" xfId="3483"/>
    <cellStyle name="Comma 7 3 3 2 4 3" xfId="3889"/>
    <cellStyle name="Comma 7 3 3 2 4 4" xfId="4635"/>
    <cellStyle name="Comma 7 3 3 2 4 5" xfId="3052"/>
    <cellStyle name="Comma 7 3 3 2 5" xfId="2002"/>
    <cellStyle name="Comma 7 3 3 2 5 2" xfId="4974"/>
    <cellStyle name="Comma 7 3 3 2 5 3" xfId="3409"/>
    <cellStyle name="Comma 7 3 3 2 6" xfId="3816"/>
    <cellStyle name="Comma 7 3 3 2 7" xfId="4364"/>
    <cellStyle name="Comma 7 3 3 2 8" xfId="2927"/>
    <cellStyle name="Comma 7 3 3 3" xfId="1006"/>
    <cellStyle name="Comma 7 3 3 3 2" xfId="1374"/>
    <cellStyle name="Comma 7 3 3 3 2 2" xfId="2354"/>
    <cellStyle name="Comma 7 3 3 3 2 2 2" xfId="5130"/>
    <cellStyle name="Comma 7 3 3 3 2 2 3" xfId="3622"/>
    <cellStyle name="Comma 7 3 3 3 2 3" xfId="4028"/>
    <cellStyle name="Comma 7 3 3 3 2 4" xfId="4746"/>
    <cellStyle name="Comma 7 3 3 3 2 5" xfId="3206"/>
    <cellStyle name="Comma 7 3 3 3 3" xfId="1608"/>
    <cellStyle name="Comma 7 3 3 3 3 2" xfId="2588"/>
    <cellStyle name="Comma 7 3 3 3 3 2 2" xfId="5235"/>
    <cellStyle name="Comma 7 3 3 3 3 2 3" xfId="3727"/>
    <cellStyle name="Comma 7 3 3 3 3 3" xfId="4133"/>
    <cellStyle name="Comma 7 3 3 3 3 4" xfId="4822"/>
    <cellStyle name="Comma 7 3 3 3 3 5" xfId="3317"/>
    <cellStyle name="Comma 7 3 3 3 4" xfId="1842"/>
    <cellStyle name="Comma 7 3 3 3 4 2" xfId="2821"/>
    <cellStyle name="Comma 7 3 3 3 4 2 2" xfId="5026"/>
    <cellStyle name="Comma 7 3 3 3 4 3" xfId="3517"/>
    <cellStyle name="Comma 7 3 3 3 5" xfId="2079"/>
    <cellStyle name="Comma 7 3 3 3 5 2" xfId="3923"/>
    <cellStyle name="Comma 7 3 3 3 6" xfId="4664"/>
    <cellStyle name="Comma 7 3 3 3 7" xfId="3090"/>
    <cellStyle name="Comma 7 3 3 4" xfId="1112"/>
    <cellStyle name="Comma 7 3 3 4 2" xfId="2145"/>
    <cellStyle name="Comma 7 3 3 4 2 2" xfId="5065"/>
    <cellStyle name="Comma 7 3 3 4 2 3" xfId="3557"/>
    <cellStyle name="Comma 7 3 3 4 3" xfId="3963"/>
    <cellStyle name="Comma 7 3 3 4 4" xfId="4689"/>
    <cellStyle name="Comma 7 3 3 4 5" xfId="3141"/>
    <cellStyle name="Comma 7 3 3 5" xfId="1216"/>
    <cellStyle name="Comma 7 3 3 5 2" xfId="2200"/>
    <cellStyle name="Comma 7 3 3 5 2 2" xfId="5170"/>
    <cellStyle name="Comma 7 3 3 5 2 3" xfId="3662"/>
    <cellStyle name="Comma 7 3 3 5 3" xfId="4068"/>
    <cellStyle name="Comma 7 3 3 5 4" xfId="4785"/>
    <cellStyle name="Comma 7 3 3 5 5" xfId="3247"/>
    <cellStyle name="Comma 7 3 3 6" xfId="1454"/>
    <cellStyle name="Comma 7 3 3 6 2" xfId="2434"/>
    <cellStyle name="Comma 7 3 3 6 2 2" xfId="4998"/>
    <cellStyle name="Comma 7 3 3 6 2 3" xfId="3451"/>
    <cellStyle name="Comma 7 3 3 6 3" xfId="3858"/>
    <cellStyle name="Comma 7 3 3 6 4" xfId="4496"/>
    <cellStyle name="Comma 7 3 3 6 5" xfId="3005"/>
    <cellStyle name="Comma 7 3 3 7" xfId="1694"/>
    <cellStyle name="Comma 7 3 3 7 2" xfId="2674"/>
    <cellStyle name="Comma 7 3 3 7 3" xfId="3356"/>
    <cellStyle name="Comma 7 3 3 8" xfId="1925"/>
    <cellStyle name="Comma 7 3 3 8 2" xfId="3779"/>
    <cellStyle name="Comma 7 3 3 9" xfId="4228"/>
    <cellStyle name="Comma 7 3 4" xfId="681"/>
    <cellStyle name="Comma 7 3 5" xfId="844"/>
    <cellStyle name="Comma 7 3 5 2" xfId="950"/>
    <cellStyle name="Comma 7 3 5 2 2" xfId="1323"/>
    <cellStyle name="Comma 7 3 5 2 2 2" xfId="2303"/>
    <cellStyle name="Comma 7 3 5 2 2 3" xfId="4451"/>
    <cellStyle name="Comma 7 3 5 2 3" xfId="1557"/>
    <cellStyle name="Comma 7 3 5 2 3 2" xfId="2537"/>
    <cellStyle name="Comma 7 3 5 2 3 3" xfId="4585"/>
    <cellStyle name="Comma 7 3 5 2 4" xfId="1791"/>
    <cellStyle name="Comma 7 3 5 2 4 2" xfId="2770"/>
    <cellStyle name="Comma 7 3 5 2 4 3" xfId="4950"/>
    <cellStyle name="Comma 7 3 5 2 5" xfId="2028"/>
    <cellStyle name="Comma 7 3 5 2 6" xfId="4303"/>
    <cellStyle name="Comma 7 3 5 3" xfId="1032"/>
    <cellStyle name="Comma 7 3 5 3 2" xfId="1400"/>
    <cellStyle name="Comma 7 3 5 3 2 2" xfId="2380"/>
    <cellStyle name="Comma 7 3 5 3 2 3" xfId="5363"/>
    <cellStyle name="Comma 7 3 5 3 3" xfId="1634"/>
    <cellStyle name="Comma 7 3 5 3 3 2" xfId="2614"/>
    <cellStyle name="Comma 7 3 5 3 3 3" xfId="5403"/>
    <cellStyle name="Comma 7 3 5 3 4" xfId="1868"/>
    <cellStyle name="Comma 7 3 5 3 4 2" xfId="2847"/>
    <cellStyle name="Comma 7 3 5 3 4 3" xfId="5459"/>
    <cellStyle name="Comma 7 3 5 3 5" xfId="2105"/>
    <cellStyle name="Comma 7 3 5 3 6" xfId="4365"/>
    <cellStyle name="Comma 7 3 5 3 7" xfId="5273"/>
    <cellStyle name="Comma 7 3 5 4" xfId="1113"/>
    <cellStyle name="Comma 7 3 5 4 2" xfId="4423"/>
    <cellStyle name="Comma 7 3 5 5" xfId="1244"/>
    <cellStyle name="Comma 7 3 5 5 2" xfId="2226"/>
    <cellStyle name="Comma 7 3 5 5 3" xfId="4556"/>
    <cellStyle name="Comma 7 3 5 6" xfId="1480"/>
    <cellStyle name="Comma 7 3 5 6 2" xfId="2460"/>
    <cellStyle name="Comma 7 3 5 6 3" xfId="4922"/>
    <cellStyle name="Comma 7 3 5 7" xfId="1714"/>
    <cellStyle name="Comma 7 3 5 7 2" xfId="2693"/>
    <cellStyle name="Comma 7 3 5 7 3" xfId="5423"/>
    <cellStyle name="Comma 7 3 5 8" xfId="1951"/>
    <cellStyle name="Comma 7 3 5 9" xfId="4273"/>
    <cellStyle name="Comma 7 3 6" xfId="885"/>
    <cellStyle name="Comma 7 3 6 2" xfId="1279"/>
    <cellStyle name="Comma 7 3 6 2 2" xfId="2261"/>
    <cellStyle name="Comma 7 3 6 2 3" xfId="5342"/>
    <cellStyle name="Comma 7 3 6 3" xfId="1515"/>
    <cellStyle name="Comma 7 3 6 3 2" xfId="2495"/>
    <cellStyle name="Comma 7 3 6 3 3" xfId="5383"/>
    <cellStyle name="Comma 7 3 6 4" xfId="1749"/>
    <cellStyle name="Comma 7 3 6 4 2" xfId="2728"/>
    <cellStyle name="Comma 7 3 6 4 3" xfId="5430"/>
    <cellStyle name="Comma 7 3 6 5" xfId="1986"/>
    <cellStyle name="Comma 7 3 6 6" xfId="5258"/>
    <cellStyle name="Comma 7 3 7" xfId="990"/>
    <cellStyle name="Comma 7 3 7 2" xfId="1358"/>
    <cellStyle name="Comma 7 3 7 2 2" xfId="2338"/>
    <cellStyle name="Comma 7 3 7 2 3" xfId="5356"/>
    <cellStyle name="Comma 7 3 7 3" xfId="1592"/>
    <cellStyle name="Comma 7 3 7 3 2" xfId="2572"/>
    <cellStyle name="Comma 7 3 7 3 3" xfId="5396"/>
    <cellStyle name="Comma 7 3 7 4" xfId="1826"/>
    <cellStyle name="Comma 7 3 7 4 2" xfId="2805"/>
    <cellStyle name="Comma 7 3 7 4 3" xfId="5449"/>
    <cellStyle name="Comma 7 3 7 5" xfId="2063"/>
    <cellStyle name="Comma 7 3 7 6" xfId="5268"/>
    <cellStyle name="Comma 7 3 8" xfId="1111"/>
    <cellStyle name="Comma 7 3 8 2" xfId="2144"/>
    <cellStyle name="Comma 7 3 8 3" xfId="5291"/>
    <cellStyle name="Comma 7 3 9" xfId="1198"/>
    <cellStyle name="Comma 7 3 9 2" xfId="2184"/>
    <cellStyle name="Comma 7 3 9 3" xfId="5324"/>
    <cellStyle name="Comma 7 4" xfId="245"/>
    <cellStyle name="Comma 7 5" xfId="683"/>
    <cellStyle name="Comma 7 5 2" xfId="967"/>
    <cellStyle name="Comma 7 5 2 2" xfId="4150"/>
    <cellStyle name="Comma 7 5 3" xfId="1114"/>
    <cellStyle name="Comma 7 5 3 2" xfId="5292"/>
    <cellStyle name="Comma 7 6" xfId="1110"/>
    <cellStyle name="Comma 7 6 2" xfId="5290"/>
    <cellStyle name="Comma 8" xfId="246"/>
    <cellStyle name="Comma 8 2" xfId="247"/>
    <cellStyle name="Comma 8 2 2" xfId="4367"/>
    <cellStyle name="Comma 8 2 3" xfId="4229"/>
    <cellStyle name="Comma 8 3" xfId="3006"/>
    <cellStyle name="Comma 8 3 2" xfId="4505"/>
    <cellStyle name="Comma 8 3 3" xfId="4230"/>
    <cellStyle name="Comma 8 4" xfId="2966"/>
    <cellStyle name="Comma 8 4 2" xfId="4536"/>
    <cellStyle name="Comma 8 4 3" xfId="4366"/>
    <cellStyle name="Comma 9" xfId="248"/>
    <cellStyle name="Comma 9 2" xfId="249"/>
    <cellStyle name="Comma 9 3" xfId="3007"/>
    <cellStyle name="Comma 9 4" xfId="2967"/>
    <cellStyle name="Currency 2" xfId="250"/>
    <cellStyle name="Currency 2 2" xfId="251"/>
    <cellStyle name="Currency 2 2 2" xfId="252"/>
    <cellStyle name="Currency 2 2 2 2" xfId="680"/>
    <cellStyle name="Currency 2 2 3" xfId="253"/>
    <cellStyle name="Currency 2 2 3 2" xfId="679"/>
    <cellStyle name="Currency 2 2 4" xfId="678"/>
    <cellStyle name="Currency 2 3" xfId="254"/>
    <cellStyle name="Currency 2 3 2" xfId="255"/>
    <cellStyle name="Currency 2 3 2 2" xfId="677"/>
    <cellStyle name="Currency 2 3 3" xfId="256"/>
    <cellStyle name="Currency 2 3 3 2" xfId="676"/>
    <cellStyle name="Currency 2 3 4" xfId="675"/>
    <cellStyle name="Currency 2 4" xfId="257"/>
    <cellStyle name="Currency 2 5" xfId="674"/>
    <cellStyle name="Currency 2 6" xfId="673"/>
    <cellStyle name="Currency 2 6 2" xfId="916"/>
    <cellStyle name="Currency 2 6 2 2" xfId="1294"/>
    <cellStyle name="Currency 2 6 2 2 2" xfId="2276"/>
    <cellStyle name="Currency 2 6 2 2 2 2" xfId="5131"/>
    <cellStyle name="Currency 2 6 2 2 2 3" xfId="3623"/>
    <cellStyle name="Currency 2 6 2 2 3" xfId="4029"/>
    <cellStyle name="Currency 2 6 2 2 4" xfId="4747"/>
    <cellStyle name="Currency 2 6 2 2 5" xfId="3207"/>
    <cellStyle name="Currency 2 6 2 3" xfId="1530"/>
    <cellStyle name="Currency 2 6 2 3 2" xfId="2510"/>
    <cellStyle name="Currency 2 6 2 3 2 2" xfId="5236"/>
    <cellStyle name="Currency 2 6 2 3 2 3" xfId="3728"/>
    <cellStyle name="Currency 2 6 2 3 3" xfId="4134"/>
    <cellStyle name="Currency 2 6 2 3 4" xfId="4823"/>
    <cellStyle name="Currency 2 6 2 3 5" xfId="3318"/>
    <cellStyle name="Currency 2 6 2 4" xfId="1764"/>
    <cellStyle name="Currency 2 6 2 4 2" xfId="2743"/>
    <cellStyle name="Currency 2 6 2 4 2 2" xfId="5027"/>
    <cellStyle name="Currency 2 6 2 4 2 3" xfId="3518"/>
    <cellStyle name="Currency 2 6 2 4 3" xfId="3924"/>
    <cellStyle name="Currency 2 6 2 4 4" xfId="4665"/>
    <cellStyle name="Currency 2 6 2 4 5" xfId="3091"/>
    <cellStyle name="Currency 2 6 2 5" xfId="2001"/>
    <cellStyle name="Currency 2 6 2 5 2" xfId="4611"/>
    <cellStyle name="Currency 2 6 2 5 3" xfId="3410"/>
    <cellStyle name="Currency 2 6 2 6" xfId="3817"/>
    <cellStyle name="Currency 2 6 2 6 2" xfId="4906"/>
    <cellStyle name="Currency 2 6 2 7" xfId="4464"/>
    <cellStyle name="Currency 2 6 2 8" xfId="2928"/>
    <cellStyle name="Currency 2 6 3" xfId="1005"/>
    <cellStyle name="Currency 2 6 3 2" xfId="1373"/>
    <cellStyle name="Currency 2 6 3 2 2" xfId="2353"/>
    <cellStyle name="Currency 2 6 3 2 2 2" xfId="5097"/>
    <cellStyle name="Currency 2 6 3 2 3" xfId="3589"/>
    <cellStyle name="Currency 2 6 3 3" xfId="1607"/>
    <cellStyle name="Currency 2 6 3 3 2" xfId="2587"/>
    <cellStyle name="Currency 2 6 3 3 3" xfId="3995"/>
    <cellStyle name="Currency 2 6 3 4" xfId="1841"/>
    <cellStyle name="Currency 2 6 3 4 2" xfId="2820"/>
    <cellStyle name="Currency 2 6 3 4 3" xfId="4606"/>
    <cellStyle name="Currency 2 6 3 5" xfId="2078"/>
    <cellStyle name="Currency 2 6 3 6" xfId="3173"/>
    <cellStyle name="Currency 2 6 4" xfId="1115"/>
    <cellStyle name="Currency 2 6 4 2" xfId="2146"/>
    <cellStyle name="Currency 2 6 4 2 2" xfId="5202"/>
    <cellStyle name="Currency 2 6 4 2 3" xfId="3694"/>
    <cellStyle name="Currency 2 6 4 3" xfId="4100"/>
    <cellStyle name="Currency 2 6 4 4" xfId="4802"/>
    <cellStyle name="Currency 2 6 4 5" xfId="3280"/>
    <cellStyle name="Currency 2 6 5" xfId="1215"/>
    <cellStyle name="Currency 2 6 5 2" xfId="2199"/>
    <cellStyle name="Currency 2 6 5 2 2" xfId="4951"/>
    <cellStyle name="Currency 2 6 5 2 3" xfId="3484"/>
    <cellStyle name="Currency 2 6 5 3" xfId="3890"/>
    <cellStyle name="Currency 2 6 5 4" xfId="4636"/>
    <cellStyle name="Currency 2 6 5 5" xfId="3053"/>
    <cellStyle name="Currency 2 6 6" xfId="1453"/>
    <cellStyle name="Currency 2 6 6 2" xfId="2433"/>
    <cellStyle name="Currency 2 6 6 2 2" xfId="4978"/>
    <cellStyle name="Currency 2 6 6 3" xfId="3357"/>
    <cellStyle name="Currency 2 6 7" xfId="1695"/>
    <cellStyle name="Currency 2 6 7 2" xfId="2675"/>
    <cellStyle name="Currency 2 6 7 3" xfId="3780"/>
    <cellStyle name="Currency 2 6 8" xfId="1924"/>
    <cellStyle name="Currency 2 6 8 2" xfId="4368"/>
    <cellStyle name="Currency 2 6 9" xfId="2892"/>
    <cellStyle name="Currency 3" xfId="258"/>
    <cellStyle name="Currency 3 2" xfId="259"/>
    <cellStyle name="Currency 3 2 2" xfId="260"/>
    <cellStyle name="Currency 3 2 2 2" xfId="672"/>
    <cellStyle name="Currency 3 2 3" xfId="261"/>
    <cellStyle name="Currency 3 2 3 2" xfId="671"/>
    <cellStyle name="Currency 3 2 4" xfId="670"/>
    <cellStyle name="Currency 3 3" xfId="262"/>
    <cellStyle name="Currency 3 3 2" xfId="669"/>
    <cellStyle name="Currency 3 3 3" xfId="668"/>
    <cellStyle name="Currency 4" xfId="263"/>
    <cellStyle name="Currency 4 2" xfId="264"/>
    <cellStyle name="Currency 4 3" xfId="667"/>
    <cellStyle name="Currency 4 3 2" xfId="887"/>
    <cellStyle name="Currency 4 3 3" xfId="1214"/>
    <cellStyle name="Currency 4 3 3 2" xfId="5328"/>
    <cellStyle name="Currency 4 4" xfId="1116"/>
    <cellStyle name="Currency 4 4 2" xfId="5293"/>
    <cellStyle name="Currency 5" xfId="666"/>
    <cellStyle name="Currency 6" xfId="265"/>
    <cellStyle name="Explanatory Text 2" xfId="266"/>
    <cellStyle name="Explanatory Text 2 2" xfId="267"/>
    <cellStyle name="Explanatory Text 2 3" xfId="268"/>
    <cellStyle name="Explanatory Text 3" xfId="269"/>
    <cellStyle name="Explanatory Text 4" xfId="270"/>
    <cellStyle name="Good 2" xfId="271"/>
    <cellStyle name="Good 2 2" xfId="272"/>
    <cellStyle name="Good 2 3" xfId="273"/>
    <cellStyle name="Good 2 4" xfId="665"/>
    <cellStyle name="Good 2 5" xfId="664"/>
    <cellStyle name="Good 2 6" xfId="1117"/>
    <cellStyle name="Good 3" xfId="274"/>
    <cellStyle name="Good 4" xfId="275"/>
    <cellStyle name="Heading 1 2" xfId="276"/>
    <cellStyle name="Heading 1 2 2" xfId="277"/>
    <cellStyle name="Heading 1 2 3" xfId="278"/>
    <cellStyle name="Heading 1 2 4" xfId="663"/>
    <cellStyle name="Heading 1 2 5" xfId="662"/>
    <cellStyle name="Heading 1 2 6" xfId="1118"/>
    <cellStyle name="Heading 1 3" xfId="279"/>
    <cellStyle name="Heading 1 4" xfId="280"/>
    <cellStyle name="Heading 2 2" xfId="281"/>
    <cellStyle name="Heading 2 2 2" xfId="282"/>
    <cellStyle name="Heading 2 2 3" xfId="283"/>
    <cellStyle name="Heading 2 2 4" xfId="661"/>
    <cellStyle name="Heading 2 2 5" xfId="660"/>
    <cellStyle name="Heading 2 2 6" xfId="1119"/>
    <cellStyle name="Heading 2 3" xfId="284"/>
    <cellStyle name="Heading 2 4" xfId="285"/>
    <cellStyle name="Heading 3 2" xfId="286"/>
    <cellStyle name="Heading 3 2 2" xfId="287"/>
    <cellStyle name="Heading 3 2 3" xfId="288"/>
    <cellStyle name="Heading 3 2 4" xfId="659"/>
    <cellStyle name="Heading 3 2 5" xfId="658"/>
    <cellStyle name="Heading 3 2 6" xfId="1120"/>
    <cellStyle name="Heading 3 3" xfId="289"/>
    <cellStyle name="Heading 3 4" xfId="290"/>
    <cellStyle name="Heading 4 2" xfId="291"/>
    <cellStyle name="Heading 4 2 2" xfId="292"/>
    <cellStyle name="Heading 4 2 3" xfId="293"/>
    <cellStyle name="Heading 4 2 4" xfId="657"/>
    <cellStyle name="Heading 4 2 5" xfId="656"/>
    <cellStyle name="Heading 4 2 6" xfId="1121"/>
    <cellStyle name="Heading 4 3" xfId="294"/>
    <cellStyle name="Heading 4 4" xfId="295"/>
    <cellStyle name="Hyperlink" xfId="2" builtinId="8"/>
    <cellStyle name="Hyperlink 17" xfId="2946"/>
    <cellStyle name="Hyperlink 2" xfId="15"/>
    <cellStyle name="Hyperlink 2 2" xfId="1047"/>
    <cellStyle name="Hyperlink 2 2 2" xfId="4557"/>
    <cellStyle name="Hyperlink 2 2 3" xfId="4369"/>
    <cellStyle name="Hyperlink 2 2 4" xfId="2947"/>
    <cellStyle name="Hyperlink 3" xfId="2893"/>
    <cellStyle name="Input 2" xfId="297"/>
    <cellStyle name="Input 2 2" xfId="298"/>
    <cellStyle name="Input 2 3" xfId="299"/>
    <cellStyle name="Input 2 4" xfId="655"/>
    <cellStyle name="Input 2 5" xfId="654"/>
    <cellStyle name="Input 2 6" xfId="1122"/>
    <cellStyle name="Input 3" xfId="300"/>
    <cellStyle name="Input 4" xfId="301"/>
    <cellStyle name="Linked Cell 2" xfId="302"/>
    <cellStyle name="Linked Cell 2 2" xfId="303"/>
    <cellStyle name="Linked Cell 2 3" xfId="304"/>
    <cellStyle name="Linked Cell 2 4" xfId="653"/>
    <cellStyle name="Linked Cell 2 5" xfId="652"/>
    <cellStyle name="Linked Cell 2 6" xfId="1123"/>
    <cellStyle name="Linked Cell 3" xfId="305"/>
    <cellStyle name="Linked Cell 4" xfId="306"/>
    <cellStyle name="Neutral 2" xfId="307"/>
    <cellStyle name="Neutral 2 2" xfId="308"/>
    <cellStyle name="Neutral 2 2 2" xfId="4370"/>
    <cellStyle name="Neutral 2 2 3" xfId="4231"/>
    <cellStyle name="Neutral 2 3" xfId="309"/>
    <cellStyle name="Neutral 2 3 2" xfId="4371"/>
    <cellStyle name="Neutral 2 3 3" xfId="4232"/>
    <cellStyle name="Neutral 2 4" xfId="651"/>
    <cellStyle name="Neutral 2 4 2" xfId="4372"/>
    <cellStyle name="Neutral 2 4 3" xfId="4233"/>
    <cellStyle name="Neutral 2 5" xfId="650"/>
    <cellStyle name="Neutral 2 5 2" xfId="4373"/>
    <cellStyle name="Neutral 2 5 3" xfId="4234"/>
    <cellStyle name="Neutral 2 6" xfId="1124"/>
    <cellStyle name="Neutral 2 6 2" xfId="4374"/>
    <cellStyle name="Neutral 2 6 3" xfId="4538"/>
    <cellStyle name="Neutral 2 6 4" xfId="4274"/>
    <cellStyle name="Neutral 2 6 5" xfId="2969"/>
    <cellStyle name="Neutral 3" xfId="310"/>
    <cellStyle name="Neutral 3 2" xfId="4375"/>
    <cellStyle name="Neutral 3 3" xfId="4235"/>
    <cellStyle name="Neutral 4" xfId="311"/>
    <cellStyle name="Neutral 4 2" xfId="4376"/>
    <cellStyle name="Neutral 4 3" xfId="4236"/>
    <cellStyle name="Normal" xfId="0" builtinId="0"/>
    <cellStyle name="Normal 10" xfId="312"/>
    <cellStyle name="Normal 10 2" xfId="313"/>
    <cellStyle name="Normal 10 2 2" xfId="314"/>
    <cellStyle name="Normal 10 2 3" xfId="315"/>
    <cellStyle name="Normal 10 3" xfId="316"/>
    <cellStyle name="Normal 10 3 10" xfId="1910"/>
    <cellStyle name="Normal 10 3 10 2" xfId="4237"/>
    <cellStyle name="Normal 10 3 11" xfId="2894"/>
    <cellStyle name="Normal 10 3 2" xfId="317"/>
    <cellStyle name="Normal 10 3 3" xfId="845"/>
    <cellStyle name="Normal 10 3 3 2" xfId="951"/>
    <cellStyle name="Normal 10 3 3 2 2" xfId="1324"/>
    <cellStyle name="Normal 10 3 3 2 2 2" xfId="2304"/>
    <cellStyle name="Normal 10 3 3 2 2 2 2" xfId="4714"/>
    <cellStyle name="Normal 10 3 3 2 2 3" xfId="3590"/>
    <cellStyle name="Normal 10 3 3 2 3" xfId="1558"/>
    <cellStyle name="Normal 10 3 3 2 3 2" xfId="2538"/>
    <cellStyle name="Normal 10 3 3 2 3 2 2" xfId="5098"/>
    <cellStyle name="Normal 10 3 3 2 3 3" xfId="3996"/>
    <cellStyle name="Normal 10 3 3 2 4" xfId="1792"/>
    <cellStyle name="Normal 10 3 3 2 4 2" xfId="2771"/>
    <cellStyle name="Normal 10 3 3 2 4 3" xfId="4437"/>
    <cellStyle name="Normal 10 3 3 2 5" xfId="2029"/>
    <cellStyle name="Normal 10 3 3 2 6" xfId="3174"/>
    <cellStyle name="Normal 10 3 3 3" xfId="1033"/>
    <cellStyle name="Normal 10 3 3 3 2" xfId="1401"/>
    <cellStyle name="Normal 10 3 3 3 2 2" xfId="2381"/>
    <cellStyle name="Normal 10 3 3 3 2 2 2" xfId="5203"/>
    <cellStyle name="Normal 10 3 3 3 2 3" xfId="3695"/>
    <cellStyle name="Normal 10 3 3 3 3" xfId="1635"/>
    <cellStyle name="Normal 10 3 3 3 3 2" xfId="2615"/>
    <cellStyle name="Normal 10 3 3 3 3 3" xfId="4101"/>
    <cellStyle name="Normal 10 3 3 3 4" xfId="1869"/>
    <cellStyle name="Normal 10 3 3 3 4 2" xfId="2848"/>
    <cellStyle name="Normal 10 3 3 3 4 3" xfId="4571"/>
    <cellStyle name="Normal 10 3 3 3 5" xfId="2106"/>
    <cellStyle name="Normal 10 3 3 3 6" xfId="3281"/>
    <cellStyle name="Normal 10 3 3 4" xfId="1245"/>
    <cellStyle name="Normal 10 3 3 4 2" xfId="2227"/>
    <cellStyle name="Normal 10 3 3 4 2 2" xfId="4977"/>
    <cellStyle name="Normal 10 3 3 4 2 3" xfId="3485"/>
    <cellStyle name="Normal 10 3 3 4 3" xfId="3891"/>
    <cellStyle name="Normal 10 3 3 4 4" xfId="4637"/>
    <cellStyle name="Normal 10 3 3 4 5" xfId="3054"/>
    <cellStyle name="Normal 10 3 3 5" xfId="1481"/>
    <cellStyle name="Normal 10 3 3 5 2" xfId="2461"/>
    <cellStyle name="Normal 10 3 3 5 2 2" xfId="4936"/>
    <cellStyle name="Normal 10 3 3 5 3" xfId="3411"/>
    <cellStyle name="Normal 10 3 3 6" xfId="1715"/>
    <cellStyle name="Normal 10 3 3 6 2" xfId="2694"/>
    <cellStyle name="Normal 10 3 3 6 3" xfId="3818"/>
    <cellStyle name="Normal 10 3 3 7" xfId="1952"/>
    <cellStyle name="Normal 10 3 3 7 2" xfId="4289"/>
    <cellStyle name="Normal 10 3 3 8" xfId="2929"/>
    <cellStyle name="Normal 10 3 4" xfId="888"/>
    <cellStyle name="Normal 10 3 4 2" xfId="1280"/>
    <cellStyle name="Normal 10 3 4 2 2" xfId="2262"/>
    <cellStyle name="Normal 10 3 4 2 2 2" xfId="5132"/>
    <cellStyle name="Normal 10 3 4 2 2 3" xfId="3624"/>
    <cellStyle name="Normal 10 3 4 2 3" xfId="4030"/>
    <cellStyle name="Normal 10 3 4 2 4" xfId="4748"/>
    <cellStyle name="Normal 10 3 4 2 5" xfId="3208"/>
    <cellStyle name="Normal 10 3 4 3" xfId="1516"/>
    <cellStyle name="Normal 10 3 4 3 2" xfId="2496"/>
    <cellStyle name="Normal 10 3 4 3 2 2" xfId="5237"/>
    <cellStyle name="Normal 10 3 4 3 2 3" xfId="3729"/>
    <cellStyle name="Normal 10 3 4 3 3" xfId="4135"/>
    <cellStyle name="Normal 10 3 4 3 4" xfId="4824"/>
    <cellStyle name="Normal 10 3 4 3 5" xfId="3319"/>
    <cellStyle name="Normal 10 3 4 4" xfId="1750"/>
    <cellStyle name="Normal 10 3 4 4 2" xfId="2729"/>
    <cellStyle name="Normal 10 3 4 4 2 2" xfId="4666"/>
    <cellStyle name="Normal 10 3 4 4 3" xfId="3519"/>
    <cellStyle name="Normal 10 3 4 5" xfId="1987"/>
    <cellStyle name="Normal 10 3 4 5 2" xfId="5028"/>
    <cellStyle name="Normal 10 3 4 5 3" xfId="3925"/>
    <cellStyle name="Normal 10 3 4 6" xfId="4409"/>
    <cellStyle name="Normal 10 3 4 7" xfId="3092"/>
    <cellStyle name="Normal 10 3 5" xfId="991"/>
    <cellStyle name="Normal 10 3 5 2" xfId="1359"/>
    <cellStyle name="Normal 10 3 5 2 2" xfId="2339"/>
    <cellStyle name="Normal 10 3 5 2 2 2" xfId="5044"/>
    <cellStyle name="Normal 10 3 5 2 3" xfId="3536"/>
    <cellStyle name="Normal 10 3 5 3" xfId="1593"/>
    <cellStyle name="Normal 10 3 5 3 2" xfId="2573"/>
    <cellStyle name="Normal 10 3 5 3 3" xfId="3942"/>
    <cellStyle name="Normal 10 3 5 4" xfId="1827"/>
    <cellStyle name="Normal 10 3 5 4 2" xfId="2806"/>
    <cellStyle name="Normal 10 3 5 4 3" xfId="4513"/>
    <cellStyle name="Normal 10 3 5 5" xfId="2064"/>
    <cellStyle name="Normal 10 3 5 6" xfId="3120"/>
    <cellStyle name="Normal 10 3 6" xfId="1126"/>
    <cellStyle name="Normal 10 3 6 2" xfId="2147"/>
    <cellStyle name="Normal 10 3 6 2 2" xfId="5149"/>
    <cellStyle name="Normal 10 3 6 2 3" xfId="3641"/>
    <cellStyle name="Normal 10 3 6 3" xfId="4047"/>
    <cellStyle name="Normal 10 3 6 4" xfId="4765"/>
    <cellStyle name="Normal 10 3 6 5" xfId="3225"/>
    <cellStyle name="Normal 10 3 7" xfId="1199"/>
    <cellStyle name="Normal 10 3 7 2" xfId="2185"/>
    <cellStyle name="Normal 10 3 7 2 2" xfId="4884"/>
    <cellStyle name="Normal 10 3 7 2 3" xfId="3430"/>
    <cellStyle name="Normal 10 3 7 3" xfId="3837"/>
    <cellStyle name="Normal 10 3 7 4" xfId="4615"/>
    <cellStyle name="Normal 10 3 7 5" xfId="2970"/>
    <cellStyle name="Normal 10 3 8" xfId="1439"/>
    <cellStyle name="Normal 10 3 8 2" xfId="2419"/>
    <cellStyle name="Normal 10 3 8 2 2" xfId="4891"/>
    <cellStyle name="Normal 10 3 8 3" xfId="3358"/>
    <cellStyle name="Normal 10 3 9" xfId="1697"/>
    <cellStyle name="Normal 10 3 9 2" xfId="2677"/>
    <cellStyle name="Normal 10 3 9 3" xfId="3782"/>
    <cellStyle name="Normal 10 4" xfId="318"/>
    <cellStyle name="Normal 10 5" xfId="649"/>
    <cellStyle name="Normal 10 5 2" xfId="871"/>
    <cellStyle name="Normal 10 5 2 2" xfId="4151"/>
    <cellStyle name="Normal 10 5 3" xfId="1127"/>
    <cellStyle name="Normal 10 5 3 2" xfId="5295"/>
    <cellStyle name="Normal 10 6" xfId="1125"/>
    <cellStyle name="Normal 10 6 2" xfId="5294"/>
    <cellStyle name="Normal 100" xfId="4841"/>
    <cellStyle name="Normal 11" xfId="319"/>
    <cellStyle name="Normal 11 2" xfId="320"/>
    <cellStyle name="Normal 11 2 2" xfId="321"/>
    <cellStyle name="Normal 11 2 2 2" xfId="322"/>
    <cellStyle name="Normal 11 2 3" xfId="323"/>
    <cellStyle name="Normal 11 2 3 2" xfId="324"/>
    <cellStyle name="Normal 11 2 3 3" xfId="325"/>
    <cellStyle name="Normal 11 2 4" xfId="326"/>
    <cellStyle name="Normal 11 2 5" xfId="327"/>
    <cellStyle name="Normal 11 2 6" xfId="328"/>
    <cellStyle name="Normal 11 2 7" xfId="648"/>
    <cellStyle name="Normal 11 2 7 2" xfId="886"/>
    <cellStyle name="Normal 11 2 7 2 2" xfId="4152"/>
    <cellStyle name="Normal 11 2 7 3" xfId="1129"/>
    <cellStyle name="Normal 11 2 7 3 2" xfId="5297"/>
    <cellStyle name="Normal 11 2 8" xfId="1130"/>
    <cellStyle name="Normal 11 2 9" xfId="1128"/>
    <cellStyle name="Normal 11 2 9 2" xfId="5296"/>
    <cellStyle name="Normal 11 3" xfId="647"/>
    <cellStyle name="Normal 12" xfId="329"/>
    <cellStyle name="Normal 12 2" xfId="330"/>
    <cellStyle name="Normal 12 2 10" xfId="1698"/>
    <cellStyle name="Normal 12 2 10 2" xfId="2678"/>
    <cellStyle name="Normal 12 2 10 3" xfId="3783"/>
    <cellStyle name="Normal 12 2 11" xfId="1911"/>
    <cellStyle name="Normal 12 2 11 2" xfId="4238"/>
    <cellStyle name="Normal 12 2 12" xfId="2895"/>
    <cellStyle name="Normal 12 2 2" xfId="331"/>
    <cellStyle name="Normal 12 2 2 10" xfId="2896"/>
    <cellStyle name="Normal 12 2 2 2" xfId="847"/>
    <cellStyle name="Normal 12 2 2 2 2" xfId="953"/>
    <cellStyle name="Normal 12 2 2 2 2 2" xfId="1326"/>
    <cellStyle name="Normal 12 2 2 2 2 2 2" xfId="2306"/>
    <cellStyle name="Normal 12 2 2 2 2 2 2 2" xfId="4716"/>
    <cellStyle name="Normal 12 2 2 2 2 2 3" xfId="3592"/>
    <cellStyle name="Normal 12 2 2 2 2 3" xfId="1560"/>
    <cellStyle name="Normal 12 2 2 2 2 3 2" xfId="2540"/>
    <cellStyle name="Normal 12 2 2 2 2 3 2 2" xfId="5100"/>
    <cellStyle name="Normal 12 2 2 2 2 3 3" xfId="3998"/>
    <cellStyle name="Normal 12 2 2 2 2 4" xfId="1794"/>
    <cellStyle name="Normal 12 2 2 2 2 4 2" xfId="2773"/>
    <cellStyle name="Normal 12 2 2 2 2 4 3" xfId="4439"/>
    <cellStyle name="Normal 12 2 2 2 2 5" xfId="2031"/>
    <cellStyle name="Normal 12 2 2 2 2 6" xfId="3176"/>
    <cellStyle name="Normal 12 2 2 2 3" xfId="1035"/>
    <cellStyle name="Normal 12 2 2 2 3 2" xfId="1403"/>
    <cellStyle name="Normal 12 2 2 2 3 2 2" xfId="2383"/>
    <cellStyle name="Normal 12 2 2 2 3 2 2 2" xfId="5205"/>
    <cellStyle name="Normal 12 2 2 2 3 2 3" xfId="3697"/>
    <cellStyle name="Normal 12 2 2 2 3 3" xfId="1637"/>
    <cellStyle name="Normal 12 2 2 2 3 3 2" xfId="2617"/>
    <cellStyle name="Normal 12 2 2 2 3 3 3" xfId="4103"/>
    <cellStyle name="Normal 12 2 2 2 3 4" xfId="1871"/>
    <cellStyle name="Normal 12 2 2 2 3 4 2" xfId="2850"/>
    <cellStyle name="Normal 12 2 2 2 3 4 3" xfId="4573"/>
    <cellStyle name="Normal 12 2 2 2 3 5" xfId="2108"/>
    <cellStyle name="Normal 12 2 2 2 3 6" xfId="3283"/>
    <cellStyle name="Normal 12 2 2 2 4" xfId="1247"/>
    <cellStyle name="Normal 12 2 2 2 4 2" xfId="2229"/>
    <cellStyle name="Normal 12 2 2 2 4 2 2" xfId="4877"/>
    <cellStyle name="Normal 12 2 2 2 4 2 3" xfId="3487"/>
    <cellStyle name="Normal 12 2 2 2 4 3" xfId="3893"/>
    <cellStyle name="Normal 12 2 2 2 4 4" xfId="4639"/>
    <cellStyle name="Normal 12 2 2 2 4 5" xfId="3056"/>
    <cellStyle name="Normal 12 2 2 2 5" xfId="1483"/>
    <cellStyle name="Normal 12 2 2 2 5 2" xfId="2463"/>
    <cellStyle name="Normal 12 2 2 2 5 2 2" xfId="4938"/>
    <cellStyle name="Normal 12 2 2 2 5 3" xfId="3413"/>
    <cellStyle name="Normal 12 2 2 2 6" xfId="1717"/>
    <cellStyle name="Normal 12 2 2 2 6 2" xfId="2696"/>
    <cellStyle name="Normal 12 2 2 2 6 3" xfId="3820"/>
    <cellStyle name="Normal 12 2 2 2 7" xfId="1954"/>
    <cellStyle name="Normal 12 2 2 2 7 2" xfId="4291"/>
    <cellStyle name="Normal 12 2 2 2 8" xfId="2931"/>
    <cellStyle name="Normal 12 2 2 3" xfId="890"/>
    <cellStyle name="Normal 12 2 2 3 2" xfId="1282"/>
    <cellStyle name="Normal 12 2 2 3 2 2" xfId="2264"/>
    <cellStyle name="Normal 12 2 2 3 2 2 2" xfId="5134"/>
    <cellStyle name="Normal 12 2 2 3 2 2 3" xfId="3626"/>
    <cellStyle name="Normal 12 2 2 3 2 3" xfId="4032"/>
    <cellStyle name="Normal 12 2 2 3 2 4" xfId="4750"/>
    <cellStyle name="Normal 12 2 2 3 2 5" xfId="3210"/>
    <cellStyle name="Normal 12 2 2 3 3" xfId="1518"/>
    <cellStyle name="Normal 12 2 2 3 3 2" xfId="2498"/>
    <cellStyle name="Normal 12 2 2 3 3 2 2" xfId="5239"/>
    <cellStyle name="Normal 12 2 2 3 3 2 3" xfId="3731"/>
    <cellStyle name="Normal 12 2 2 3 3 3" xfId="4137"/>
    <cellStyle name="Normal 12 2 2 3 3 4" xfId="4826"/>
    <cellStyle name="Normal 12 2 2 3 3 5" xfId="3321"/>
    <cellStyle name="Normal 12 2 2 3 4" xfId="1752"/>
    <cellStyle name="Normal 12 2 2 3 4 2" xfId="2731"/>
    <cellStyle name="Normal 12 2 2 3 4 2 2" xfId="4668"/>
    <cellStyle name="Normal 12 2 2 3 4 3" xfId="3521"/>
    <cellStyle name="Normal 12 2 2 3 5" xfId="1989"/>
    <cellStyle name="Normal 12 2 2 3 5 2" xfId="5030"/>
    <cellStyle name="Normal 12 2 2 3 5 3" xfId="3927"/>
    <cellStyle name="Normal 12 2 2 3 6" xfId="4411"/>
    <cellStyle name="Normal 12 2 2 3 7" xfId="3094"/>
    <cellStyle name="Normal 12 2 2 4" xfId="993"/>
    <cellStyle name="Normal 12 2 2 4 2" xfId="1361"/>
    <cellStyle name="Normal 12 2 2 4 2 2" xfId="2341"/>
    <cellStyle name="Normal 12 2 2 4 2 2 2" xfId="5066"/>
    <cellStyle name="Normal 12 2 2 4 2 3" xfId="3558"/>
    <cellStyle name="Normal 12 2 2 4 3" xfId="1595"/>
    <cellStyle name="Normal 12 2 2 4 3 2" xfId="2575"/>
    <cellStyle name="Normal 12 2 2 4 3 3" xfId="3964"/>
    <cellStyle name="Normal 12 2 2 4 4" xfId="1829"/>
    <cellStyle name="Normal 12 2 2 4 4 2" xfId="2808"/>
    <cellStyle name="Normal 12 2 2 4 4 3" xfId="4515"/>
    <cellStyle name="Normal 12 2 2 4 5" xfId="2066"/>
    <cellStyle name="Normal 12 2 2 4 6" xfId="3142"/>
    <cellStyle name="Normal 12 2 2 5" xfId="1132"/>
    <cellStyle name="Normal 12 2 2 5 2" xfId="2149"/>
    <cellStyle name="Normal 12 2 2 5 2 2" xfId="5171"/>
    <cellStyle name="Normal 12 2 2 5 2 3" xfId="3663"/>
    <cellStyle name="Normal 12 2 2 5 3" xfId="4069"/>
    <cellStyle name="Normal 12 2 2 5 4" xfId="4786"/>
    <cellStyle name="Normal 12 2 2 5 5" xfId="3248"/>
    <cellStyle name="Normal 12 2 2 6" xfId="1201"/>
    <cellStyle name="Normal 12 2 2 6 2" xfId="2187"/>
    <cellStyle name="Normal 12 2 2 6 2 2" xfId="4888"/>
    <cellStyle name="Normal 12 2 2 6 2 3" xfId="3452"/>
    <cellStyle name="Normal 12 2 2 6 3" xfId="3859"/>
    <cellStyle name="Normal 12 2 2 6 4" xfId="4497"/>
    <cellStyle name="Normal 12 2 2 6 5" xfId="3008"/>
    <cellStyle name="Normal 12 2 2 7" xfId="1441"/>
    <cellStyle name="Normal 12 2 2 7 2" xfId="2421"/>
    <cellStyle name="Normal 12 2 2 7 2 2" xfId="4893"/>
    <cellStyle name="Normal 12 2 2 7 3" xfId="3360"/>
    <cellStyle name="Normal 12 2 2 8" xfId="1699"/>
    <cellStyle name="Normal 12 2 2 8 2" xfId="2679"/>
    <cellStyle name="Normal 12 2 2 8 3" xfId="3784"/>
    <cellStyle name="Normal 12 2 2 9" xfId="1912"/>
    <cellStyle name="Normal 12 2 2 9 2" xfId="4239"/>
    <cellStyle name="Normal 12 2 3" xfId="332"/>
    <cellStyle name="Normal 12 2 4" xfId="846"/>
    <cellStyle name="Normal 12 2 4 2" xfId="952"/>
    <cellStyle name="Normal 12 2 4 2 2" xfId="1325"/>
    <cellStyle name="Normal 12 2 4 2 2 2" xfId="2305"/>
    <cellStyle name="Normal 12 2 4 2 2 2 2" xfId="4715"/>
    <cellStyle name="Normal 12 2 4 2 2 3" xfId="3591"/>
    <cellStyle name="Normal 12 2 4 2 3" xfId="1559"/>
    <cellStyle name="Normal 12 2 4 2 3 2" xfId="2539"/>
    <cellStyle name="Normal 12 2 4 2 3 2 2" xfId="5099"/>
    <cellStyle name="Normal 12 2 4 2 3 3" xfId="3997"/>
    <cellStyle name="Normal 12 2 4 2 4" xfId="1793"/>
    <cellStyle name="Normal 12 2 4 2 4 2" xfId="2772"/>
    <cellStyle name="Normal 12 2 4 2 4 3" xfId="4438"/>
    <cellStyle name="Normal 12 2 4 2 5" xfId="2030"/>
    <cellStyle name="Normal 12 2 4 2 6" xfId="3175"/>
    <cellStyle name="Normal 12 2 4 3" xfId="1034"/>
    <cellStyle name="Normal 12 2 4 3 2" xfId="1402"/>
    <cellStyle name="Normal 12 2 4 3 2 2" xfId="2382"/>
    <cellStyle name="Normal 12 2 4 3 2 2 2" xfId="5204"/>
    <cellStyle name="Normal 12 2 4 3 2 3" xfId="3696"/>
    <cellStyle name="Normal 12 2 4 3 3" xfId="1636"/>
    <cellStyle name="Normal 12 2 4 3 3 2" xfId="2616"/>
    <cellStyle name="Normal 12 2 4 3 3 3" xfId="4102"/>
    <cellStyle name="Normal 12 2 4 3 4" xfId="1870"/>
    <cellStyle name="Normal 12 2 4 3 4 2" xfId="2849"/>
    <cellStyle name="Normal 12 2 4 3 4 3" xfId="4572"/>
    <cellStyle name="Normal 12 2 4 3 5" xfId="2107"/>
    <cellStyle name="Normal 12 2 4 3 6" xfId="3282"/>
    <cellStyle name="Normal 12 2 4 4" xfId="1246"/>
    <cellStyle name="Normal 12 2 4 4 2" xfId="2228"/>
    <cellStyle name="Normal 12 2 4 4 2 2" xfId="4914"/>
    <cellStyle name="Normal 12 2 4 4 2 3" xfId="3486"/>
    <cellStyle name="Normal 12 2 4 4 3" xfId="3892"/>
    <cellStyle name="Normal 12 2 4 4 4" xfId="4638"/>
    <cellStyle name="Normal 12 2 4 4 5" xfId="3055"/>
    <cellStyle name="Normal 12 2 4 5" xfId="1482"/>
    <cellStyle name="Normal 12 2 4 5 2" xfId="2462"/>
    <cellStyle name="Normal 12 2 4 5 2 2" xfId="4937"/>
    <cellStyle name="Normal 12 2 4 5 3" xfId="3412"/>
    <cellStyle name="Normal 12 2 4 6" xfId="1716"/>
    <cellStyle name="Normal 12 2 4 6 2" xfId="2695"/>
    <cellStyle name="Normal 12 2 4 6 3" xfId="3819"/>
    <cellStyle name="Normal 12 2 4 7" xfId="1953"/>
    <cellStyle name="Normal 12 2 4 7 2" xfId="4290"/>
    <cellStyle name="Normal 12 2 4 8" xfId="2930"/>
    <cellStyle name="Normal 12 2 5" xfId="889"/>
    <cellStyle name="Normal 12 2 5 2" xfId="1281"/>
    <cellStyle name="Normal 12 2 5 2 2" xfId="2263"/>
    <cellStyle name="Normal 12 2 5 2 2 2" xfId="5133"/>
    <cellStyle name="Normal 12 2 5 2 2 3" xfId="3625"/>
    <cellStyle name="Normal 12 2 5 2 3" xfId="4031"/>
    <cellStyle name="Normal 12 2 5 2 4" xfId="4749"/>
    <cellStyle name="Normal 12 2 5 2 5" xfId="3209"/>
    <cellStyle name="Normal 12 2 5 3" xfId="1517"/>
    <cellStyle name="Normal 12 2 5 3 2" xfId="2497"/>
    <cellStyle name="Normal 12 2 5 3 2 2" xfId="5238"/>
    <cellStyle name="Normal 12 2 5 3 2 3" xfId="3730"/>
    <cellStyle name="Normal 12 2 5 3 3" xfId="4136"/>
    <cellStyle name="Normal 12 2 5 3 4" xfId="4825"/>
    <cellStyle name="Normal 12 2 5 3 5" xfId="3320"/>
    <cellStyle name="Normal 12 2 5 4" xfId="1751"/>
    <cellStyle name="Normal 12 2 5 4 2" xfId="2730"/>
    <cellStyle name="Normal 12 2 5 4 2 2" xfId="4667"/>
    <cellStyle name="Normal 12 2 5 4 3" xfId="3520"/>
    <cellStyle name="Normal 12 2 5 5" xfId="1988"/>
    <cellStyle name="Normal 12 2 5 5 2" xfId="5029"/>
    <cellStyle name="Normal 12 2 5 5 3" xfId="3926"/>
    <cellStyle name="Normal 12 2 5 6" xfId="4410"/>
    <cellStyle name="Normal 12 2 5 7" xfId="3093"/>
    <cellStyle name="Normal 12 2 6" xfId="992"/>
    <cellStyle name="Normal 12 2 6 2" xfId="1360"/>
    <cellStyle name="Normal 12 2 6 2 2" xfId="2340"/>
    <cellStyle name="Normal 12 2 6 2 2 2" xfId="5045"/>
    <cellStyle name="Normal 12 2 6 2 3" xfId="3537"/>
    <cellStyle name="Normal 12 2 6 3" xfId="1594"/>
    <cellStyle name="Normal 12 2 6 3 2" xfId="2574"/>
    <cellStyle name="Normal 12 2 6 3 3" xfId="3943"/>
    <cellStyle name="Normal 12 2 6 4" xfId="1828"/>
    <cellStyle name="Normal 12 2 6 4 2" xfId="2807"/>
    <cellStyle name="Normal 12 2 6 4 3" xfId="4514"/>
    <cellStyle name="Normal 12 2 6 5" xfId="2065"/>
    <cellStyle name="Normal 12 2 6 6" xfId="3121"/>
    <cellStyle name="Normal 12 2 7" xfId="1131"/>
    <cellStyle name="Normal 12 2 7 2" xfId="2148"/>
    <cellStyle name="Normal 12 2 7 2 2" xfId="5150"/>
    <cellStyle name="Normal 12 2 7 2 3" xfId="3642"/>
    <cellStyle name="Normal 12 2 7 3" xfId="4048"/>
    <cellStyle name="Normal 12 2 7 4" xfId="4766"/>
    <cellStyle name="Normal 12 2 7 5" xfId="3226"/>
    <cellStyle name="Normal 12 2 8" xfId="1200"/>
    <cellStyle name="Normal 12 2 8 2" xfId="2186"/>
    <cellStyle name="Normal 12 2 8 2 2" xfId="4967"/>
    <cellStyle name="Normal 12 2 8 2 3" xfId="3431"/>
    <cellStyle name="Normal 12 2 8 3" xfId="3838"/>
    <cellStyle name="Normal 12 2 8 4" xfId="4616"/>
    <cellStyle name="Normal 12 2 8 5" xfId="2971"/>
    <cellStyle name="Normal 12 2 9" xfId="1440"/>
    <cellStyle name="Normal 12 2 9 2" xfId="2420"/>
    <cellStyle name="Normal 12 2 9 2 2" xfId="4892"/>
    <cellStyle name="Normal 12 2 9 3" xfId="3359"/>
    <cellStyle name="Normal 12 3" xfId="333"/>
    <cellStyle name="Normal 13" xfId="334"/>
    <cellStyle name="Normal 13 2" xfId="335"/>
    <cellStyle name="Normal 13 3" xfId="336"/>
    <cellStyle name="Normal 14" xfId="337"/>
    <cellStyle name="Normal 14 2" xfId="338"/>
    <cellStyle name="Normal 14 2 2" xfId="646"/>
    <cellStyle name="Normal 14 2 3" xfId="645"/>
    <cellStyle name="Normal 14 3" xfId="339"/>
    <cellStyle name="Normal 15" xfId="340"/>
    <cellStyle name="Normal 15 2" xfId="341"/>
    <cellStyle name="Normal 16" xfId="342"/>
    <cellStyle name="Normal 16 2" xfId="343"/>
    <cellStyle name="Normal 16 2 10" xfId="1700"/>
    <cellStyle name="Normal 16 2 10 2" xfId="2680"/>
    <cellStyle name="Normal 16 2 10 3" xfId="5420"/>
    <cellStyle name="Normal 16 2 11" xfId="1913"/>
    <cellStyle name="Normal 16 2 2" xfId="644"/>
    <cellStyle name="Normal 16 2 2 10" xfId="2897"/>
    <cellStyle name="Normal 16 2 2 2" xfId="914"/>
    <cellStyle name="Normal 16 2 2 2 2" xfId="1293"/>
    <cellStyle name="Normal 16 2 2 2 2 2" xfId="2275"/>
    <cellStyle name="Normal 16 2 2 2 2 2 2" xfId="5101"/>
    <cellStyle name="Normal 16 2 2 2 2 2 3" xfId="3593"/>
    <cellStyle name="Normal 16 2 2 2 2 3" xfId="3999"/>
    <cellStyle name="Normal 16 2 2 2 2 4" xfId="4717"/>
    <cellStyle name="Normal 16 2 2 2 2 5" xfId="3177"/>
    <cellStyle name="Normal 16 2 2 2 3" xfId="1529"/>
    <cellStyle name="Normal 16 2 2 2 3 2" xfId="2509"/>
    <cellStyle name="Normal 16 2 2 2 3 2 2" xfId="5206"/>
    <cellStyle name="Normal 16 2 2 2 3 2 3" xfId="3698"/>
    <cellStyle name="Normal 16 2 2 2 3 3" xfId="4104"/>
    <cellStyle name="Normal 16 2 2 2 3 4" xfId="4803"/>
    <cellStyle name="Normal 16 2 2 2 3 5" xfId="3284"/>
    <cellStyle name="Normal 16 2 2 2 4" xfId="1763"/>
    <cellStyle name="Normal 16 2 2 2 4 2" xfId="2742"/>
    <cellStyle name="Normal 16 2 2 2 4 2 2" xfId="5000"/>
    <cellStyle name="Normal 16 2 2 2 4 2 3" xfId="3488"/>
    <cellStyle name="Normal 16 2 2 2 4 3" xfId="3894"/>
    <cellStyle name="Normal 16 2 2 2 4 4" xfId="4640"/>
    <cellStyle name="Normal 16 2 2 2 4 5" xfId="3057"/>
    <cellStyle name="Normal 16 2 2 2 5" xfId="2000"/>
    <cellStyle name="Normal 16 2 2 2 5 2" xfId="4468"/>
    <cellStyle name="Normal 16 2 2 2 5 3" xfId="3414"/>
    <cellStyle name="Normal 16 2 2 2 6" xfId="3821"/>
    <cellStyle name="Normal 16 2 2 2 6 2" xfId="4917"/>
    <cellStyle name="Normal 16 2 2 2 7" xfId="4440"/>
    <cellStyle name="Normal 16 2 2 2 8" xfId="2932"/>
    <cellStyle name="Normal 16 2 2 3" xfId="1004"/>
    <cellStyle name="Normal 16 2 2 3 2" xfId="1372"/>
    <cellStyle name="Normal 16 2 2 3 2 2" xfId="2352"/>
    <cellStyle name="Normal 16 2 2 3 2 2 2" xfId="5135"/>
    <cellStyle name="Normal 16 2 2 3 2 2 3" xfId="3627"/>
    <cellStyle name="Normal 16 2 2 3 2 3" xfId="4033"/>
    <cellStyle name="Normal 16 2 2 3 2 4" xfId="4751"/>
    <cellStyle name="Normal 16 2 2 3 2 5" xfId="3211"/>
    <cellStyle name="Normal 16 2 2 3 3" xfId="1606"/>
    <cellStyle name="Normal 16 2 2 3 3 2" xfId="2586"/>
    <cellStyle name="Normal 16 2 2 3 3 2 2" xfId="5240"/>
    <cellStyle name="Normal 16 2 2 3 3 2 3" xfId="3732"/>
    <cellStyle name="Normal 16 2 2 3 3 3" xfId="4138"/>
    <cellStyle name="Normal 16 2 2 3 3 4" xfId="4827"/>
    <cellStyle name="Normal 16 2 2 3 3 5" xfId="3322"/>
    <cellStyle name="Normal 16 2 2 3 4" xfId="1840"/>
    <cellStyle name="Normal 16 2 2 3 4 2" xfId="2819"/>
    <cellStyle name="Normal 16 2 2 3 4 2 2" xfId="5031"/>
    <cellStyle name="Normal 16 2 2 3 4 3" xfId="3522"/>
    <cellStyle name="Normal 16 2 2 3 5" xfId="2077"/>
    <cellStyle name="Normal 16 2 2 3 5 2" xfId="3928"/>
    <cellStyle name="Normal 16 2 2 3 6" xfId="4574"/>
    <cellStyle name="Normal 16 2 2 3 7" xfId="3095"/>
    <cellStyle name="Normal 16 2 2 4" xfId="1134"/>
    <cellStyle name="Normal 16 2 2 4 2" xfId="2151"/>
    <cellStyle name="Normal 16 2 2 4 2 2" xfId="5067"/>
    <cellStyle name="Normal 16 2 2 4 2 3" xfId="3559"/>
    <cellStyle name="Normal 16 2 2 4 3" xfId="3965"/>
    <cellStyle name="Normal 16 2 2 4 4" xfId="4690"/>
    <cellStyle name="Normal 16 2 2 4 5" xfId="3143"/>
    <cellStyle name="Normal 16 2 2 5" xfId="1213"/>
    <cellStyle name="Normal 16 2 2 5 2" xfId="2198"/>
    <cellStyle name="Normal 16 2 2 5 2 2" xfId="5172"/>
    <cellStyle name="Normal 16 2 2 5 2 3" xfId="3664"/>
    <cellStyle name="Normal 16 2 2 5 3" xfId="4070"/>
    <cellStyle name="Normal 16 2 2 5 4" xfId="4787"/>
    <cellStyle name="Normal 16 2 2 5 5" xfId="3249"/>
    <cellStyle name="Normal 16 2 2 6" xfId="1452"/>
    <cellStyle name="Normal 16 2 2 6 2" xfId="2432"/>
    <cellStyle name="Normal 16 2 2 6 2 2" xfId="4910"/>
    <cellStyle name="Normal 16 2 2 6 2 3" xfId="3453"/>
    <cellStyle name="Normal 16 2 2 6 3" xfId="3860"/>
    <cellStyle name="Normal 16 2 2 6 4" xfId="4546"/>
    <cellStyle name="Normal 16 2 2 6 5" xfId="3009"/>
    <cellStyle name="Normal 16 2 2 7" xfId="1701"/>
    <cellStyle name="Normal 16 2 2 7 2" xfId="2681"/>
    <cellStyle name="Normal 16 2 2 7 2 2" xfId="4939"/>
    <cellStyle name="Normal 16 2 2 7 3" xfId="3361"/>
    <cellStyle name="Normal 16 2 2 8" xfId="1923"/>
    <cellStyle name="Normal 16 2 2 8 2" xfId="3786"/>
    <cellStyle name="Normal 16 2 2 9" xfId="4292"/>
    <cellStyle name="Normal 16 2 3" xfId="643"/>
    <cellStyle name="Normal 16 2 4" xfId="848"/>
    <cellStyle name="Normal 16 2 4 2" xfId="954"/>
    <cellStyle name="Normal 16 2 4 2 2" xfId="1327"/>
    <cellStyle name="Normal 16 2 4 2 2 2" xfId="2307"/>
    <cellStyle name="Normal 16 2 4 2 2 3" xfId="5350"/>
    <cellStyle name="Normal 16 2 4 2 3" xfId="1561"/>
    <cellStyle name="Normal 16 2 4 2 3 2" xfId="2541"/>
    <cellStyle name="Normal 16 2 4 2 3 3" xfId="5389"/>
    <cellStyle name="Normal 16 2 4 2 4" xfId="1795"/>
    <cellStyle name="Normal 16 2 4 2 4 2" xfId="2774"/>
    <cellStyle name="Normal 16 2 4 2 4 3" xfId="5439"/>
    <cellStyle name="Normal 16 2 4 2 5" xfId="2032"/>
    <cellStyle name="Normal 16 2 4 2 6" xfId="5262"/>
    <cellStyle name="Normal 16 2 4 3" xfId="1036"/>
    <cellStyle name="Normal 16 2 4 3 2" xfId="1404"/>
    <cellStyle name="Normal 16 2 4 3 2 2" xfId="2384"/>
    <cellStyle name="Normal 16 2 4 3 2 3" xfId="5364"/>
    <cellStyle name="Normal 16 2 4 3 3" xfId="1638"/>
    <cellStyle name="Normal 16 2 4 3 3 2" xfId="2618"/>
    <cellStyle name="Normal 16 2 4 3 3 3" xfId="5404"/>
    <cellStyle name="Normal 16 2 4 3 4" xfId="1872"/>
    <cellStyle name="Normal 16 2 4 3 4 2" xfId="2851"/>
    <cellStyle name="Normal 16 2 4 3 4 3" xfId="5460"/>
    <cellStyle name="Normal 16 2 4 3 5" xfId="2109"/>
    <cellStyle name="Normal 16 2 4 3 6" xfId="5274"/>
    <cellStyle name="Normal 16 2 4 4" xfId="1248"/>
    <cellStyle name="Normal 16 2 4 4 2" xfId="2230"/>
    <cellStyle name="Normal 16 2 4 4 3" xfId="5335"/>
    <cellStyle name="Normal 16 2 4 5" xfId="1484"/>
    <cellStyle name="Normal 16 2 4 5 2" xfId="2464"/>
    <cellStyle name="Normal 16 2 4 5 3" xfId="5377"/>
    <cellStyle name="Normal 16 2 4 6" xfId="1718"/>
    <cellStyle name="Normal 16 2 4 6 2" xfId="2697"/>
    <cellStyle name="Normal 16 2 4 6 3" xfId="5424"/>
    <cellStyle name="Normal 16 2 4 7" xfId="1955"/>
    <cellStyle name="Normal 16 2 4 8" xfId="4412"/>
    <cellStyle name="Normal 16 2 5" xfId="892"/>
    <cellStyle name="Normal 16 2 5 2" xfId="1283"/>
    <cellStyle name="Normal 16 2 5 2 2" xfId="2265"/>
    <cellStyle name="Normal 16 2 5 2 3" xfId="5343"/>
    <cellStyle name="Normal 16 2 5 3" xfId="1519"/>
    <cellStyle name="Normal 16 2 5 3 2" xfId="2499"/>
    <cellStyle name="Normal 16 2 5 3 3" xfId="5384"/>
    <cellStyle name="Normal 16 2 5 4" xfId="1753"/>
    <cellStyle name="Normal 16 2 5 4 2" xfId="2732"/>
    <cellStyle name="Normal 16 2 5 4 3" xfId="5431"/>
    <cellStyle name="Normal 16 2 5 5" xfId="1990"/>
    <cellStyle name="Normal 16 2 5 6" xfId="4516"/>
    <cellStyle name="Normal 16 2 6" xfId="994"/>
    <cellStyle name="Normal 16 2 6 2" xfId="1362"/>
    <cellStyle name="Normal 16 2 6 2 2" xfId="2342"/>
    <cellStyle name="Normal 16 2 6 2 3" xfId="5357"/>
    <cellStyle name="Normal 16 2 6 3" xfId="1596"/>
    <cellStyle name="Normal 16 2 6 3 2" xfId="2576"/>
    <cellStyle name="Normal 16 2 6 3 3" xfId="5397"/>
    <cellStyle name="Normal 16 2 6 4" xfId="1830"/>
    <cellStyle name="Normal 16 2 6 4 2" xfId="2809"/>
    <cellStyle name="Normal 16 2 6 4 3" xfId="5450"/>
    <cellStyle name="Normal 16 2 6 5" xfId="2067"/>
    <cellStyle name="Normal 16 2 6 6" xfId="4894"/>
    <cellStyle name="Normal 16 2 7" xfId="1133"/>
    <cellStyle name="Normal 16 2 7 2" xfId="2150"/>
    <cellStyle name="Normal 16 2 7 3" xfId="4240"/>
    <cellStyle name="Normal 16 2 8" xfId="1202"/>
    <cellStyle name="Normal 16 2 8 2" xfId="2188"/>
    <cellStyle name="Normal 16 2 8 3" xfId="5325"/>
    <cellStyle name="Normal 16 2 9" xfId="1442"/>
    <cellStyle name="Normal 16 2 9 2" xfId="2422"/>
    <cellStyle name="Normal 16 2 9 3" xfId="5372"/>
    <cellStyle name="Normal 16 3" xfId="344"/>
    <cellStyle name="Normal 16 4" xfId="345"/>
    <cellStyle name="Normal 16 4 10" xfId="2898"/>
    <cellStyle name="Normal 16 4 2" xfId="849"/>
    <cellStyle name="Normal 16 4 2 2" xfId="955"/>
    <cellStyle name="Normal 16 4 2 2 2" xfId="1328"/>
    <cellStyle name="Normal 16 4 2 2 2 2" xfId="2308"/>
    <cellStyle name="Normal 16 4 2 2 2 2 2" xfId="4718"/>
    <cellStyle name="Normal 16 4 2 2 2 3" xfId="3594"/>
    <cellStyle name="Normal 16 4 2 2 3" xfId="1562"/>
    <cellStyle name="Normal 16 4 2 2 3 2" xfId="2542"/>
    <cellStyle name="Normal 16 4 2 2 3 2 2" xfId="5102"/>
    <cellStyle name="Normal 16 4 2 2 3 3" xfId="4000"/>
    <cellStyle name="Normal 16 4 2 2 4" xfId="1796"/>
    <cellStyle name="Normal 16 4 2 2 4 2" xfId="2775"/>
    <cellStyle name="Normal 16 4 2 2 4 3" xfId="4441"/>
    <cellStyle name="Normal 16 4 2 2 5" xfId="2033"/>
    <cellStyle name="Normal 16 4 2 2 6" xfId="3178"/>
    <cellStyle name="Normal 16 4 2 3" xfId="1037"/>
    <cellStyle name="Normal 16 4 2 3 2" xfId="1405"/>
    <cellStyle name="Normal 16 4 2 3 2 2" xfId="2385"/>
    <cellStyle name="Normal 16 4 2 3 2 2 2" xfId="5207"/>
    <cellStyle name="Normal 16 4 2 3 2 3" xfId="3699"/>
    <cellStyle name="Normal 16 4 2 3 3" xfId="1639"/>
    <cellStyle name="Normal 16 4 2 3 3 2" xfId="2619"/>
    <cellStyle name="Normal 16 4 2 3 3 3" xfId="4105"/>
    <cellStyle name="Normal 16 4 2 3 4" xfId="1873"/>
    <cellStyle name="Normal 16 4 2 3 4 2" xfId="2852"/>
    <cellStyle name="Normal 16 4 2 3 4 3" xfId="4575"/>
    <cellStyle name="Normal 16 4 2 3 5" xfId="2110"/>
    <cellStyle name="Normal 16 4 2 3 6" xfId="3285"/>
    <cellStyle name="Normal 16 4 2 4" xfId="1249"/>
    <cellStyle name="Normal 16 4 2 4 2" xfId="2231"/>
    <cellStyle name="Normal 16 4 2 4 2 2" xfId="5001"/>
    <cellStyle name="Normal 16 4 2 4 2 3" xfId="3489"/>
    <cellStyle name="Normal 16 4 2 4 3" xfId="3895"/>
    <cellStyle name="Normal 16 4 2 4 4" xfId="4641"/>
    <cellStyle name="Normal 16 4 2 4 5" xfId="3058"/>
    <cellStyle name="Normal 16 4 2 5" xfId="1485"/>
    <cellStyle name="Normal 16 4 2 5 2" xfId="2465"/>
    <cellStyle name="Normal 16 4 2 5 2 2" xfId="4940"/>
    <cellStyle name="Normal 16 4 2 5 3" xfId="3415"/>
    <cellStyle name="Normal 16 4 2 6" xfId="1719"/>
    <cellStyle name="Normal 16 4 2 6 2" xfId="2698"/>
    <cellStyle name="Normal 16 4 2 6 3" xfId="3822"/>
    <cellStyle name="Normal 16 4 2 7" xfId="1956"/>
    <cellStyle name="Normal 16 4 2 7 2" xfId="4293"/>
    <cellStyle name="Normal 16 4 2 8" xfId="2933"/>
    <cellStyle name="Normal 16 4 3" xfId="893"/>
    <cellStyle name="Normal 16 4 3 2" xfId="1284"/>
    <cellStyle name="Normal 16 4 3 2 2" xfId="2266"/>
    <cellStyle name="Normal 16 4 3 2 2 2" xfId="5136"/>
    <cellStyle name="Normal 16 4 3 2 2 3" xfId="3628"/>
    <cellStyle name="Normal 16 4 3 2 3" xfId="4034"/>
    <cellStyle name="Normal 16 4 3 2 4" xfId="4752"/>
    <cellStyle name="Normal 16 4 3 2 5" xfId="3212"/>
    <cellStyle name="Normal 16 4 3 3" xfId="1520"/>
    <cellStyle name="Normal 16 4 3 3 2" xfId="2500"/>
    <cellStyle name="Normal 16 4 3 3 2 2" xfId="5241"/>
    <cellStyle name="Normal 16 4 3 3 2 3" xfId="3733"/>
    <cellStyle name="Normal 16 4 3 3 3" xfId="4139"/>
    <cellStyle name="Normal 16 4 3 3 4" xfId="4828"/>
    <cellStyle name="Normal 16 4 3 3 5" xfId="3323"/>
    <cellStyle name="Normal 16 4 3 4" xfId="1754"/>
    <cellStyle name="Normal 16 4 3 4 2" xfId="2733"/>
    <cellStyle name="Normal 16 4 3 4 2 2" xfId="4669"/>
    <cellStyle name="Normal 16 4 3 4 3" xfId="3523"/>
    <cellStyle name="Normal 16 4 3 5" xfId="1991"/>
    <cellStyle name="Normal 16 4 3 5 2" xfId="5032"/>
    <cellStyle name="Normal 16 4 3 5 3" xfId="3929"/>
    <cellStyle name="Normal 16 4 3 6" xfId="4413"/>
    <cellStyle name="Normal 16 4 3 7" xfId="3096"/>
    <cellStyle name="Normal 16 4 4" xfId="995"/>
    <cellStyle name="Normal 16 4 4 2" xfId="1363"/>
    <cellStyle name="Normal 16 4 4 2 2" xfId="2343"/>
    <cellStyle name="Normal 16 4 4 2 2 2" xfId="5068"/>
    <cellStyle name="Normal 16 4 4 2 3" xfId="3560"/>
    <cellStyle name="Normal 16 4 4 3" xfId="1597"/>
    <cellStyle name="Normal 16 4 4 3 2" xfId="2577"/>
    <cellStyle name="Normal 16 4 4 3 3" xfId="3966"/>
    <cellStyle name="Normal 16 4 4 4" xfId="1831"/>
    <cellStyle name="Normal 16 4 4 4 2" xfId="2810"/>
    <cellStyle name="Normal 16 4 4 4 3" xfId="4517"/>
    <cellStyle name="Normal 16 4 4 5" xfId="2068"/>
    <cellStyle name="Normal 16 4 4 6" xfId="3144"/>
    <cellStyle name="Normal 16 4 5" xfId="1135"/>
    <cellStyle name="Normal 16 4 5 2" xfId="2152"/>
    <cellStyle name="Normal 16 4 5 2 2" xfId="5173"/>
    <cellStyle name="Normal 16 4 5 2 3" xfId="3665"/>
    <cellStyle name="Normal 16 4 5 3" xfId="4071"/>
    <cellStyle name="Normal 16 4 5 4" xfId="4788"/>
    <cellStyle name="Normal 16 4 5 5" xfId="3250"/>
    <cellStyle name="Normal 16 4 6" xfId="1203"/>
    <cellStyle name="Normal 16 4 6 2" xfId="2189"/>
    <cellStyle name="Normal 16 4 6 2 2" xfId="4992"/>
    <cellStyle name="Normal 16 4 6 2 3" xfId="3454"/>
    <cellStyle name="Normal 16 4 6 3" xfId="3861"/>
    <cellStyle name="Normal 16 4 6 4" xfId="4547"/>
    <cellStyle name="Normal 16 4 6 5" xfId="3010"/>
    <cellStyle name="Normal 16 4 7" xfId="1443"/>
    <cellStyle name="Normal 16 4 7 2" xfId="2423"/>
    <cellStyle name="Normal 16 4 7 2 2" xfId="4895"/>
    <cellStyle name="Normal 16 4 7 3" xfId="3362"/>
    <cellStyle name="Normal 16 4 8" xfId="1702"/>
    <cellStyle name="Normal 16 4 8 2" xfId="2682"/>
    <cellStyle name="Normal 16 4 8 3" xfId="3787"/>
    <cellStyle name="Normal 16 4 9" xfId="1914"/>
    <cellStyle name="Normal 16 4 9 2" xfId="4241"/>
    <cellStyle name="Normal 17" xfId="346"/>
    <cellStyle name="Normal 17 2" xfId="347"/>
    <cellStyle name="Normal 17 3" xfId="348"/>
    <cellStyle name="Normal 18" xfId="349"/>
    <cellStyle name="Normal 18 2" xfId="642"/>
    <cellStyle name="Normal 19" xfId="350"/>
    <cellStyle name="Normal 19 2" xfId="641"/>
    <cellStyle name="Normal 2" xfId="3"/>
    <cellStyle name="Normal 2 10" xfId="352"/>
    <cellStyle name="Normal 2 10 2" xfId="965"/>
    <cellStyle name="Normal 2 10 2 2" xfId="4153"/>
    <cellStyle name="Normal 2 10 3" xfId="923"/>
    <cellStyle name="Normal 2 10 3 2" xfId="1300"/>
    <cellStyle name="Normal 2 10 3 2 2" xfId="5345"/>
    <cellStyle name="Normal 2 10 4" xfId="1137"/>
    <cellStyle name="Normal 2 10 4 2" xfId="5299"/>
    <cellStyle name="Normal 2 11" xfId="640"/>
    <cellStyle name="Normal 2 11 2" xfId="910"/>
    <cellStyle name="Normal 2 11 3" xfId="1212"/>
    <cellStyle name="Normal 2 11 3 2" xfId="5327"/>
    <cellStyle name="Normal 2 12" xfId="1136"/>
    <cellStyle name="Normal 2 12 2" xfId="3382"/>
    <cellStyle name="Normal 2 12 3" xfId="5298"/>
    <cellStyle name="Normal 2 2" xfId="353"/>
    <cellStyle name="Normal 2 2 2" xfId="354"/>
    <cellStyle name="Normal 2 2 2 2" xfId="355"/>
    <cellStyle name="Normal 2 2 2 2 2" xfId="356"/>
    <cellStyle name="Normal 2 2 2 2 2 2" xfId="639"/>
    <cellStyle name="Normal 2 2 2 2 3" xfId="357"/>
    <cellStyle name="Normal 2 2 2 2 3 2" xfId="358"/>
    <cellStyle name="Normal 2 2 2 2 3 2 2" xfId="638"/>
    <cellStyle name="Normal 2 2 2 2 3 3" xfId="637"/>
    <cellStyle name="Normal 2 2 2 2 4" xfId="359"/>
    <cellStyle name="Normal 2 2 2 2 4 2" xfId="636"/>
    <cellStyle name="Normal 2 2 2 2 5" xfId="360"/>
    <cellStyle name="Normal 2 2 2 2 5 2" xfId="361"/>
    <cellStyle name="Normal 2 2 2 2 5 2 2" xfId="634"/>
    <cellStyle name="Normal 2 2 2 2 5 3" xfId="635"/>
    <cellStyle name="Normal 2 2 2 2 5 3 2" xfId="895"/>
    <cellStyle name="Normal 2 2 2 2 5 3 2 2" xfId="4154"/>
    <cellStyle name="Normal 2 2 2 2 5 3 3" xfId="1139"/>
    <cellStyle name="Normal 2 2 2 2 5 3 3 2" xfId="5301"/>
    <cellStyle name="Normal 2 2 2 2 5 4" xfId="1138"/>
    <cellStyle name="Normal 2 2 2 2 5 4 2" xfId="5300"/>
    <cellStyle name="Normal 2 2 2 2 6" xfId="633"/>
    <cellStyle name="Normal 2 2 2 3" xfId="362"/>
    <cellStyle name="Normal 2 2 2 3 2" xfId="632"/>
    <cellStyle name="Normal 2 2 2 4" xfId="363"/>
    <cellStyle name="Normal 2 2 2 4 2" xfId="631"/>
    <cellStyle name="Normal 2 2 2 5" xfId="364"/>
    <cellStyle name="Normal 2 2 2 5 2" xfId="365"/>
    <cellStyle name="Normal 2 2 2 5 2 2" xfId="629"/>
    <cellStyle name="Normal 2 2 2 5 3" xfId="366"/>
    <cellStyle name="Normal 2 2 2 5 4" xfId="367"/>
    <cellStyle name="Normal 2 2 2 5 5" xfId="630"/>
    <cellStyle name="Normal 2 2 2 5 5 2" xfId="894"/>
    <cellStyle name="Normal 2 2 2 5 5 2 2" xfId="4155"/>
    <cellStyle name="Normal 2 2 2 5 5 3" xfId="1141"/>
    <cellStyle name="Normal 2 2 2 5 5 3 2" xfId="5303"/>
    <cellStyle name="Normal 2 2 2 5 6" xfId="1140"/>
    <cellStyle name="Normal 2 2 2 5 6 2" xfId="5302"/>
    <cellStyle name="Normal 2 2 2 6" xfId="368"/>
    <cellStyle name="Normal 2 2 2 6 2" xfId="628"/>
    <cellStyle name="Normal 2 2 2 7" xfId="2972"/>
    <cellStyle name="Normal 2 2 3" xfId="369"/>
    <cellStyle name="Normal 2 2 3 2" xfId="370"/>
    <cellStyle name="Normal 2 2 3 2 2" xfId="627"/>
    <cellStyle name="Normal 2 2 3 3" xfId="371"/>
    <cellStyle name="Normal 2 2 3 3 2" xfId="626"/>
    <cellStyle name="Normal 2 2 3 4" xfId="372"/>
    <cellStyle name="Normal 2 2 3 5" xfId="625"/>
    <cellStyle name="Normal 2 2 3 5 2" xfId="624"/>
    <cellStyle name="Normal 2 2 3 5 3" xfId="3011"/>
    <cellStyle name="Normal 2 2 3 5 4" xfId="2973"/>
    <cellStyle name="Normal 2 2 3 6" xfId="623"/>
    <cellStyle name="Normal 2 2 3 7" xfId="622"/>
    <cellStyle name="Normal 2 2 4" xfId="373"/>
    <cellStyle name="Normal 2 2 4 2" xfId="621"/>
    <cellStyle name="Normal 2 2 5" xfId="374"/>
    <cellStyle name="Normal 2 2 5 2" xfId="620"/>
    <cellStyle name="Normal 2 2 6" xfId="375"/>
    <cellStyle name="Normal 2 2 7" xfId="376"/>
    <cellStyle name="Normal 2 3" xfId="377"/>
    <cellStyle name="Normal 2 3 2" xfId="378"/>
    <cellStyle name="Normal 2 3 2 2" xfId="379"/>
    <cellStyle name="Normal 2 3 2 3" xfId="380"/>
    <cellStyle name="Normal 2 3 2 4" xfId="2974"/>
    <cellStyle name="Normal 2 3 3" xfId="381"/>
    <cellStyle name="Normal 2 3 3 2" xfId="382"/>
    <cellStyle name="Normal 2 3 3 3" xfId="383"/>
    <cellStyle name="Normal 2 3 4" xfId="384"/>
    <cellStyle name="Normal 2 3 4 2" xfId="385"/>
    <cellStyle name="Normal 2 3 4 3" xfId="386"/>
    <cellStyle name="Normal 2 3 5" xfId="387"/>
    <cellStyle name="Normal 2 3 5 2" xfId="388"/>
    <cellStyle name="Normal 2 3 5 3" xfId="389"/>
    <cellStyle name="Normal 2 3 6" xfId="390"/>
    <cellStyle name="Normal 2 4" xfId="391"/>
    <cellStyle name="Normal 2 4 2" xfId="392"/>
    <cellStyle name="Normal 2 4 2 2" xfId="393"/>
    <cellStyle name="Normal 2 4 2 3" xfId="394"/>
    <cellStyle name="Normal 2 4 3" xfId="395"/>
    <cellStyle name="Normal 2 4 3 2" xfId="396"/>
    <cellStyle name="Normal 2 4 4" xfId="397"/>
    <cellStyle name="Normal 2 4 4 2" xfId="619"/>
    <cellStyle name="Normal 2 4 4 2 2" xfId="4377"/>
    <cellStyle name="Normal 2 4 4 2 3" xfId="4242"/>
    <cellStyle name="Normal 2 4 4 3" xfId="618"/>
    <cellStyle name="Normal 2 4 4 3 2" xfId="4243"/>
    <cellStyle name="Normal 2 4 4 4" xfId="4879"/>
    <cellStyle name="Normal 2 4 5" xfId="398"/>
    <cellStyle name="Normal 2 4 5 2" xfId="3012"/>
    <cellStyle name="Normal 2 4 5 3" xfId="2975"/>
    <cellStyle name="Normal 2 5" xfId="399"/>
    <cellStyle name="Normal 2 5 2" xfId="400"/>
    <cellStyle name="Normal 2 5 2 2" xfId="616"/>
    <cellStyle name="Normal 2 5 3" xfId="401"/>
    <cellStyle name="Normal 2 5 4" xfId="402"/>
    <cellStyle name="Normal 2 5 5" xfId="403"/>
    <cellStyle name="Normal 2 5 6" xfId="617"/>
    <cellStyle name="Normal 2 5 6 2" xfId="929"/>
    <cellStyle name="Normal 2 5 6 2 2" xfId="4156"/>
    <cellStyle name="Normal 2 5 6 3" xfId="1143"/>
    <cellStyle name="Normal 2 5 6 3 2" xfId="5305"/>
    <cellStyle name="Normal 2 5 7" xfId="1142"/>
    <cellStyle name="Normal 2 5 7 2" xfId="5304"/>
    <cellStyle name="Normal 2 6" xfId="404"/>
    <cellStyle name="Normal 2 6 10" xfId="1204"/>
    <cellStyle name="Normal 2 6 10 2" xfId="2190"/>
    <cellStyle name="Normal 2 6 10 2 2" xfId="4962"/>
    <cellStyle name="Normal 2 6 10 2 3" xfId="3432"/>
    <cellStyle name="Normal 2 6 10 3" xfId="3839"/>
    <cellStyle name="Normal 2 6 10 4" xfId="4503"/>
    <cellStyle name="Normal 2 6 10 5" xfId="2976"/>
    <cellStyle name="Normal 2 6 11" xfId="1444"/>
    <cellStyle name="Normal 2 6 11 2" xfId="2424"/>
    <cellStyle name="Normal 2 6 11 2 2" xfId="4900"/>
    <cellStyle name="Normal 2 6 11 3" xfId="3363"/>
    <cellStyle name="Normal 2 6 12" xfId="1703"/>
    <cellStyle name="Normal 2 6 12 2" xfId="2683"/>
    <cellStyle name="Normal 2 6 12 3" xfId="3788"/>
    <cellStyle name="Normal 2 6 13" xfId="1915"/>
    <cellStyle name="Normal 2 6 13 2" xfId="4244"/>
    <cellStyle name="Normal 2 6 14" xfId="2899"/>
    <cellStyle name="Normal 2 6 2" xfId="405"/>
    <cellStyle name="Normal 2 6 2 10" xfId="2900"/>
    <cellStyle name="Normal 2 6 2 2" xfId="851"/>
    <cellStyle name="Normal 2 6 2 2 2" xfId="957"/>
    <cellStyle name="Normal 2 6 2 2 2 2" xfId="1330"/>
    <cellStyle name="Normal 2 6 2 2 2 2 2" xfId="2310"/>
    <cellStyle name="Normal 2 6 2 2 2 2 2 2" xfId="4720"/>
    <cellStyle name="Normal 2 6 2 2 2 2 3" xfId="3596"/>
    <cellStyle name="Normal 2 6 2 2 2 3" xfId="1564"/>
    <cellStyle name="Normal 2 6 2 2 2 3 2" xfId="2544"/>
    <cellStyle name="Normal 2 6 2 2 2 3 2 2" xfId="5104"/>
    <cellStyle name="Normal 2 6 2 2 2 3 3" xfId="4002"/>
    <cellStyle name="Normal 2 6 2 2 2 4" xfId="1798"/>
    <cellStyle name="Normal 2 6 2 2 2 4 2" xfId="2777"/>
    <cellStyle name="Normal 2 6 2 2 2 4 3" xfId="4443"/>
    <cellStyle name="Normal 2 6 2 2 2 5" xfId="2035"/>
    <cellStyle name="Normal 2 6 2 2 2 6" xfId="3180"/>
    <cellStyle name="Normal 2 6 2 2 3" xfId="1039"/>
    <cellStyle name="Normal 2 6 2 2 3 2" xfId="1407"/>
    <cellStyle name="Normal 2 6 2 2 3 2 2" xfId="2387"/>
    <cellStyle name="Normal 2 6 2 2 3 2 2 2" xfId="5209"/>
    <cellStyle name="Normal 2 6 2 2 3 2 3" xfId="3701"/>
    <cellStyle name="Normal 2 6 2 2 3 3" xfId="1641"/>
    <cellStyle name="Normal 2 6 2 2 3 3 2" xfId="2621"/>
    <cellStyle name="Normal 2 6 2 2 3 3 3" xfId="4107"/>
    <cellStyle name="Normal 2 6 2 2 3 4" xfId="1875"/>
    <cellStyle name="Normal 2 6 2 2 3 4 2" xfId="2854"/>
    <cellStyle name="Normal 2 6 2 2 3 4 3" xfId="4577"/>
    <cellStyle name="Normal 2 6 2 2 3 5" xfId="2112"/>
    <cellStyle name="Normal 2 6 2 2 3 6" xfId="3287"/>
    <cellStyle name="Normal 2 6 2 2 4" xfId="1251"/>
    <cellStyle name="Normal 2 6 2 2 4 2" xfId="2233"/>
    <cellStyle name="Normal 2 6 2 2 4 2 2" xfId="5003"/>
    <cellStyle name="Normal 2 6 2 2 4 2 3" xfId="3491"/>
    <cellStyle name="Normal 2 6 2 2 4 3" xfId="3897"/>
    <cellStyle name="Normal 2 6 2 2 4 4" xfId="4643"/>
    <cellStyle name="Normal 2 6 2 2 4 5" xfId="3060"/>
    <cellStyle name="Normal 2 6 2 2 5" xfId="1487"/>
    <cellStyle name="Normal 2 6 2 2 5 2" xfId="2467"/>
    <cellStyle name="Normal 2 6 2 2 5 2 2" xfId="4942"/>
    <cellStyle name="Normal 2 6 2 2 5 3" xfId="3417"/>
    <cellStyle name="Normal 2 6 2 2 6" xfId="1721"/>
    <cellStyle name="Normal 2 6 2 2 6 2" xfId="2700"/>
    <cellStyle name="Normal 2 6 2 2 6 3" xfId="3824"/>
    <cellStyle name="Normal 2 6 2 2 7" xfId="1958"/>
    <cellStyle name="Normal 2 6 2 2 7 2" xfId="4295"/>
    <cellStyle name="Normal 2 6 2 2 8" xfId="2935"/>
    <cellStyle name="Normal 2 6 2 3" xfId="898"/>
    <cellStyle name="Normal 2 6 2 3 2" xfId="1286"/>
    <cellStyle name="Normal 2 6 2 3 2 2" xfId="2268"/>
    <cellStyle name="Normal 2 6 2 3 2 2 2" xfId="5138"/>
    <cellStyle name="Normal 2 6 2 3 2 2 3" xfId="3630"/>
    <cellStyle name="Normal 2 6 2 3 2 3" xfId="4036"/>
    <cellStyle name="Normal 2 6 2 3 2 4" xfId="4754"/>
    <cellStyle name="Normal 2 6 2 3 2 5" xfId="3214"/>
    <cellStyle name="Normal 2 6 2 3 3" xfId="1522"/>
    <cellStyle name="Normal 2 6 2 3 3 2" xfId="2502"/>
    <cellStyle name="Normal 2 6 2 3 3 2 2" xfId="5243"/>
    <cellStyle name="Normal 2 6 2 3 3 2 3" xfId="3735"/>
    <cellStyle name="Normal 2 6 2 3 3 3" xfId="4141"/>
    <cellStyle name="Normal 2 6 2 3 3 4" xfId="4830"/>
    <cellStyle name="Normal 2 6 2 3 3 5" xfId="3325"/>
    <cellStyle name="Normal 2 6 2 3 4" xfId="1756"/>
    <cellStyle name="Normal 2 6 2 3 4 2" xfId="2735"/>
    <cellStyle name="Normal 2 6 2 3 4 2 2" xfId="4671"/>
    <cellStyle name="Normal 2 6 2 3 4 3" xfId="3525"/>
    <cellStyle name="Normal 2 6 2 3 5" xfId="1993"/>
    <cellStyle name="Normal 2 6 2 3 5 2" xfId="5034"/>
    <cellStyle name="Normal 2 6 2 3 5 3" xfId="3931"/>
    <cellStyle name="Normal 2 6 2 3 6" xfId="4415"/>
    <cellStyle name="Normal 2 6 2 3 7" xfId="3098"/>
    <cellStyle name="Normal 2 6 2 4" xfId="997"/>
    <cellStyle name="Normal 2 6 2 4 2" xfId="1365"/>
    <cellStyle name="Normal 2 6 2 4 2 2" xfId="2345"/>
    <cellStyle name="Normal 2 6 2 4 2 2 2" xfId="5069"/>
    <cellStyle name="Normal 2 6 2 4 2 3" xfId="3561"/>
    <cellStyle name="Normal 2 6 2 4 3" xfId="1599"/>
    <cellStyle name="Normal 2 6 2 4 3 2" xfId="2579"/>
    <cellStyle name="Normal 2 6 2 4 3 3" xfId="3967"/>
    <cellStyle name="Normal 2 6 2 4 4" xfId="1833"/>
    <cellStyle name="Normal 2 6 2 4 4 2" xfId="2812"/>
    <cellStyle name="Normal 2 6 2 4 4 3" xfId="4520"/>
    <cellStyle name="Normal 2 6 2 4 5" xfId="2070"/>
    <cellStyle name="Normal 2 6 2 4 6" xfId="3145"/>
    <cellStyle name="Normal 2 6 2 5" xfId="1145"/>
    <cellStyle name="Normal 2 6 2 5 2" xfId="2154"/>
    <cellStyle name="Normal 2 6 2 5 2 2" xfId="5174"/>
    <cellStyle name="Normal 2 6 2 5 2 3" xfId="3666"/>
    <cellStyle name="Normal 2 6 2 5 3" xfId="4072"/>
    <cellStyle name="Normal 2 6 2 5 4" xfId="4789"/>
    <cellStyle name="Normal 2 6 2 5 5" xfId="3251"/>
    <cellStyle name="Normal 2 6 2 6" xfId="1205"/>
    <cellStyle name="Normal 2 6 2 6 2" xfId="2191"/>
    <cellStyle name="Normal 2 6 2 6 2 2" xfId="4988"/>
    <cellStyle name="Normal 2 6 2 6 2 3" xfId="3455"/>
    <cellStyle name="Normal 2 6 2 6 3" xfId="3862"/>
    <cellStyle name="Normal 2 6 2 6 4" xfId="4498"/>
    <cellStyle name="Normal 2 6 2 6 5" xfId="3013"/>
    <cellStyle name="Normal 2 6 2 7" xfId="1445"/>
    <cellStyle name="Normal 2 6 2 7 2" xfId="2425"/>
    <cellStyle name="Normal 2 6 2 7 2 2" xfId="4901"/>
    <cellStyle name="Normal 2 6 2 7 3" xfId="3364"/>
    <cellStyle name="Normal 2 6 2 8" xfId="1704"/>
    <cellStyle name="Normal 2 6 2 8 2" xfId="2684"/>
    <cellStyle name="Normal 2 6 2 8 3" xfId="3789"/>
    <cellStyle name="Normal 2 6 2 9" xfId="1916"/>
    <cellStyle name="Normal 2 6 2 9 2" xfId="4245"/>
    <cellStyle name="Normal 2 6 3" xfId="406"/>
    <cellStyle name="Normal 2 6 3 2" xfId="407"/>
    <cellStyle name="Normal 2 6 3 2 2" xfId="408"/>
    <cellStyle name="Normal 2 6 4" xfId="409"/>
    <cellStyle name="Normal 2 6 4 2" xfId="410"/>
    <cellStyle name="Normal 2 6 4 3" xfId="411"/>
    <cellStyle name="Normal 2 6 5" xfId="412"/>
    <cellStyle name="Normal 2 6 6" xfId="850"/>
    <cellStyle name="Normal 2 6 6 2" xfId="956"/>
    <cellStyle name="Normal 2 6 6 2 2" xfId="1329"/>
    <cellStyle name="Normal 2 6 6 2 2 2" xfId="2309"/>
    <cellStyle name="Normal 2 6 6 2 2 2 2" xfId="4719"/>
    <cellStyle name="Normal 2 6 6 2 2 3" xfId="3595"/>
    <cellStyle name="Normal 2 6 6 2 3" xfId="1563"/>
    <cellStyle name="Normal 2 6 6 2 3 2" xfId="2543"/>
    <cellStyle name="Normal 2 6 6 2 3 2 2" xfId="5103"/>
    <cellStyle name="Normal 2 6 6 2 3 3" xfId="4001"/>
    <cellStyle name="Normal 2 6 6 2 4" xfId="1797"/>
    <cellStyle name="Normal 2 6 6 2 4 2" xfId="2776"/>
    <cellStyle name="Normal 2 6 6 2 4 3" xfId="4442"/>
    <cellStyle name="Normal 2 6 6 2 5" xfId="2034"/>
    <cellStyle name="Normal 2 6 6 2 6" xfId="3179"/>
    <cellStyle name="Normal 2 6 6 3" xfId="1038"/>
    <cellStyle name="Normal 2 6 6 3 2" xfId="1406"/>
    <cellStyle name="Normal 2 6 6 3 2 2" xfId="2386"/>
    <cellStyle name="Normal 2 6 6 3 2 2 2" xfId="5208"/>
    <cellStyle name="Normal 2 6 6 3 2 3" xfId="3700"/>
    <cellStyle name="Normal 2 6 6 3 3" xfId="1640"/>
    <cellStyle name="Normal 2 6 6 3 3 2" xfId="2620"/>
    <cellStyle name="Normal 2 6 6 3 3 3" xfId="4106"/>
    <cellStyle name="Normal 2 6 6 3 4" xfId="1874"/>
    <cellStyle name="Normal 2 6 6 3 4 2" xfId="2853"/>
    <cellStyle name="Normal 2 6 6 3 4 3" xfId="4576"/>
    <cellStyle name="Normal 2 6 6 3 5" xfId="2111"/>
    <cellStyle name="Normal 2 6 6 3 6" xfId="3286"/>
    <cellStyle name="Normal 2 6 6 4" xfId="1250"/>
    <cellStyle name="Normal 2 6 6 4 2" xfId="2232"/>
    <cellStyle name="Normal 2 6 6 4 2 2" xfId="5002"/>
    <cellStyle name="Normal 2 6 6 4 2 3" xfId="3490"/>
    <cellStyle name="Normal 2 6 6 4 3" xfId="3896"/>
    <cellStyle name="Normal 2 6 6 4 4" xfId="4642"/>
    <cellStyle name="Normal 2 6 6 4 5" xfId="3059"/>
    <cellStyle name="Normal 2 6 6 5" xfId="1486"/>
    <cellStyle name="Normal 2 6 6 5 2" xfId="2466"/>
    <cellStyle name="Normal 2 6 6 5 2 2" xfId="4941"/>
    <cellStyle name="Normal 2 6 6 5 3" xfId="3416"/>
    <cellStyle name="Normal 2 6 6 6" xfId="1720"/>
    <cellStyle name="Normal 2 6 6 6 2" xfId="2699"/>
    <cellStyle name="Normal 2 6 6 6 3" xfId="3823"/>
    <cellStyle name="Normal 2 6 6 7" xfId="1957"/>
    <cellStyle name="Normal 2 6 6 7 2" xfId="4294"/>
    <cellStyle name="Normal 2 6 6 8" xfId="2934"/>
    <cellStyle name="Normal 2 6 7" xfId="897"/>
    <cellStyle name="Normal 2 6 7 2" xfId="1285"/>
    <cellStyle name="Normal 2 6 7 2 2" xfId="2267"/>
    <cellStyle name="Normal 2 6 7 2 2 2" xfId="5137"/>
    <cellStyle name="Normal 2 6 7 2 2 3" xfId="3629"/>
    <cellStyle name="Normal 2 6 7 2 3" xfId="4035"/>
    <cellStyle name="Normal 2 6 7 2 4" xfId="4753"/>
    <cellStyle name="Normal 2 6 7 2 5" xfId="3213"/>
    <cellStyle name="Normal 2 6 7 3" xfId="1521"/>
    <cellStyle name="Normal 2 6 7 3 2" xfId="2501"/>
    <cellStyle name="Normal 2 6 7 3 2 2" xfId="5242"/>
    <cellStyle name="Normal 2 6 7 3 2 3" xfId="3734"/>
    <cellStyle name="Normal 2 6 7 3 3" xfId="4140"/>
    <cellStyle name="Normal 2 6 7 3 4" xfId="4829"/>
    <cellStyle name="Normal 2 6 7 3 5" xfId="3324"/>
    <cellStyle name="Normal 2 6 7 4" xfId="1755"/>
    <cellStyle name="Normal 2 6 7 4 2" xfId="2734"/>
    <cellStyle name="Normal 2 6 7 4 2 2" xfId="4670"/>
    <cellStyle name="Normal 2 6 7 4 3" xfId="3524"/>
    <cellStyle name="Normal 2 6 7 5" xfId="1992"/>
    <cellStyle name="Normal 2 6 7 5 2" xfId="5033"/>
    <cellStyle name="Normal 2 6 7 5 3" xfId="3930"/>
    <cellStyle name="Normal 2 6 7 6" xfId="4414"/>
    <cellStyle name="Normal 2 6 7 7" xfId="3097"/>
    <cellStyle name="Normal 2 6 8" xfId="996"/>
    <cellStyle name="Normal 2 6 8 2" xfId="1364"/>
    <cellStyle name="Normal 2 6 8 2 2" xfId="2344"/>
    <cellStyle name="Normal 2 6 8 2 2 2" xfId="5046"/>
    <cellStyle name="Normal 2 6 8 2 3" xfId="3538"/>
    <cellStyle name="Normal 2 6 8 3" xfId="1598"/>
    <cellStyle name="Normal 2 6 8 3 2" xfId="2578"/>
    <cellStyle name="Normal 2 6 8 3 3" xfId="3944"/>
    <cellStyle name="Normal 2 6 8 4" xfId="1832"/>
    <cellStyle name="Normal 2 6 8 4 2" xfId="2811"/>
    <cellStyle name="Normal 2 6 8 4 3" xfId="4519"/>
    <cellStyle name="Normal 2 6 8 5" xfId="2069"/>
    <cellStyle name="Normal 2 6 8 6" xfId="3122"/>
    <cellStyle name="Normal 2 6 9" xfId="1144"/>
    <cellStyle name="Normal 2 6 9 2" xfId="2153"/>
    <cellStyle name="Normal 2 6 9 2 2" xfId="5151"/>
    <cellStyle name="Normal 2 6 9 2 3" xfId="3643"/>
    <cellStyle name="Normal 2 6 9 3" xfId="4049"/>
    <cellStyle name="Normal 2 6 9 4" xfId="4767"/>
    <cellStyle name="Normal 2 6 9 5" xfId="3227"/>
    <cellStyle name="Normal 2 7" xfId="413"/>
    <cellStyle name="Normal 2 7 2" xfId="414"/>
    <cellStyle name="Normal 2 7 2 2" xfId="3015"/>
    <cellStyle name="Normal 2 7 2 3" xfId="2978"/>
    <cellStyle name="Normal 2 7 3" xfId="415"/>
    <cellStyle name="Normal 2 7 4" xfId="3014"/>
    <cellStyle name="Normal 2 7 5" xfId="2977"/>
    <cellStyle name="Normal 2 7 6" xfId="4996"/>
    <cellStyle name="Normal 2 8" xfId="416"/>
    <cellStyle name="Normal 2 8 2" xfId="417"/>
    <cellStyle name="Normal 2 8 3" xfId="418"/>
    <cellStyle name="Normal 2 9" xfId="419"/>
    <cellStyle name="Normal 2 9 2" xfId="420"/>
    <cellStyle name="Normal 2_Sheet2" xfId="2948"/>
    <cellStyle name="Normal 20" xfId="421"/>
    <cellStyle name="Normal 20 2" xfId="615"/>
    <cellStyle name="Normal 21" xfId="422"/>
    <cellStyle name="Normal 21 2" xfId="614"/>
    <cellStyle name="Normal 22" xfId="423"/>
    <cellStyle name="Normal 22 2" xfId="613"/>
    <cellStyle name="Normal 23" xfId="424"/>
    <cellStyle name="Normal 23 2" xfId="612"/>
    <cellStyle name="Normal 24" xfId="425"/>
    <cellStyle name="Normal 24 2" xfId="611"/>
    <cellStyle name="Normal 25" xfId="426"/>
    <cellStyle name="Normal 25 2" xfId="610"/>
    <cellStyle name="Normal 26" xfId="427"/>
    <cellStyle name="Normal 26 2" xfId="609"/>
    <cellStyle name="Normal 27" xfId="428"/>
    <cellStyle name="Normal 27 2" xfId="608"/>
    <cellStyle name="Normal 28" xfId="429"/>
    <cellStyle name="Normal 28 2" xfId="607"/>
    <cellStyle name="Normal 29" xfId="430"/>
    <cellStyle name="Normal 29 2" xfId="606"/>
    <cellStyle name="Normal 3" xfId="4"/>
    <cellStyle name="Normal 3 10" xfId="969"/>
    <cellStyle name="Normal 3 10 2" xfId="1337"/>
    <cellStyle name="Normal 3 10 2 2" xfId="2317"/>
    <cellStyle name="Normal 3 10 2 2 2" xfId="4534"/>
    <cellStyle name="Normal 3 10 2 3" xfId="3423"/>
    <cellStyle name="Normal 3 10 3" xfId="1571"/>
    <cellStyle name="Normal 3 10 3 2" xfId="2551"/>
    <cellStyle name="Normal 3 10 3 2 2" xfId="4885"/>
    <cellStyle name="Normal 3 10 3 3" xfId="3830"/>
    <cellStyle name="Normal 3 10 4" xfId="1805"/>
    <cellStyle name="Normal 3 10 4 2" xfId="2784"/>
    <cellStyle name="Normal 3 10 4 3" xfId="4394"/>
    <cellStyle name="Normal 3 10 5" xfId="2042"/>
    <cellStyle name="Normal 3 10 6" xfId="2941"/>
    <cellStyle name="Normal 3 11" xfId="22"/>
    <cellStyle name="Normal 3 11 2" xfId="1886"/>
    <cellStyle name="Normal 3 11 2 2" xfId="4467"/>
    <cellStyle name="Normal 3 11 3" xfId="2867"/>
    <cellStyle name="Normal 3 12" xfId="1175"/>
    <cellStyle name="Normal 3 12 2" xfId="2161"/>
    <cellStyle name="Normal 3 12 2 2" xfId="4847"/>
    <cellStyle name="Normal 3 12 3" xfId="3331"/>
    <cellStyle name="Normal 3 13" xfId="1415"/>
    <cellStyle name="Normal 3 13 2" xfId="2395"/>
    <cellStyle name="Normal 3 13 3" xfId="3755"/>
    <cellStyle name="Normal 3 14" xfId="19"/>
    <cellStyle name="Normal 3 14 2" xfId="4166"/>
    <cellStyle name="Normal 3 15" xfId="1883"/>
    <cellStyle name="Normal 3 16" xfId="2862"/>
    <cellStyle name="Normal 3 2" xfId="14"/>
    <cellStyle name="Normal 3 2 10" xfId="1884"/>
    <cellStyle name="Normal 3 2 11" xfId="2863"/>
    <cellStyle name="Normal 3 2 2" xfId="18"/>
    <cellStyle name="Normal 3 2 2 2" xfId="434"/>
    <cellStyle name="Normal 3 2 2 3" xfId="433"/>
    <cellStyle name="Normal 3 2 2 4" xfId="2866"/>
    <cellStyle name="Normal 3 2 3" xfId="605"/>
    <cellStyle name="Normal 3 2 4" xfId="432"/>
    <cellStyle name="Normal 3 2 4 2" xfId="4589"/>
    <cellStyle name="Normal 3 2 4 3" xfId="4170"/>
    <cellStyle name="Normal 3 2 5" xfId="23"/>
    <cellStyle name="Normal 3 2 5 2" xfId="1887"/>
    <cellStyle name="Normal 3 2 5 2 2" xfId="4613"/>
    <cellStyle name="Normal 3 2 5 2 3" xfId="3424"/>
    <cellStyle name="Normal 3 2 5 3" xfId="3831"/>
    <cellStyle name="Normal 3 2 5 3 2" xfId="4905"/>
    <cellStyle name="Normal 3 2 5 4" xfId="4395"/>
    <cellStyle name="Normal 3 2 5 5" xfId="2942"/>
    <cellStyle name="Normal 3 2 6" xfId="1176"/>
    <cellStyle name="Normal 3 2 6 2" xfId="2162"/>
    <cellStyle name="Normal 3 2 6 2 2" xfId="4469"/>
    <cellStyle name="Normal 3 2 6 3" xfId="2868"/>
    <cellStyle name="Normal 3 2 7" xfId="1416"/>
    <cellStyle name="Normal 3 2 7 2" xfId="2396"/>
    <cellStyle name="Normal 3 2 7 2 2" xfId="4848"/>
    <cellStyle name="Normal 3 2 7 3" xfId="3332"/>
    <cellStyle name="Normal 3 2 8" xfId="1713"/>
    <cellStyle name="Normal 3 2 8 2" xfId="2692"/>
    <cellStyle name="Normal 3 2 8 3" xfId="3756"/>
    <cellStyle name="Normal 3 2 9" xfId="20"/>
    <cellStyle name="Normal 3 2 9 2" xfId="4167"/>
    <cellStyle name="Normal 3 3" xfId="435"/>
    <cellStyle name="Normal 3 3 2" xfId="604"/>
    <cellStyle name="Normal 3 4" xfId="436"/>
    <cellStyle name="Normal 3 4 2" xfId="437"/>
    <cellStyle name="Normal 3 4 3" xfId="438"/>
    <cellStyle name="Normal 3 4 3 10" xfId="2902"/>
    <cellStyle name="Normal 3 4 3 2" xfId="853"/>
    <cellStyle name="Normal 3 4 3 2 2" xfId="959"/>
    <cellStyle name="Normal 3 4 3 2 2 2" xfId="1332"/>
    <cellStyle name="Normal 3 4 3 2 2 2 2" xfId="2312"/>
    <cellStyle name="Normal 3 4 3 2 2 2 2 2" xfId="4721"/>
    <cellStyle name="Normal 3 4 3 2 2 2 3" xfId="3597"/>
    <cellStyle name="Normal 3 4 3 2 2 3" xfId="1566"/>
    <cellStyle name="Normal 3 4 3 2 2 3 2" xfId="2546"/>
    <cellStyle name="Normal 3 4 3 2 2 3 2 2" xfId="5105"/>
    <cellStyle name="Normal 3 4 3 2 2 3 3" xfId="4003"/>
    <cellStyle name="Normal 3 4 3 2 2 4" xfId="1800"/>
    <cellStyle name="Normal 3 4 3 2 2 4 2" xfId="2779"/>
    <cellStyle name="Normal 3 4 3 2 2 4 3" xfId="4445"/>
    <cellStyle name="Normal 3 4 3 2 2 5" xfId="2037"/>
    <cellStyle name="Normal 3 4 3 2 2 6" xfId="3181"/>
    <cellStyle name="Normal 3 4 3 2 3" xfId="1041"/>
    <cellStyle name="Normal 3 4 3 2 3 2" xfId="1409"/>
    <cellStyle name="Normal 3 4 3 2 3 2 2" xfId="2389"/>
    <cellStyle name="Normal 3 4 3 2 3 2 2 2" xfId="5210"/>
    <cellStyle name="Normal 3 4 3 2 3 2 3" xfId="3702"/>
    <cellStyle name="Normal 3 4 3 2 3 3" xfId="1643"/>
    <cellStyle name="Normal 3 4 3 2 3 3 2" xfId="2623"/>
    <cellStyle name="Normal 3 4 3 2 3 3 3" xfId="4108"/>
    <cellStyle name="Normal 3 4 3 2 3 4" xfId="1877"/>
    <cellStyle name="Normal 3 4 3 2 3 4 2" xfId="2856"/>
    <cellStyle name="Normal 3 4 3 2 3 4 3" xfId="4579"/>
    <cellStyle name="Normal 3 4 3 2 3 5" xfId="2114"/>
    <cellStyle name="Normal 3 4 3 2 3 6" xfId="3288"/>
    <cellStyle name="Normal 3 4 3 2 4" xfId="1253"/>
    <cellStyle name="Normal 3 4 3 2 4 2" xfId="2235"/>
    <cellStyle name="Normal 3 4 3 2 4 2 2" xfId="5004"/>
    <cellStyle name="Normal 3 4 3 2 4 2 3" xfId="3492"/>
    <cellStyle name="Normal 3 4 3 2 4 3" xfId="3898"/>
    <cellStyle name="Normal 3 4 3 2 4 4" xfId="4644"/>
    <cellStyle name="Normal 3 4 3 2 4 5" xfId="3061"/>
    <cellStyle name="Normal 3 4 3 2 5" xfId="1489"/>
    <cellStyle name="Normal 3 4 3 2 5 2" xfId="2469"/>
    <cellStyle name="Normal 3 4 3 2 5 2 2" xfId="4944"/>
    <cellStyle name="Normal 3 4 3 2 5 3" xfId="3418"/>
    <cellStyle name="Normal 3 4 3 2 6" xfId="1723"/>
    <cellStyle name="Normal 3 4 3 2 6 2" xfId="2702"/>
    <cellStyle name="Normal 3 4 3 2 6 3" xfId="3825"/>
    <cellStyle name="Normal 3 4 3 2 7" xfId="1960"/>
    <cellStyle name="Normal 3 4 3 2 7 2" xfId="4297"/>
    <cellStyle name="Normal 3 4 3 2 8" xfId="2936"/>
    <cellStyle name="Normal 3 4 3 3" xfId="901"/>
    <cellStyle name="Normal 3 4 3 3 2" xfId="1288"/>
    <cellStyle name="Normal 3 4 3 3 2 2" xfId="2270"/>
    <cellStyle name="Normal 3 4 3 3 2 2 2" xfId="5139"/>
    <cellStyle name="Normal 3 4 3 3 2 2 3" xfId="3631"/>
    <cellStyle name="Normal 3 4 3 3 2 3" xfId="4037"/>
    <cellStyle name="Normal 3 4 3 3 2 4" xfId="4755"/>
    <cellStyle name="Normal 3 4 3 3 2 5" xfId="3215"/>
    <cellStyle name="Normal 3 4 3 3 3" xfId="1524"/>
    <cellStyle name="Normal 3 4 3 3 3 2" xfId="2504"/>
    <cellStyle name="Normal 3 4 3 3 3 2 2" xfId="5244"/>
    <cellStyle name="Normal 3 4 3 3 3 2 3" xfId="3736"/>
    <cellStyle name="Normal 3 4 3 3 3 3" xfId="4142"/>
    <cellStyle name="Normal 3 4 3 3 3 4" xfId="4831"/>
    <cellStyle name="Normal 3 4 3 3 3 5" xfId="3326"/>
    <cellStyle name="Normal 3 4 3 3 4" xfId="1758"/>
    <cellStyle name="Normal 3 4 3 3 4 2" xfId="2737"/>
    <cellStyle name="Normal 3 4 3 3 4 2 2" xfId="4672"/>
    <cellStyle name="Normal 3 4 3 3 4 3" xfId="3526"/>
    <cellStyle name="Normal 3 4 3 3 5" xfId="1995"/>
    <cellStyle name="Normal 3 4 3 3 5 2" xfId="5035"/>
    <cellStyle name="Normal 3 4 3 3 5 3" xfId="3932"/>
    <cellStyle name="Normal 3 4 3 3 6" xfId="4417"/>
    <cellStyle name="Normal 3 4 3 3 7" xfId="3099"/>
    <cellStyle name="Normal 3 4 3 4" xfId="999"/>
    <cellStyle name="Normal 3 4 3 4 2" xfId="1367"/>
    <cellStyle name="Normal 3 4 3 4 2 2" xfId="2347"/>
    <cellStyle name="Normal 3 4 3 4 2 2 2" xfId="5070"/>
    <cellStyle name="Normal 3 4 3 4 2 3" xfId="3562"/>
    <cellStyle name="Normal 3 4 3 4 3" xfId="1601"/>
    <cellStyle name="Normal 3 4 3 4 3 2" xfId="2581"/>
    <cellStyle name="Normal 3 4 3 4 3 3" xfId="3968"/>
    <cellStyle name="Normal 3 4 3 4 4" xfId="1835"/>
    <cellStyle name="Normal 3 4 3 4 4 2" xfId="2814"/>
    <cellStyle name="Normal 3 4 3 4 4 3" xfId="4522"/>
    <cellStyle name="Normal 3 4 3 4 5" xfId="2072"/>
    <cellStyle name="Normal 3 4 3 4 6" xfId="3146"/>
    <cellStyle name="Normal 3 4 3 5" xfId="1146"/>
    <cellStyle name="Normal 3 4 3 5 2" xfId="2155"/>
    <cellStyle name="Normal 3 4 3 5 2 2" xfId="5175"/>
    <cellStyle name="Normal 3 4 3 5 2 3" xfId="3667"/>
    <cellStyle name="Normal 3 4 3 5 3" xfId="4073"/>
    <cellStyle name="Normal 3 4 3 5 4" xfId="4790"/>
    <cellStyle name="Normal 3 4 3 5 5" xfId="3252"/>
    <cellStyle name="Normal 3 4 3 6" xfId="1207"/>
    <cellStyle name="Normal 3 4 3 6 2" xfId="2193"/>
    <cellStyle name="Normal 3 4 3 6 2 2" xfId="4958"/>
    <cellStyle name="Normal 3 4 3 6 2 3" xfId="3456"/>
    <cellStyle name="Normal 3 4 3 6 3" xfId="3863"/>
    <cellStyle name="Normal 3 4 3 6 4" xfId="4506"/>
    <cellStyle name="Normal 3 4 3 6 5" xfId="3016"/>
    <cellStyle name="Normal 3 4 3 7" xfId="1447"/>
    <cellStyle name="Normal 3 4 3 7 2" xfId="2427"/>
    <cellStyle name="Normal 3 4 3 7 2 2" xfId="4908"/>
    <cellStyle name="Normal 3 4 3 7 3" xfId="3380"/>
    <cellStyle name="Normal 3 4 3 8" xfId="1706"/>
    <cellStyle name="Normal 3 4 3 8 2" xfId="2685"/>
    <cellStyle name="Normal 3 4 3 8 3" xfId="3791"/>
    <cellStyle name="Normal 3 4 3 9" xfId="1918"/>
    <cellStyle name="Normal 3 4 3 9 2" xfId="4247"/>
    <cellStyle name="Normal 3 4 4" xfId="3115"/>
    <cellStyle name="Normal 3 4 4 2" xfId="3532"/>
    <cellStyle name="Normal 3 4 4 2 2" xfId="5040"/>
    <cellStyle name="Normal 3 4 4 3" xfId="3938"/>
    <cellStyle name="Normal 3 4 4 4" xfId="4676"/>
    <cellStyle name="Normal 3 4 5" xfId="3221"/>
    <cellStyle name="Normal 3 4 5 2" xfId="3637"/>
    <cellStyle name="Normal 3 4 5 2 2" xfId="5145"/>
    <cellStyle name="Normal 3 4 5 3" xfId="4043"/>
    <cellStyle name="Normal 3 4 5 4" xfId="4761"/>
    <cellStyle name="Normal 3 4 6" xfId="2949"/>
    <cellStyle name="Normal 3 4 6 2" xfId="3426"/>
    <cellStyle name="Normal 3 4 6 2 2" xfId="4904"/>
    <cellStyle name="Normal 3 4 6 3" xfId="3833"/>
    <cellStyle name="Normal 3 4 6 4" xfId="4592"/>
    <cellStyle name="Normal 3 5" xfId="439"/>
    <cellStyle name="Normal 3 5 2" xfId="3017"/>
    <cellStyle name="Normal 3 5 3" xfId="3116"/>
    <cellStyle name="Normal 3 5 3 2" xfId="3533"/>
    <cellStyle name="Normal 3 5 3 2 2" xfId="5041"/>
    <cellStyle name="Normal 3 5 3 3" xfId="3939"/>
    <cellStyle name="Normal 3 5 3 4" xfId="4677"/>
    <cellStyle name="Normal 3 5 4" xfId="3222"/>
    <cellStyle name="Normal 3 5 4 2" xfId="3638"/>
    <cellStyle name="Normal 3 5 4 2 2" xfId="5146"/>
    <cellStyle name="Normal 3 5 4 3" xfId="4044"/>
    <cellStyle name="Normal 3 5 4 4" xfId="4762"/>
    <cellStyle name="Normal 3 5 5" xfId="2957"/>
    <cellStyle name="Normal 3 5 5 2" xfId="3427"/>
    <cellStyle name="Normal 3 5 5 2 2" xfId="4960"/>
    <cellStyle name="Normal 3 5 5 3" xfId="3834"/>
    <cellStyle name="Normal 3 5 5 4" xfId="4553"/>
    <cellStyle name="Normal 3 6" xfId="431"/>
    <cellStyle name="Normal 3 6 10" xfId="2901"/>
    <cellStyle name="Normal 3 6 2" xfId="900"/>
    <cellStyle name="Normal 3 6 2 2" xfId="1287"/>
    <cellStyle name="Normal 3 6 2 2 2" xfId="2269"/>
    <cellStyle name="Normal 3 6 2 2 2 2" xfId="4444"/>
    <cellStyle name="Normal 3 6 2 2 3" xfId="3567"/>
    <cellStyle name="Normal 3 6 2 3" xfId="1523"/>
    <cellStyle name="Normal 3 6 2 3 2" xfId="2503"/>
    <cellStyle name="Normal 3 6 2 3 2 2" xfId="4578"/>
    <cellStyle name="Normal 3 6 2 3 3" xfId="3973"/>
    <cellStyle name="Normal 3 6 2 4" xfId="1757"/>
    <cellStyle name="Normal 3 6 2 4 2" xfId="2736"/>
    <cellStyle name="Normal 3 6 2 4 3" xfId="4943"/>
    <cellStyle name="Normal 3 6 2 5" xfId="1994"/>
    <cellStyle name="Normal 3 6 2 5 2" xfId="4296"/>
    <cellStyle name="Normal 3 6 2 6" xfId="3151"/>
    <cellStyle name="Normal 3 6 3" xfId="998"/>
    <cellStyle name="Normal 3 6 3 2" xfId="1366"/>
    <cellStyle name="Normal 3 6 3 2 2" xfId="2346"/>
    <cellStyle name="Normal 3 6 3 2 2 2" xfId="4795"/>
    <cellStyle name="Normal 3 6 3 2 3" xfId="3672"/>
    <cellStyle name="Normal 3 6 3 3" xfId="1600"/>
    <cellStyle name="Normal 3 6 3 3 2" xfId="2580"/>
    <cellStyle name="Normal 3 6 3 3 2 2" xfId="5180"/>
    <cellStyle name="Normal 3 6 3 3 3" xfId="4078"/>
    <cellStyle name="Normal 3 6 3 4" xfId="1834"/>
    <cellStyle name="Normal 3 6 3 4 2" xfId="2813"/>
    <cellStyle name="Normal 3 6 3 4 3" xfId="4416"/>
    <cellStyle name="Normal 3 6 3 5" xfId="2071"/>
    <cellStyle name="Normal 3 6 3 6" xfId="3257"/>
    <cellStyle name="Normal 3 6 4" xfId="1147"/>
    <cellStyle name="Normal 3 6 4 2" xfId="3462"/>
    <cellStyle name="Normal 3 6 4 2 2" xfId="4886"/>
    <cellStyle name="Normal 3 6 4 3" xfId="3868"/>
    <cellStyle name="Normal 3 6 4 4" xfId="4521"/>
    <cellStyle name="Normal 3 6 4 5" xfId="3030"/>
    <cellStyle name="Normal 3 6 4 6" xfId="5306"/>
    <cellStyle name="Normal 3 6 5" xfId="1080"/>
    <cellStyle name="Normal 3 6 5 2" xfId="4523"/>
    <cellStyle name="Normal 3 6 6" xfId="1206"/>
    <cellStyle name="Normal 3 6 6 2" xfId="2192"/>
    <cellStyle name="Normal 3 6 6 3" xfId="4907"/>
    <cellStyle name="Normal 3 6 7" xfId="1446"/>
    <cellStyle name="Normal 3 6 7 2" xfId="2426"/>
    <cellStyle name="Normal 3 6 7 3" xfId="4246"/>
    <cellStyle name="Normal 3 6 8" xfId="1696"/>
    <cellStyle name="Normal 3 6 8 2" xfId="2676"/>
    <cellStyle name="Normal 3 6 8 3" xfId="5419"/>
    <cellStyle name="Normal 3 6 9" xfId="1917"/>
    <cellStyle name="Normal 3 7" xfId="852"/>
    <cellStyle name="Normal 3 7 2" xfId="958"/>
    <cellStyle name="Normal 3 7 2 2" xfId="1331"/>
    <cellStyle name="Normal 3 7 2 2 2" xfId="2311"/>
    <cellStyle name="Normal 3 7 2 2 3" xfId="4396"/>
    <cellStyle name="Normal 3 7 2 3" xfId="1565"/>
    <cellStyle name="Normal 3 7 2 3 2" xfId="2545"/>
    <cellStyle name="Normal 3 7 2 3 3" xfId="5390"/>
    <cellStyle name="Normal 3 7 2 4" xfId="1799"/>
    <cellStyle name="Normal 3 7 2 4 2" xfId="2778"/>
    <cellStyle name="Normal 3 7 2 4 3" xfId="5440"/>
    <cellStyle name="Normal 3 7 2 5" xfId="2036"/>
    <cellStyle name="Normal 3 7 2 6" xfId="3425"/>
    <cellStyle name="Normal 3 7 3" xfId="1040"/>
    <cellStyle name="Normal 3 7 3 2" xfId="1408"/>
    <cellStyle name="Normal 3 7 3 2 2" xfId="2388"/>
    <cellStyle name="Normal 3 7 3 2 3" xfId="4470"/>
    <cellStyle name="Normal 3 7 3 3" xfId="1642"/>
    <cellStyle name="Normal 3 7 3 3 2" xfId="2622"/>
    <cellStyle name="Normal 3 7 3 3 3" xfId="5405"/>
    <cellStyle name="Normal 3 7 3 4" xfId="1876"/>
    <cellStyle name="Normal 3 7 3 4 2" xfId="2855"/>
    <cellStyle name="Normal 3 7 3 4 3" xfId="5461"/>
    <cellStyle name="Normal 3 7 3 5" xfId="2113"/>
    <cellStyle name="Normal 3 7 3 6" xfId="3832"/>
    <cellStyle name="Normal 3 7 4" xfId="1252"/>
    <cellStyle name="Normal 3 7 4 2" xfId="2234"/>
    <cellStyle name="Normal 3 7 4 3" xfId="4850"/>
    <cellStyle name="Normal 3 7 5" xfId="1488"/>
    <cellStyle name="Normal 3 7 5 2" xfId="2468"/>
    <cellStyle name="Normal 3 7 5 3" xfId="4172"/>
    <cellStyle name="Normal 3 7 6" xfId="1722"/>
    <cellStyle name="Normal 3 7 6 2" xfId="2701"/>
    <cellStyle name="Normal 3 7 6 3" xfId="5425"/>
    <cellStyle name="Normal 3 7 7" xfId="1959"/>
    <cellStyle name="Normal 3 7 8" xfId="2943"/>
    <cellStyle name="Normal 3 8" xfId="25"/>
    <cellStyle name="Normal 3 8 2" xfId="1177"/>
    <cellStyle name="Normal 3 8 2 2" xfId="2163"/>
    <cellStyle name="Normal 3 8 2 2 2" xfId="4424"/>
    <cellStyle name="Normal 3 8 2 3" xfId="3531"/>
    <cellStyle name="Normal 3 8 3" xfId="1417"/>
    <cellStyle name="Normal 3 8 3 2" xfId="2397"/>
    <cellStyle name="Normal 3 8 3 2 2" xfId="4558"/>
    <cellStyle name="Normal 3 8 3 3" xfId="3937"/>
    <cellStyle name="Normal 3 8 4" xfId="1712"/>
    <cellStyle name="Normal 3 8 4 2" xfId="2691"/>
    <cellStyle name="Normal 3 8 4 3" xfId="4923"/>
    <cellStyle name="Normal 3 8 5" xfId="1888"/>
    <cellStyle name="Normal 3 8 5 2" xfId="4276"/>
    <cellStyle name="Normal 3 8 6" xfId="3114"/>
    <cellStyle name="Normal 3 9" xfId="858"/>
    <cellStyle name="Normal 3 9 2" xfId="1258"/>
    <cellStyle name="Normal 3 9 2 2" xfId="2240"/>
    <cellStyle name="Normal 3 9 2 2 2" xfId="4760"/>
    <cellStyle name="Normal 3 9 2 3" xfId="3636"/>
    <cellStyle name="Normal 3 9 3" xfId="1494"/>
    <cellStyle name="Normal 3 9 3 2" xfId="2474"/>
    <cellStyle name="Normal 3 9 3 2 2" xfId="5144"/>
    <cellStyle name="Normal 3 9 3 3" xfId="4042"/>
    <cellStyle name="Normal 3 9 4" xfId="1728"/>
    <cellStyle name="Normal 3 9 4 2" xfId="2707"/>
    <cellStyle name="Normal 3 9 4 3" xfId="4169"/>
    <cellStyle name="Normal 3 9 5" xfId="1965"/>
    <cellStyle name="Normal 3 9 6" xfId="3220"/>
    <cellStyle name="Normal 3_Sheet2" xfId="2950"/>
    <cellStyle name="Normal 30" xfId="440"/>
    <cellStyle name="Normal 30 2" xfId="603"/>
    <cellStyle name="Normal 31" xfId="441"/>
    <cellStyle name="Normal 31 2" xfId="602"/>
    <cellStyle name="Normal 32" xfId="442"/>
    <cellStyle name="Normal 32 2" xfId="601"/>
    <cellStyle name="Normal 33" xfId="443"/>
    <cellStyle name="Normal 33 2" xfId="296"/>
    <cellStyle name="Normal 34" xfId="444"/>
    <cellStyle name="Normal 34 2" xfId="351"/>
    <cellStyle name="Normal 35" xfId="445"/>
    <cellStyle name="Normal 35 2" xfId="550"/>
    <cellStyle name="Normal 36" xfId="446"/>
    <cellStyle name="Normal 36 2" xfId="551"/>
    <cellStyle name="Normal 37" xfId="447"/>
    <cellStyle name="Normal 37 2" xfId="552"/>
    <cellStyle name="Normal 38" xfId="448"/>
    <cellStyle name="Normal 38 2" xfId="758"/>
    <cellStyle name="Normal 39" xfId="449"/>
    <cellStyle name="Normal 39 2" xfId="759"/>
    <cellStyle name="Normal 4" xfId="16"/>
    <cellStyle name="Normal 4 10" xfId="4168"/>
    <cellStyle name="Normal 4 11" xfId="2864"/>
    <cellStyle name="Normal 4 2" xfId="451"/>
    <cellStyle name="Normal 4 2 2" xfId="452"/>
    <cellStyle name="Normal 4 2 2 2" xfId="760"/>
    <cellStyle name="Normal 4 2 2 3" xfId="761"/>
    <cellStyle name="Normal 4 3" xfId="453"/>
    <cellStyle name="Normal 4 3 2" xfId="762"/>
    <cellStyle name="Normal 4 4" xfId="454"/>
    <cellStyle name="Normal 4 5" xfId="763"/>
    <cellStyle name="Normal 4 6" xfId="450"/>
    <cellStyle name="Normal 4 7" xfId="21"/>
    <cellStyle name="Normal 4 7 2" xfId="4511"/>
    <cellStyle name="Normal 4 7 3" xfId="2869"/>
    <cellStyle name="Normal 4 8" xfId="1885"/>
    <cellStyle name="Normal 4 8 2" xfId="4875"/>
    <cellStyle name="Normal 4 8 3" xfId="3333"/>
    <cellStyle name="Normal 4 9" xfId="3757"/>
    <cellStyle name="Normal 40" xfId="455"/>
    <cellStyle name="Normal 40 2" xfId="764"/>
    <cellStyle name="Normal 41" xfId="456"/>
    <cellStyle name="Normal 41 2" xfId="765"/>
    <cellStyle name="Normal 42" xfId="457"/>
    <cellStyle name="Normal 42 2" xfId="766"/>
    <cellStyle name="Normal 43" xfId="458"/>
    <cellStyle name="Normal 43 2" xfId="767"/>
    <cellStyle name="Normal 44" xfId="459"/>
    <cellStyle name="Normal 44 2" xfId="768"/>
    <cellStyle name="Normal 45" xfId="460"/>
    <cellStyle name="Normal 45 2" xfId="769"/>
    <cellStyle name="Normal 46" xfId="461"/>
    <cellStyle name="Normal 46 2" xfId="770"/>
    <cellStyle name="Normal 47" xfId="462"/>
    <cellStyle name="Normal 47 2" xfId="771"/>
    <cellStyle name="Normal 48" xfId="463"/>
    <cellStyle name="Normal 48 2" xfId="772"/>
    <cellStyle name="Normal 49" xfId="464"/>
    <cellStyle name="Normal 49 2" xfId="465"/>
    <cellStyle name="Normal 49 2 2" xfId="774"/>
    <cellStyle name="Normal 49 3" xfId="773"/>
    <cellStyle name="Normal 49 3 2" xfId="880"/>
    <cellStyle name="Normal 49 3 2 2" xfId="4157"/>
    <cellStyle name="Normal 49 3 3" xfId="1149"/>
    <cellStyle name="Normal 49 3 3 2" xfId="5308"/>
    <cellStyle name="Normal 49 4" xfId="1148"/>
    <cellStyle name="Normal 49 4 2" xfId="5307"/>
    <cellStyle name="Normal 5" xfId="17"/>
    <cellStyle name="Normal 5 2" xfId="467"/>
    <cellStyle name="Normal 5 2 2" xfId="775"/>
    <cellStyle name="Normal 5 3" xfId="468"/>
    <cellStyle name="Normal 5 3 2" xfId="469"/>
    <cellStyle name="Normal 5 3 3" xfId="776"/>
    <cellStyle name="Normal 5 4" xfId="470"/>
    <cellStyle name="Normal 5 4 2" xfId="471"/>
    <cellStyle name="Normal 5 4 2 2" xfId="777"/>
    <cellStyle name="Normal 5 4 2 3" xfId="778"/>
    <cellStyle name="Normal 5 5" xfId="472"/>
    <cellStyle name="Normal 5 5 2" xfId="779"/>
    <cellStyle name="Normal 5 5 2 2" xfId="4379"/>
    <cellStyle name="Normal 5 5 2 3" xfId="4249"/>
    <cellStyle name="Normal 5 5 3" xfId="780"/>
    <cellStyle name="Normal 5 5 3 2" xfId="4250"/>
    <cellStyle name="Normal 5 5 4" xfId="4378"/>
    <cellStyle name="Normal 5 5 5" xfId="4870"/>
    <cellStyle name="Normal 5 5 6" xfId="4248"/>
    <cellStyle name="Normal 5 6" xfId="466"/>
    <cellStyle name="Normal 5 7" xfId="2865"/>
    <cellStyle name="Normal 50" xfId="473"/>
    <cellStyle name="Normal 50 2" xfId="781"/>
    <cellStyle name="Normal 51" xfId="474"/>
    <cellStyle name="Normal 51 2" xfId="782"/>
    <cellStyle name="Normal 52" xfId="475"/>
    <cellStyle name="Normal 52 2" xfId="783"/>
    <cellStyle name="Normal 53" xfId="476"/>
    <cellStyle name="Normal 53 2" xfId="784"/>
    <cellStyle name="Normal 54" xfId="477"/>
    <cellStyle name="Normal 54 2" xfId="785"/>
    <cellStyle name="Normal 55" xfId="478"/>
    <cellStyle name="Normal 55 2" xfId="479"/>
    <cellStyle name="Normal 55 2 2" xfId="787"/>
    <cellStyle name="Normal 55 3" xfId="786"/>
    <cellStyle name="Normal 55 3 2" xfId="915"/>
    <cellStyle name="Normal 55 3 2 2" xfId="4158"/>
    <cellStyle name="Normal 55 3 3" xfId="1151"/>
    <cellStyle name="Normal 55 3 3 2" xfId="5310"/>
    <cellStyle name="Normal 55 4" xfId="1150"/>
    <cellStyle name="Normal 55 4 2" xfId="5309"/>
    <cellStyle name="Normal 56" xfId="480"/>
    <cellStyle name="Normal 56 2" xfId="481"/>
    <cellStyle name="Normal 56 3" xfId="482"/>
    <cellStyle name="Normal 56 3 2" xfId="483"/>
    <cellStyle name="Normal 56 4" xfId="484"/>
    <cellStyle name="Normal 56 4 10" xfId="2903"/>
    <cellStyle name="Normal 56 4 2" xfId="854"/>
    <cellStyle name="Normal 56 4 2 2" xfId="960"/>
    <cellStyle name="Normal 56 4 2 2 2" xfId="1333"/>
    <cellStyle name="Normal 56 4 2 2 2 2" xfId="2313"/>
    <cellStyle name="Normal 56 4 2 2 2 2 2" xfId="4722"/>
    <cellStyle name="Normal 56 4 2 2 2 3" xfId="3598"/>
    <cellStyle name="Normal 56 4 2 2 3" xfId="1567"/>
    <cellStyle name="Normal 56 4 2 2 3 2" xfId="2547"/>
    <cellStyle name="Normal 56 4 2 2 3 2 2" xfId="5106"/>
    <cellStyle name="Normal 56 4 2 2 3 3" xfId="4004"/>
    <cellStyle name="Normal 56 4 2 2 4" xfId="1801"/>
    <cellStyle name="Normal 56 4 2 2 4 2" xfId="2780"/>
    <cellStyle name="Normal 56 4 2 2 4 3" xfId="4446"/>
    <cellStyle name="Normal 56 4 2 2 5" xfId="2038"/>
    <cellStyle name="Normal 56 4 2 2 6" xfId="3182"/>
    <cellStyle name="Normal 56 4 2 3" xfId="1042"/>
    <cellStyle name="Normal 56 4 2 3 2" xfId="1410"/>
    <cellStyle name="Normal 56 4 2 3 2 2" xfId="2390"/>
    <cellStyle name="Normal 56 4 2 3 2 2 2" xfId="5211"/>
    <cellStyle name="Normal 56 4 2 3 2 3" xfId="3703"/>
    <cellStyle name="Normal 56 4 2 3 3" xfId="1644"/>
    <cellStyle name="Normal 56 4 2 3 3 2" xfId="2624"/>
    <cellStyle name="Normal 56 4 2 3 3 3" xfId="4109"/>
    <cellStyle name="Normal 56 4 2 3 4" xfId="1878"/>
    <cellStyle name="Normal 56 4 2 3 4 2" xfId="2857"/>
    <cellStyle name="Normal 56 4 2 3 4 3" xfId="4580"/>
    <cellStyle name="Normal 56 4 2 3 5" xfId="2115"/>
    <cellStyle name="Normal 56 4 2 3 6" xfId="3289"/>
    <cellStyle name="Normal 56 4 2 4" xfId="1254"/>
    <cellStyle name="Normal 56 4 2 4 2" xfId="2236"/>
    <cellStyle name="Normal 56 4 2 4 2 2" xfId="5005"/>
    <cellStyle name="Normal 56 4 2 4 2 3" xfId="3493"/>
    <cellStyle name="Normal 56 4 2 4 3" xfId="3899"/>
    <cellStyle name="Normal 56 4 2 4 4" xfId="4645"/>
    <cellStyle name="Normal 56 4 2 4 5" xfId="3062"/>
    <cellStyle name="Normal 56 4 2 5" xfId="1490"/>
    <cellStyle name="Normal 56 4 2 5 2" xfId="2470"/>
    <cellStyle name="Normal 56 4 2 5 2 2" xfId="4945"/>
    <cellStyle name="Normal 56 4 2 5 3" xfId="3419"/>
    <cellStyle name="Normal 56 4 2 6" xfId="1724"/>
    <cellStyle name="Normal 56 4 2 6 2" xfId="2703"/>
    <cellStyle name="Normal 56 4 2 6 3" xfId="3826"/>
    <cellStyle name="Normal 56 4 2 7" xfId="1961"/>
    <cellStyle name="Normal 56 4 2 7 2" xfId="4298"/>
    <cellStyle name="Normal 56 4 2 8" xfId="2937"/>
    <cellStyle name="Normal 56 4 3" xfId="904"/>
    <cellStyle name="Normal 56 4 3 2" xfId="1289"/>
    <cellStyle name="Normal 56 4 3 2 2" xfId="2271"/>
    <cellStyle name="Normal 56 4 3 2 2 2" xfId="5140"/>
    <cellStyle name="Normal 56 4 3 2 2 3" xfId="3632"/>
    <cellStyle name="Normal 56 4 3 2 3" xfId="4038"/>
    <cellStyle name="Normal 56 4 3 2 4" xfId="4756"/>
    <cellStyle name="Normal 56 4 3 2 5" xfId="3216"/>
    <cellStyle name="Normal 56 4 3 3" xfId="1525"/>
    <cellStyle name="Normal 56 4 3 3 2" xfId="2505"/>
    <cellStyle name="Normal 56 4 3 3 2 2" xfId="5245"/>
    <cellStyle name="Normal 56 4 3 3 2 3" xfId="3737"/>
    <cellStyle name="Normal 56 4 3 3 3" xfId="4143"/>
    <cellStyle name="Normal 56 4 3 3 4" xfId="4832"/>
    <cellStyle name="Normal 56 4 3 3 5" xfId="3327"/>
    <cellStyle name="Normal 56 4 3 4" xfId="1759"/>
    <cellStyle name="Normal 56 4 3 4 2" xfId="2738"/>
    <cellStyle name="Normal 56 4 3 4 2 2" xfId="4673"/>
    <cellStyle name="Normal 56 4 3 4 3" xfId="3527"/>
    <cellStyle name="Normal 56 4 3 5" xfId="1996"/>
    <cellStyle name="Normal 56 4 3 5 2" xfId="5036"/>
    <cellStyle name="Normal 56 4 3 5 3" xfId="3933"/>
    <cellStyle name="Normal 56 4 3 6" xfId="4418"/>
    <cellStyle name="Normal 56 4 3 7" xfId="3100"/>
    <cellStyle name="Normal 56 4 4" xfId="1000"/>
    <cellStyle name="Normal 56 4 4 2" xfId="1368"/>
    <cellStyle name="Normal 56 4 4 2 2" xfId="2348"/>
    <cellStyle name="Normal 56 4 4 2 2 2" xfId="5071"/>
    <cellStyle name="Normal 56 4 4 2 3" xfId="3563"/>
    <cellStyle name="Normal 56 4 4 3" xfId="1602"/>
    <cellStyle name="Normal 56 4 4 3 2" xfId="2582"/>
    <cellStyle name="Normal 56 4 4 3 3" xfId="3969"/>
    <cellStyle name="Normal 56 4 4 4" xfId="1836"/>
    <cellStyle name="Normal 56 4 4 4 2" xfId="2815"/>
    <cellStyle name="Normal 56 4 4 4 3" xfId="4526"/>
    <cellStyle name="Normal 56 4 4 5" xfId="2073"/>
    <cellStyle name="Normal 56 4 4 6" xfId="3147"/>
    <cellStyle name="Normal 56 4 5" xfId="1152"/>
    <cellStyle name="Normal 56 4 5 2" xfId="2156"/>
    <cellStyle name="Normal 56 4 5 2 2" xfId="5176"/>
    <cellStyle name="Normal 56 4 5 2 3" xfId="3668"/>
    <cellStyle name="Normal 56 4 5 3" xfId="4074"/>
    <cellStyle name="Normal 56 4 5 4" xfId="4791"/>
    <cellStyle name="Normal 56 4 5 5" xfId="3253"/>
    <cellStyle name="Normal 56 4 6" xfId="1208"/>
    <cellStyle name="Normal 56 4 6 2" xfId="2194"/>
    <cellStyle name="Normal 56 4 6 2 2" xfId="4887"/>
    <cellStyle name="Normal 56 4 6 2 3" xfId="3458"/>
    <cellStyle name="Normal 56 4 6 3" xfId="3864"/>
    <cellStyle name="Normal 56 4 6 4" xfId="4622"/>
    <cellStyle name="Normal 56 4 6 5" xfId="3019"/>
    <cellStyle name="Normal 56 4 7" xfId="1448"/>
    <cellStyle name="Normal 56 4 7 2" xfId="2428"/>
    <cellStyle name="Normal 56 4 7 2 2" xfId="4911"/>
    <cellStyle name="Normal 56 4 7 3" xfId="3384"/>
    <cellStyle name="Normal 56 4 8" xfId="1707"/>
    <cellStyle name="Normal 56 4 8 2" xfId="2686"/>
    <cellStyle name="Normal 56 4 8 3" xfId="3792"/>
    <cellStyle name="Normal 56 4 9" xfId="1919"/>
    <cellStyle name="Normal 56 4 9 2" xfId="4251"/>
    <cellStyle name="Normal 56 5" xfId="485"/>
    <cellStyle name="Normal 56 6" xfId="4252"/>
    <cellStyle name="Normal 56 7" xfId="4896"/>
    <cellStyle name="Normal 57" xfId="486"/>
    <cellStyle name="Normal 57 2" xfId="3020"/>
    <cellStyle name="Normal 57 2 2" xfId="4548"/>
    <cellStyle name="Normal 57 2 3" xfId="4253"/>
    <cellStyle name="Normal 57 3" xfId="2980"/>
    <cellStyle name="Normal 57 3 2" xfId="4540"/>
    <cellStyle name="Normal 57 3 3" xfId="4254"/>
    <cellStyle name="Normal 57 4" xfId="4979"/>
    <cellStyle name="Normal 58" xfId="487"/>
    <cellStyle name="Normal 58 2" xfId="488"/>
    <cellStyle name="Normal 58 3" xfId="489"/>
    <cellStyle name="Normal 59" xfId="490"/>
    <cellStyle name="Normal 6" xfId="491"/>
    <cellStyle name="Normal 6 2" xfId="492"/>
    <cellStyle name="Normal 6 2 2" xfId="788"/>
    <cellStyle name="Normal 6 2 3" xfId="2951"/>
    <cellStyle name="Normal 6 3" xfId="493"/>
    <cellStyle name="Normal 6 3 2" xfId="494"/>
    <cellStyle name="Normal 6 3 3" xfId="789"/>
    <cellStyle name="Normal 6 4" xfId="495"/>
    <cellStyle name="Normal 6 4 10" xfId="1209"/>
    <cellStyle name="Normal 6 4 10 2" xfId="2195"/>
    <cellStyle name="Normal 6 4 10 3" xfId="5326"/>
    <cellStyle name="Normal 6 4 11" xfId="1449"/>
    <cellStyle name="Normal 6 4 11 2" xfId="2429"/>
    <cellStyle name="Normal 6 4 11 3" xfId="5373"/>
    <cellStyle name="Normal 6 4 12" xfId="1708"/>
    <cellStyle name="Normal 6 4 12 2" xfId="2687"/>
    <cellStyle name="Normal 6 4 12 3" xfId="5422"/>
    <cellStyle name="Normal 6 4 13" xfId="1920"/>
    <cellStyle name="Normal 6 4 2" xfId="496"/>
    <cellStyle name="Normal 6 4 2 10" xfId="2904"/>
    <cellStyle name="Normal 6 4 2 2" xfId="856"/>
    <cellStyle name="Normal 6 4 2 2 2" xfId="962"/>
    <cellStyle name="Normal 6 4 2 2 2 2" xfId="1335"/>
    <cellStyle name="Normal 6 4 2 2 2 2 2" xfId="2315"/>
    <cellStyle name="Normal 6 4 2 2 2 2 2 2" xfId="4723"/>
    <cellStyle name="Normal 6 4 2 2 2 2 3" xfId="3599"/>
    <cellStyle name="Normal 6 4 2 2 2 3" xfId="1569"/>
    <cellStyle name="Normal 6 4 2 2 2 3 2" xfId="2549"/>
    <cellStyle name="Normal 6 4 2 2 2 3 2 2" xfId="5107"/>
    <cellStyle name="Normal 6 4 2 2 2 3 3" xfId="4005"/>
    <cellStyle name="Normal 6 4 2 2 2 4" xfId="1803"/>
    <cellStyle name="Normal 6 4 2 2 2 4 2" xfId="2782"/>
    <cellStyle name="Normal 6 4 2 2 2 4 3" xfId="4448"/>
    <cellStyle name="Normal 6 4 2 2 2 5" xfId="2040"/>
    <cellStyle name="Normal 6 4 2 2 2 6" xfId="3183"/>
    <cellStyle name="Normal 6 4 2 2 3" xfId="1044"/>
    <cellStyle name="Normal 6 4 2 2 3 2" xfId="1412"/>
    <cellStyle name="Normal 6 4 2 2 3 2 2" xfId="2392"/>
    <cellStyle name="Normal 6 4 2 2 3 2 2 2" xfId="5212"/>
    <cellStyle name="Normal 6 4 2 2 3 2 3" xfId="3704"/>
    <cellStyle name="Normal 6 4 2 2 3 3" xfId="1646"/>
    <cellStyle name="Normal 6 4 2 2 3 3 2" xfId="2626"/>
    <cellStyle name="Normal 6 4 2 2 3 3 3" xfId="4110"/>
    <cellStyle name="Normal 6 4 2 2 3 4" xfId="1880"/>
    <cellStyle name="Normal 6 4 2 2 3 4 2" xfId="2859"/>
    <cellStyle name="Normal 6 4 2 2 3 4 3" xfId="4582"/>
    <cellStyle name="Normal 6 4 2 2 3 5" xfId="2117"/>
    <cellStyle name="Normal 6 4 2 2 3 6" xfId="3290"/>
    <cellStyle name="Normal 6 4 2 2 4" xfId="1256"/>
    <cellStyle name="Normal 6 4 2 2 4 2" xfId="2238"/>
    <cellStyle name="Normal 6 4 2 2 4 2 2" xfId="5006"/>
    <cellStyle name="Normal 6 4 2 2 4 2 3" xfId="3494"/>
    <cellStyle name="Normal 6 4 2 2 4 3" xfId="3900"/>
    <cellStyle name="Normal 6 4 2 2 4 4" xfId="4646"/>
    <cellStyle name="Normal 6 4 2 2 4 5" xfId="3063"/>
    <cellStyle name="Normal 6 4 2 2 5" xfId="1492"/>
    <cellStyle name="Normal 6 4 2 2 5 2" xfId="2472"/>
    <cellStyle name="Normal 6 4 2 2 5 2 2" xfId="4947"/>
    <cellStyle name="Normal 6 4 2 2 5 3" xfId="3420"/>
    <cellStyle name="Normal 6 4 2 2 6" xfId="1726"/>
    <cellStyle name="Normal 6 4 2 2 6 2" xfId="2705"/>
    <cellStyle name="Normal 6 4 2 2 6 3" xfId="3827"/>
    <cellStyle name="Normal 6 4 2 2 7" xfId="1963"/>
    <cellStyle name="Normal 6 4 2 2 7 2" xfId="4300"/>
    <cellStyle name="Normal 6 4 2 2 8" xfId="2938"/>
    <cellStyle name="Normal 6 4 2 3" xfId="906"/>
    <cellStyle name="Normal 6 4 2 3 2" xfId="1291"/>
    <cellStyle name="Normal 6 4 2 3 2 2" xfId="2273"/>
    <cellStyle name="Normal 6 4 2 3 2 2 2" xfId="5141"/>
    <cellStyle name="Normal 6 4 2 3 2 2 3" xfId="3633"/>
    <cellStyle name="Normal 6 4 2 3 2 3" xfId="4039"/>
    <cellStyle name="Normal 6 4 2 3 2 4" xfId="4757"/>
    <cellStyle name="Normal 6 4 2 3 2 5" xfId="3217"/>
    <cellStyle name="Normal 6 4 2 3 3" xfId="1527"/>
    <cellStyle name="Normal 6 4 2 3 3 2" xfId="2507"/>
    <cellStyle name="Normal 6 4 2 3 3 2 2" xfId="5246"/>
    <cellStyle name="Normal 6 4 2 3 3 2 3" xfId="3738"/>
    <cellStyle name="Normal 6 4 2 3 3 3" xfId="4144"/>
    <cellStyle name="Normal 6 4 2 3 3 4" xfId="4833"/>
    <cellStyle name="Normal 6 4 2 3 3 5" xfId="3328"/>
    <cellStyle name="Normal 6 4 2 3 4" xfId="1761"/>
    <cellStyle name="Normal 6 4 2 3 4 2" xfId="2740"/>
    <cellStyle name="Normal 6 4 2 3 4 2 2" xfId="4674"/>
    <cellStyle name="Normal 6 4 2 3 4 3" xfId="3528"/>
    <cellStyle name="Normal 6 4 2 3 5" xfId="1998"/>
    <cellStyle name="Normal 6 4 2 3 5 2" xfId="5037"/>
    <cellStyle name="Normal 6 4 2 3 5 3" xfId="3934"/>
    <cellStyle name="Normal 6 4 2 3 6" xfId="4420"/>
    <cellStyle name="Normal 6 4 2 3 7" xfId="3101"/>
    <cellStyle name="Normal 6 4 2 4" xfId="1002"/>
    <cellStyle name="Normal 6 4 2 4 2" xfId="1370"/>
    <cellStyle name="Normal 6 4 2 4 2 2" xfId="2350"/>
    <cellStyle name="Normal 6 4 2 4 2 2 2" xfId="5072"/>
    <cellStyle name="Normal 6 4 2 4 2 3" xfId="3564"/>
    <cellStyle name="Normal 6 4 2 4 3" xfId="1604"/>
    <cellStyle name="Normal 6 4 2 4 3 2" xfId="2584"/>
    <cellStyle name="Normal 6 4 2 4 3 3" xfId="3970"/>
    <cellStyle name="Normal 6 4 2 4 4" xfId="1838"/>
    <cellStyle name="Normal 6 4 2 4 4 2" xfId="2817"/>
    <cellStyle name="Normal 6 4 2 4 4 3" xfId="4529"/>
    <cellStyle name="Normal 6 4 2 4 5" xfId="2075"/>
    <cellStyle name="Normal 6 4 2 4 6" xfId="3148"/>
    <cellStyle name="Normal 6 4 2 5" xfId="1154"/>
    <cellStyle name="Normal 6 4 2 5 2" xfId="2158"/>
    <cellStyle name="Normal 6 4 2 5 2 2" xfId="5177"/>
    <cellStyle name="Normal 6 4 2 5 2 3" xfId="3669"/>
    <cellStyle name="Normal 6 4 2 5 3" xfId="4075"/>
    <cellStyle name="Normal 6 4 2 5 4" xfId="4792"/>
    <cellStyle name="Normal 6 4 2 5 5" xfId="3254"/>
    <cellStyle name="Normal 6 4 2 6" xfId="1210"/>
    <cellStyle name="Normal 6 4 2 6 2" xfId="2196"/>
    <cellStyle name="Normal 6 4 2 6 2 2" xfId="4986"/>
    <cellStyle name="Normal 6 4 2 6 2 3" xfId="3459"/>
    <cellStyle name="Normal 6 4 2 6 3" xfId="3865"/>
    <cellStyle name="Normal 6 4 2 6 4" xfId="4466"/>
    <cellStyle name="Normal 6 4 2 6 5" xfId="3021"/>
    <cellStyle name="Normal 6 4 2 7" xfId="1450"/>
    <cellStyle name="Normal 6 4 2 7 2" xfId="2430"/>
    <cellStyle name="Normal 6 4 2 7 2 2" xfId="4913"/>
    <cellStyle name="Normal 6 4 2 7 3" xfId="3385"/>
    <cellStyle name="Normal 6 4 2 8" xfId="1709"/>
    <cellStyle name="Normal 6 4 2 8 2" xfId="2688"/>
    <cellStyle name="Normal 6 4 2 8 3" xfId="3793"/>
    <cellStyle name="Normal 6 4 2 9" xfId="1921"/>
    <cellStyle name="Normal 6 4 2 9 2" xfId="4256"/>
    <cellStyle name="Normal 6 4 3" xfId="497"/>
    <cellStyle name="Normal 6 4 4" xfId="790"/>
    <cellStyle name="Normal 6 4 4 10" xfId="2905"/>
    <cellStyle name="Normal 6 4 4 2" xfId="926"/>
    <cellStyle name="Normal 6 4 4 2 2" xfId="1302"/>
    <cellStyle name="Normal 6 4 4 2 2 2" xfId="2282"/>
    <cellStyle name="Normal 6 4 4 2 2 2 2" xfId="5108"/>
    <cellStyle name="Normal 6 4 4 2 2 2 3" xfId="3600"/>
    <cellStyle name="Normal 6 4 4 2 2 3" xfId="4006"/>
    <cellStyle name="Normal 6 4 4 2 2 4" xfId="4724"/>
    <cellStyle name="Normal 6 4 4 2 2 5" xfId="3184"/>
    <cellStyle name="Normal 6 4 4 2 3" xfId="1536"/>
    <cellStyle name="Normal 6 4 4 2 3 2" xfId="2516"/>
    <cellStyle name="Normal 6 4 4 2 3 2 2" xfId="5213"/>
    <cellStyle name="Normal 6 4 4 2 3 2 3" xfId="3705"/>
    <cellStyle name="Normal 6 4 4 2 3 3" xfId="4111"/>
    <cellStyle name="Normal 6 4 4 2 3 4" xfId="4804"/>
    <cellStyle name="Normal 6 4 4 2 3 5" xfId="3291"/>
    <cellStyle name="Normal 6 4 4 2 4" xfId="1770"/>
    <cellStyle name="Normal 6 4 4 2 4 2" xfId="2749"/>
    <cellStyle name="Normal 6 4 4 2 4 2 2" xfId="5007"/>
    <cellStyle name="Normal 6 4 4 2 4 2 3" xfId="3495"/>
    <cellStyle name="Normal 6 4 4 2 4 3" xfId="3901"/>
    <cellStyle name="Normal 6 4 4 2 4 4" xfId="4647"/>
    <cellStyle name="Normal 6 4 4 2 4 5" xfId="3064"/>
    <cellStyle name="Normal 6 4 4 2 5" xfId="2007"/>
    <cellStyle name="Normal 6 4 4 2 5 2" xfId="4489"/>
    <cellStyle name="Normal 6 4 4 2 5 3" xfId="3421"/>
    <cellStyle name="Normal 6 4 4 2 6" xfId="3828"/>
    <cellStyle name="Normal 6 4 4 2 6 2" xfId="4994"/>
    <cellStyle name="Normal 6 4 4 2 7" xfId="4447"/>
    <cellStyle name="Normal 6 4 4 2 8" xfId="2939"/>
    <cellStyle name="Normal 6 4 4 3" xfId="1011"/>
    <cellStyle name="Normal 6 4 4 3 2" xfId="1379"/>
    <cellStyle name="Normal 6 4 4 3 2 2" xfId="2359"/>
    <cellStyle name="Normal 6 4 4 3 2 2 2" xfId="5142"/>
    <cellStyle name="Normal 6 4 4 3 2 2 3" xfId="3634"/>
    <cellStyle name="Normal 6 4 4 3 2 3" xfId="4040"/>
    <cellStyle name="Normal 6 4 4 3 2 4" xfId="4758"/>
    <cellStyle name="Normal 6 4 4 3 2 5" xfId="3218"/>
    <cellStyle name="Normal 6 4 4 3 3" xfId="1613"/>
    <cellStyle name="Normal 6 4 4 3 3 2" xfId="2593"/>
    <cellStyle name="Normal 6 4 4 3 3 2 2" xfId="5247"/>
    <cellStyle name="Normal 6 4 4 3 3 2 3" xfId="3739"/>
    <cellStyle name="Normal 6 4 4 3 3 3" xfId="4145"/>
    <cellStyle name="Normal 6 4 4 3 3 4" xfId="4834"/>
    <cellStyle name="Normal 6 4 4 3 3 5" xfId="3329"/>
    <cellStyle name="Normal 6 4 4 3 4" xfId="1847"/>
    <cellStyle name="Normal 6 4 4 3 4 2" xfId="2826"/>
    <cellStyle name="Normal 6 4 4 3 4 2 2" xfId="5038"/>
    <cellStyle name="Normal 6 4 4 3 4 3" xfId="3529"/>
    <cellStyle name="Normal 6 4 4 3 5" xfId="2084"/>
    <cellStyle name="Normal 6 4 4 3 5 2" xfId="3935"/>
    <cellStyle name="Normal 6 4 4 3 6" xfId="4581"/>
    <cellStyle name="Normal 6 4 4 3 7" xfId="3102"/>
    <cellStyle name="Normal 6 4 4 4" xfId="1155"/>
    <cellStyle name="Normal 6 4 4 4 2" xfId="2159"/>
    <cellStyle name="Normal 6 4 4 4 2 2" xfId="5073"/>
    <cellStyle name="Normal 6 4 4 4 2 3" xfId="3565"/>
    <cellStyle name="Normal 6 4 4 4 3" xfId="3971"/>
    <cellStyle name="Normal 6 4 4 4 4" xfId="4691"/>
    <cellStyle name="Normal 6 4 4 4 5" xfId="3149"/>
    <cellStyle name="Normal 6 4 4 5" xfId="1222"/>
    <cellStyle name="Normal 6 4 4 5 2" xfId="2205"/>
    <cellStyle name="Normal 6 4 4 5 2 2" xfId="5178"/>
    <cellStyle name="Normal 6 4 4 5 2 3" xfId="3670"/>
    <cellStyle name="Normal 6 4 4 5 3" xfId="4076"/>
    <cellStyle name="Normal 6 4 4 5 4" xfId="4793"/>
    <cellStyle name="Normal 6 4 4 5 5" xfId="3255"/>
    <cellStyle name="Normal 6 4 4 6" xfId="1459"/>
    <cellStyle name="Normal 6 4 4 6 2" xfId="2439"/>
    <cellStyle name="Normal 6 4 4 6 2 2" xfId="4993"/>
    <cellStyle name="Normal 6 4 4 6 2 3" xfId="3460"/>
    <cellStyle name="Normal 6 4 4 6 3" xfId="3866"/>
    <cellStyle name="Normal 6 4 4 6 4" xfId="4499"/>
    <cellStyle name="Normal 6 4 4 6 5" xfId="3022"/>
    <cellStyle name="Normal 6 4 4 7" xfId="1710"/>
    <cellStyle name="Normal 6 4 4 7 2" xfId="2689"/>
    <cellStyle name="Normal 6 4 4 7 2 2" xfId="4946"/>
    <cellStyle name="Normal 6 4 4 7 3" xfId="3386"/>
    <cellStyle name="Normal 6 4 4 8" xfId="1930"/>
    <cellStyle name="Normal 6 4 4 8 2" xfId="3794"/>
    <cellStyle name="Normal 6 4 4 9" xfId="4299"/>
    <cellStyle name="Normal 6 4 5" xfId="791"/>
    <cellStyle name="Normal 6 4 6" xfId="855"/>
    <cellStyle name="Normal 6 4 6 2" xfId="961"/>
    <cellStyle name="Normal 6 4 6 2 2" xfId="1334"/>
    <cellStyle name="Normal 6 4 6 2 2 2" xfId="2314"/>
    <cellStyle name="Normal 6 4 6 2 2 3" xfId="5351"/>
    <cellStyle name="Normal 6 4 6 2 3" xfId="1568"/>
    <cellStyle name="Normal 6 4 6 2 3 2" xfId="2548"/>
    <cellStyle name="Normal 6 4 6 2 3 3" xfId="5391"/>
    <cellStyle name="Normal 6 4 6 2 4" xfId="1802"/>
    <cellStyle name="Normal 6 4 6 2 4 2" xfId="2781"/>
    <cellStyle name="Normal 6 4 6 2 4 3" xfId="5441"/>
    <cellStyle name="Normal 6 4 6 2 5" xfId="2039"/>
    <cellStyle name="Normal 6 4 6 2 6" xfId="5263"/>
    <cellStyle name="Normal 6 4 6 3" xfId="1043"/>
    <cellStyle name="Normal 6 4 6 3 2" xfId="1411"/>
    <cellStyle name="Normal 6 4 6 3 2 2" xfId="2391"/>
    <cellStyle name="Normal 6 4 6 3 2 3" xfId="5365"/>
    <cellStyle name="Normal 6 4 6 3 3" xfId="1645"/>
    <cellStyle name="Normal 6 4 6 3 3 2" xfId="2625"/>
    <cellStyle name="Normal 6 4 6 3 3 3" xfId="5406"/>
    <cellStyle name="Normal 6 4 6 3 4" xfId="1879"/>
    <cellStyle name="Normal 6 4 6 3 4 2" xfId="2858"/>
    <cellStyle name="Normal 6 4 6 3 4 3" xfId="5462"/>
    <cellStyle name="Normal 6 4 6 3 5" xfId="2116"/>
    <cellStyle name="Normal 6 4 6 3 6" xfId="5275"/>
    <cellStyle name="Normal 6 4 6 4" xfId="1255"/>
    <cellStyle name="Normal 6 4 6 4 2" xfId="2237"/>
    <cellStyle name="Normal 6 4 6 4 3" xfId="5336"/>
    <cellStyle name="Normal 6 4 6 5" xfId="1491"/>
    <cellStyle name="Normal 6 4 6 5 2" xfId="2471"/>
    <cellStyle name="Normal 6 4 6 5 3" xfId="5378"/>
    <cellStyle name="Normal 6 4 6 6" xfId="1725"/>
    <cellStyle name="Normal 6 4 6 6 2" xfId="2704"/>
    <cellStyle name="Normal 6 4 6 6 3" xfId="5426"/>
    <cellStyle name="Normal 6 4 6 7" xfId="1962"/>
    <cellStyle name="Normal 6 4 6 8" xfId="4419"/>
    <cellStyle name="Normal 6 4 7" xfId="905"/>
    <cellStyle name="Normal 6 4 7 2" xfId="1290"/>
    <cellStyle name="Normal 6 4 7 2 2" xfId="2272"/>
    <cellStyle name="Normal 6 4 7 2 3" xfId="5344"/>
    <cellStyle name="Normal 6 4 7 3" xfId="1526"/>
    <cellStyle name="Normal 6 4 7 3 2" xfId="2506"/>
    <cellStyle name="Normal 6 4 7 3 3" xfId="5385"/>
    <cellStyle name="Normal 6 4 7 4" xfId="1760"/>
    <cellStyle name="Normal 6 4 7 4 2" xfId="2739"/>
    <cellStyle name="Normal 6 4 7 4 3" xfId="5432"/>
    <cellStyle name="Normal 6 4 7 5" xfId="1997"/>
    <cellStyle name="Normal 6 4 7 6" xfId="4528"/>
    <cellStyle name="Normal 6 4 8" xfId="1001"/>
    <cellStyle name="Normal 6 4 8 2" xfId="1369"/>
    <cellStyle name="Normal 6 4 8 2 2" xfId="2349"/>
    <cellStyle name="Normal 6 4 8 2 3" xfId="5358"/>
    <cellStyle name="Normal 6 4 8 3" xfId="1603"/>
    <cellStyle name="Normal 6 4 8 3 2" xfId="2583"/>
    <cellStyle name="Normal 6 4 8 3 3" xfId="5398"/>
    <cellStyle name="Normal 6 4 8 4" xfId="1837"/>
    <cellStyle name="Normal 6 4 8 4 2" xfId="2816"/>
    <cellStyle name="Normal 6 4 8 4 3" xfId="5451"/>
    <cellStyle name="Normal 6 4 8 5" xfId="2074"/>
    <cellStyle name="Normal 6 4 8 6" xfId="4912"/>
    <cellStyle name="Normal 6 4 9" xfId="1153"/>
    <cellStyle name="Normal 6 4 9 2" xfId="2157"/>
    <cellStyle name="Normal 6 4 9 3" xfId="4255"/>
    <cellStyle name="Normal 6 5" xfId="498"/>
    <cellStyle name="Normal 6 6" xfId="499"/>
    <cellStyle name="Normal 6_Sheet2" xfId="2952"/>
    <cellStyle name="Normal 60" xfId="500"/>
    <cellStyle name="Normal 61" xfId="501"/>
    <cellStyle name="Normal 62" xfId="502"/>
    <cellStyle name="Normal 62 2" xfId="792"/>
    <cellStyle name="Normal 62 2 2" xfId="3292"/>
    <cellStyle name="Normal 62 2 3" xfId="3065"/>
    <cellStyle name="Normal 62 3" xfId="903"/>
    <cellStyle name="Normal 62 3 2" xfId="873"/>
    <cellStyle name="Normal 62 3 3" xfId="1156"/>
    <cellStyle name="Normal 62 3 3 2" xfId="5311"/>
    <cellStyle name="Normal 62 4" xfId="3233"/>
    <cellStyle name="Normal 62 5" xfId="2987"/>
    <cellStyle name="Normal 63" xfId="503"/>
    <cellStyle name="Normal 64" xfId="757"/>
    <cellStyle name="Normal 64 2" xfId="927"/>
    <cellStyle name="Normal 64 3" xfId="1221"/>
    <cellStyle name="Normal 64 3 2" xfId="5329"/>
    <cellStyle name="Normal 65" xfId="1046"/>
    <cellStyle name="Normal 65 2" xfId="1414"/>
    <cellStyle name="Normal 65 2 2" xfId="2394"/>
    <cellStyle name="Normal 65 2 3" xfId="5366"/>
    <cellStyle name="Normal 65 3" xfId="1648"/>
    <cellStyle name="Normal 65 3 2" xfId="2628"/>
    <cellStyle name="Normal 65 3 3" xfId="5407"/>
    <cellStyle name="Normal 65 4" xfId="1882"/>
    <cellStyle name="Normal 65 4 2" xfId="2861"/>
    <cellStyle name="Normal 65 4 3" xfId="5463"/>
    <cellStyle name="Normal 65 5" xfId="2119"/>
    <cellStyle name="Normal 65 6" xfId="3026"/>
    <cellStyle name="Normal 65 7" xfId="5276"/>
    <cellStyle name="Normal 66" xfId="1048"/>
    <cellStyle name="Normal 66 2" xfId="3027"/>
    <cellStyle name="Normal 67" xfId="3028"/>
    <cellStyle name="Normal 68" xfId="3029"/>
    <cellStyle name="Normal 69" xfId="3031"/>
    <cellStyle name="Normal 69 2" xfId="3258"/>
    <cellStyle name="Normal 7" xfId="504"/>
    <cellStyle name="Normal 7 10" xfId="793"/>
    <cellStyle name="Normal 7 10 2" xfId="925"/>
    <cellStyle name="Normal 7 10 2 2" xfId="4525"/>
    <cellStyle name="Normal 7 10 3" xfId="4380"/>
    <cellStyle name="Normal 7 2" xfId="505"/>
    <cellStyle name="Normal 7 2 2" xfId="506"/>
    <cellStyle name="Normal 7 2 2 2" xfId="795"/>
    <cellStyle name="Normal 7 2 3" xfId="507"/>
    <cellStyle name="Normal 7 2 3 2" xfId="508"/>
    <cellStyle name="Normal 7 2 3 2 2" xfId="509"/>
    <cellStyle name="Normal 7 2 3 2 3" xfId="510"/>
    <cellStyle name="Normal 7 2 3 2 3 2" xfId="511"/>
    <cellStyle name="Normal 7 2 3 2 4" xfId="512"/>
    <cellStyle name="Normal 7 2 3 2 5" xfId="513"/>
    <cellStyle name="Normal 7 2 3 2 6" xfId="796"/>
    <cellStyle name="Normal 7 2 3 2 6 2" xfId="872"/>
    <cellStyle name="Normal 7 2 3 2 6 2 2" xfId="4590"/>
    <cellStyle name="Normal 7 2 3 2 6 3" xfId="4381"/>
    <cellStyle name="Normal 7 2 3 2 7" xfId="1157"/>
    <cellStyle name="Normal 7 2 3 3" xfId="514"/>
    <cellStyle name="Normal 7 2 4" xfId="515"/>
    <cellStyle name="Normal 7 2 4 2" xfId="516"/>
    <cellStyle name="Normal 7 2 5" xfId="517"/>
    <cellStyle name="Normal 7 2 6" xfId="794"/>
    <cellStyle name="Normal 7 2 6 2" xfId="908"/>
    <cellStyle name="Normal 7 2 6 2 2" xfId="4527"/>
    <cellStyle name="Normal 7 2 6 3" xfId="4382"/>
    <cellStyle name="Normal 7 3" xfId="518"/>
    <cellStyle name="Normal 7 3 2" xfId="519"/>
    <cellStyle name="Normal 7 3 2 2" xfId="520"/>
    <cellStyle name="Normal 7 3 3" xfId="521"/>
    <cellStyle name="Normal 7 4" xfId="522"/>
    <cellStyle name="Normal 7 4 2" xfId="523"/>
    <cellStyle name="Normal 7 4 3" xfId="524"/>
    <cellStyle name="Normal 7 5" xfId="525"/>
    <cellStyle name="Normal 7 5 2" xfId="526"/>
    <cellStyle name="Normal 7 5 3" xfId="527"/>
    <cellStyle name="Normal 7 6" xfId="528"/>
    <cellStyle name="Normal 7 6 2" xfId="529"/>
    <cellStyle name="Normal 7 6 2 2" xfId="3023"/>
    <cellStyle name="Normal 7 6 2 3" xfId="2981"/>
    <cellStyle name="Normal 7 6 3" xfId="530"/>
    <cellStyle name="Normal 7 6 4" xfId="797"/>
    <cellStyle name="Normal 7 6 4 2" xfId="875"/>
    <cellStyle name="Normal 7 6 4 2 2" xfId="4159"/>
    <cellStyle name="Normal 7 6 4 3" xfId="1159"/>
    <cellStyle name="Normal 7 6 4 3 2" xfId="5313"/>
    <cellStyle name="Normal 7 6 5" xfId="1160"/>
    <cellStyle name="Normal 7 6 6" xfId="1158"/>
    <cellStyle name="Normal 7 6 6 2" xfId="5312"/>
    <cellStyle name="Normal 7 7" xfId="531"/>
    <cellStyle name="Normal 7 7 2" xfId="798"/>
    <cellStyle name="Normal 7 7 3" xfId="799"/>
    <cellStyle name="Normal 7 8" xfId="532"/>
    <cellStyle name="Normal 7 9" xfId="533"/>
    <cellStyle name="Normal 70" xfId="3067"/>
    <cellStyle name="Normal 70 2" xfId="3294"/>
    <cellStyle name="Normal 71" xfId="3068"/>
    <cellStyle name="Normal 71 2" xfId="3295"/>
    <cellStyle name="Normal 72" xfId="3069"/>
    <cellStyle name="Normal 72 2" xfId="3296"/>
    <cellStyle name="Normal 73" xfId="3104"/>
    <cellStyle name="Normal 74" xfId="3105"/>
    <cellStyle name="Normal 75" xfId="3106"/>
    <cellStyle name="Normal 76" xfId="3107"/>
    <cellStyle name="Normal 77" xfId="3108"/>
    <cellStyle name="Normal 78" xfId="3109"/>
    <cellStyle name="Normal 79" xfId="3110"/>
    <cellStyle name="Normal 8" xfId="534"/>
    <cellStyle name="Normal 8 2" xfId="535"/>
    <cellStyle name="Normal 8 2 2" xfId="536"/>
    <cellStyle name="Normal 8 2 3" xfId="537"/>
    <cellStyle name="Normal 8 2 3 2" xfId="4383"/>
    <cellStyle name="Normal 8 3" xfId="538"/>
    <cellStyle name="Normal 8 3 2" xfId="539"/>
    <cellStyle name="Normal 8 3 2 2" xfId="540"/>
    <cellStyle name="Normal 8 3 2 3" xfId="800"/>
    <cellStyle name="Normal 8 3 2 3 2" xfId="911"/>
    <cellStyle name="Normal 8 3 2 3 2 2" xfId="4160"/>
    <cellStyle name="Normal 8 3 2 3 3" xfId="1162"/>
    <cellStyle name="Normal 8 3 2 3 3 2" xfId="5315"/>
    <cellStyle name="Normal 8 3 2 4" xfId="1163"/>
    <cellStyle name="Normal 8 3 2 5" xfId="1161"/>
    <cellStyle name="Normal 8 3 2 5 2" xfId="5314"/>
    <cellStyle name="Normal 8 4" xfId="541"/>
    <cellStyle name="Normal 8 4 2" xfId="542"/>
    <cellStyle name="Normal 8 4 3" xfId="801"/>
    <cellStyle name="Normal 8 4 3 2" xfId="891"/>
    <cellStyle name="Normal 8 4 3 2 2" xfId="4161"/>
    <cellStyle name="Normal 8 4 3 3" xfId="1165"/>
    <cellStyle name="Normal 8 4 3 3 2" xfId="5317"/>
    <cellStyle name="Normal 8 4 4" xfId="1166"/>
    <cellStyle name="Normal 8 4 5" xfId="1164"/>
    <cellStyle name="Normal 8 4 5 2" xfId="5316"/>
    <cellStyle name="Normal 8 5" xfId="802"/>
    <cellStyle name="Normal 80" xfId="3111"/>
    <cellStyle name="Normal 81" xfId="3112"/>
    <cellStyle name="Normal 82" xfId="3113"/>
    <cellStyle name="Normal 83" xfId="3118"/>
    <cellStyle name="Normal 84" xfId="4487"/>
    <cellStyle name="Normal 85" xfId="4625"/>
    <cellStyle name="Normal 86" xfId="4836"/>
    <cellStyle name="Normal 87" xfId="4837"/>
    <cellStyle name="Normal 88" xfId="4838"/>
    <cellStyle name="Normal 89" xfId="4524"/>
    <cellStyle name="Normal 9" xfId="543"/>
    <cellStyle name="Normal 9 2" xfId="544"/>
    <cellStyle name="Normal 9 2 2" xfId="545"/>
    <cellStyle name="Normal 9 2 3" xfId="546"/>
    <cellStyle name="Normal 9 3" xfId="547"/>
    <cellStyle name="Normal 9 4" xfId="548"/>
    <cellStyle name="Normal 9 5" xfId="549"/>
    <cellStyle name="Normal 9 5 2" xfId="803"/>
    <cellStyle name="Normal 9 5 3" xfId="804"/>
    <cellStyle name="Normal 90" xfId="4474"/>
    <cellStyle name="Normal 91" xfId="4840"/>
    <cellStyle name="Normal 92" xfId="4839"/>
    <cellStyle name="Normal 93" xfId="4610"/>
    <cellStyle name="Normal 94" xfId="4479"/>
    <cellStyle name="Normal 95" xfId="4842"/>
    <cellStyle name="Normal 96" xfId="4843"/>
    <cellStyle name="Normal 97" xfId="4518"/>
    <cellStyle name="Normal 98" xfId="4609"/>
    <cellStyle name="Normal 99" xfId="484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553"/>
    <cellStyle name="Note 2 2" xfId="554"/>
    <cellStyle name="Note 2 2 2" xfId="3024"/>
    <cellStyle name="Note 2 2 3" xfId="2984"/>
    <cellStyle name="Note 2 3" xfId="555"/>
    <cellStyle name="Note 2 3 10" xfId="2906"/>
    <cellStyle name="Note 2 3 2" xfId="857"/>
    <cellStyle name="Note 2 3 2 2" xfId="963"/>
    <cellStyle name="Note 2 3 2 2 2" xfId="1336"/>
    <cellStyle name="Note 2 3 2 2 2 2" xfId="2316"/>
    <cellStyle name="Note 2 3 2 2 2 2 2" xfId="4725"/>
    <cellStyle name="Note 2 3 2 2 2 3" xfId="3601"/>
    <cellStyle name="Note 2 3 2 2 3" xfId="1570"/>
    <cellStyle name="Note 2 3 2 2 3 2" xfId="2550"/>
    <cellStyle name="Note 2 3 2 2 3 2 2" xfId="5109"/>
    <cellStyle name="Note 2 3 2 2 3 3" xfId="4007"/>
    <cellStyle name="Note 2 3 2 2 4" xfId="1804"/>
    <cellStyle name="Note 2 3 2 2 4 2" xfId="2783"/>
    <cellStyle name="Note 2 3 2 2 4 3" xfId="4465"/>
    <cellStyle name="Note 2 3 2 2 5" xfId="2041"/>
    <cellStyle name="Note 2 3 2 2 6" xfId="3185"/>
    <cellStyle name="Note 2 3 2 3" xfId="1045"/>
    <cellStyle name="Note 2 3 2 3 2" xfId="1413"/>
    <cellStyle name="Note 2 3 2 3 2 2" xfId="2393"/>
    <cellStyle name="Note 2 3 2 3 2 2 2" xfId="5214"/>
    <cellStyle name="Note 2 3 2 3 2 3" xfId="3706"/>
    <cellStyle name="Note 2 3 2 3 3" xfId="1647"/>
    <cellStyle name="Note 2 3 2 3 3 2" xfId="2627"/>
    <cellStyle name="Note 2 3 2 3 3 3" xfId="4112"/>
    <cellStyle name="Note 2 3 2 3 4" xfId="1881"/>
    <cellStyle name="Note 2 3 2 3 4 2" xfId="2860"/>
    <cellStyle name="Note 2 3 2 3 4 3" xfId="4612"/>
    <cellStyle name="Note 2 3 2 3 5" xfId="2118"/>
    <cellStyle name="Note 2 3 2 3 6" xfId="3293"/>
    <cellStyle name="Note 2 3 2 4" xfId="1257"/>
    <cellStyle name="Note 2 3 2 4 2" xfId="2239"/>
    <cellStyle name="Note 2 3 2 4 2 2" xfId="5008"/>
    <cellStyle name="Note 2 3 2 4 2 3" xfId="3496"/>
    <cellStyle name="Note 2 3 2 4 3" xfId="3902"/>
    <cellStyle name="Note 2 3 2 4 4" xfId="4648"/>
    <cellStyle name="Note 2 3 2 4 5" xfId="3066"/>
    <cellStyle name="Note 2 3 2 5" xfId="1493"/>
    <cellStyle name="Note 2 3 2 5 2" xfId="2473"/>
    <cellStyle name="Note 2 3 2 5 2 2" xfId="4990"/>
    <cellStyle name="Note 2 3 2 5 3" xfId="3422"/>
    <cellStyle name="Note 2 3 2 6" xfId="1727"/>
    <cellStyle name="Note 2 3 2 6 2" xfId="2706"/>
    <cellStyle name="Note 2 3 2 6 3" xfId="3829"/>
    <cellStyle name="Note 2 3 2 7" xfId="1964"/>
    <cellStyle name="Note 2 3 2 7 2" xfId="4384"/>
    <cellStyle name="Note 2 3 2 8" xfId="2940"/>
    <cellStyle name="Note 2 3 3" xfId="909"/>
    <cellStyle name="Note 2 3 3 2" xfId="1292"/>
    <cellStyle name="Note 2 3 3 2 2" xfId="2274"/>
    <cellStyle name="Note 2 3 3 2 2 2" xfId="5143"/>
    <cellStyle name="Note 2 3 3 2 2 3" xfId="3635"/>
    <cellStyle name="Note 2 3 3 2 3" xfId="4041"/>
    <cellStyle name="Note 2 3 3 2 4" xfId="4759"/>
    <cellStyle name="Note 2 3 3 2 5" xfId="3219"/>
    <cellStyle name="Note 2 3 3 3" xfId="1528"/>
    <cellStyle name="Note 2 3 3 3 2" xfId="2508"/>
    <cellStyle name="Note 2 3 3 3 2 2" xfId="5248"/>
    <cellStyle name="Note 2 3 3 3 2 3" xfId="3740"/>
    <cellStyle name="Note 2 3 3 3 3" xfId="4146"/>
    <cellStyle name="Note 2 3 3 3 4" xfId="4835"/>
    <cellStyle name="Note 2 3 3 3 5" xfId="3330"/>
    <cellStyle name="Note 2 3 3 4" xfId="1762"/>
    <cellStyle name="Note 2 3 3 4 2" xfId="2741"/>
    <cellStyle name="Note 2 3 3 4 2 2" xfId="5039"/>
    <cellStyle name="Note 2 3 3 4 3" xfId="3530"/>
    <cellStyle name="Note 2 3 3 5" xfId="1999"/>
    <cellStyle name="Note 2 3 3 5 2" xfId="3936"/>
    <cellStyle name="Note 2 3 3 6" xfId="4675"/>
    <cellStyle name="Note 2 3 3 7" xfId="3103"/>
    <cellStyle name="Note 2 3 4" xfId="1003"/>
    <cellStyle name="Note 2 3 4 2" xfId="1371"/>
    <cellStyle name="Note 2 3 4 2 2" xfId="2351"/>
    <cellStyle name="Note 2 3 4 2 2 2" xfId="5074"/>
    <cellStyle name="Note 2 3 4 2 3" xfId="3566"/>
    <cellStyle name="Note 2 3 4 3" xfId="1605"/>
    <cellStyle name="Note 2 3 4 3 2" xfId="2585"/>
    <cellStyle name="Note 2 3 4 3 3" xfId="3972"/>
    <cellStyle name="Note 2 3 4 4" xfId="1839"/>
    <cellStyle name="Note 2 3 4 4 2" xfId="2818"/>
    <cellStyle name="Note 2 3 4 4 3" xfId="4692"/>
    <cellStyle name="Note 2 3 4 5" xfId="2076"/>
    <cellStyle name="Note 2 3 4 6" xfId="3150"/>
    <cellStyle name="Note 2 3 5" xfId="1167"/>
    <cellStyle name="Note 2 3 5 2" xfId="2160"/>
    <cellStyle name="Note 2 3 5 2 2" xfId="5179"/>
    <cellStyle name="Note 2 3 5 2 3" xfId="3671"/>
    <cellStyle name="Note 2 3 5 3" xfId="4077"/>
    <cellStyle name="Note 2 3 5 4" xfId="4794"/>
    <cellStyle name="Note 2 3 5 5" xfId="3256"/>
    <cellStyle name="Note 2 3 6" xfId="1211"/>
    <cellStyle name="Note 2 3 6 2" xfId="2197"/>
    <cellStyle name="Note 2 3 6 2 2" xfId="4853"/>
    <cellStyle name="Note 2 3 6 2 3" xfId="3461"/>
    <cellStyle name="Note 2 3 6 3" xfId="3867"/>
    <cellStyle name="Note 2 3 6 4" xfId="4549"/>
    <cellStyle name="Note 2 3 6 5" xfId="3025"/>
    <cellStyle name="Note 2 3 7" xfId="1451"/>
    <cellStyle name="Note 2 3 7 2" xfId="2431"/>
    <cellStyle name="Note 2 3 7 3" xfId="3388"/>
    <cellStyle name="Note 2 3 8" xfId="1711"/>
    <cellStyle name="Note 2 3 8 2" xfId="2690"/>
    <cellStyle name="Note 2 3 8 3" xfId="3795"/>
    <cellStyle name="Note 2 3 9" xfId="1922"/>
    <cellStyle name="Note 2 3 9 2" xfId="4257"/>
    <cellStyle name="Note 2 4" xfId="805"/>
    <cellStyle name="Note 2 4 2" xfId="4385"/>
    <cellStyle name="Note 2 4 3" xfId="4258"/>
    <cellStyle name="Note 2 5" xfId="806"/>
    <cellStyle name="Note 2 6" xfId="1168"/>
    <cellStyle name="Note 2 6 2" xfId="4386"/>
    <cellStyle name="Note 2 6 3" xfId="4275"/>
    <cellStyle name="Note 3" xfId="556"/>
    <cellStyle name="Note 3 2" xfId="4387"/>
    <cellStyle name="Note 3 3" xfId="4259"/>
    <cellStyle name="Note 4" xfId="557"/>
    <cellStyle name="Note 4 2" xfId="4388"/>
    <cellStyle name="Note 4 3" xfId="4260"/>
    <cellStyle name="Note 5" xfId="558"/>
    <cellStyle name="Note 5 2" xfId="4389"/>
    <cellStyle name="Note 5 3" xfId="4261"/>
    <cellStyle name="Note 6" xfId="559"/>
    <cellStyle name="Note 6 2" xfId="4390"/>
    <cellStyle name="Note 6 3" xfId="4262"/>
    <cellStyle name="Output 2" xfId="560"/>
    <cellStyle name="Output 2 2" xfId="561"/>
    <cellStyle name="Output 2 3" xfId="562"/>
    <cellStyle name="Output 2 4" xfId="807"/>
    <cellStyle name="Output 2 5" xfId="808"/>
    <cellStyle name="Output 2 6" xfId="1169"/>
    <cellStyle name="Output 3" xfId="563"/>
    <cellStyle name="Output 4" xfId="564"/>
    <cellStyle name="Percent 10" xfId="565"/>
    <cellStyle name="Percent 2" xfId="566"/>
    <cellStyle name="Percent 2 2" xfId="567"/>
    <cellStyle name="Percent 2 2 2" xfId="809"/>
    <cellStyle name="Percent 2 3" xfId="568"/>
    <cellStyle name="Percent 3" xfId="569"/>
    <cellStyle name="Percent 3 2" xfId="570"/>
    <cellStyle name="Percent 3 2 2" xfId="571"/>
    <cellStyle name="Percent 3 2 2 2" xfId="810"/>
    <cellStyle name="Percent 3 2 3" xfId="572"/>
    <cellStyle name="Percent 3 2 3 2" xfId="811"/>
    <cellStyle name="Percent 3 2 4" xfId="812"/>
    <cellStyle name="Percent 3 3" xfId="573"/>
    <cellStyle name="Percent 3 3 2" xfId="813"/>
    <cellStyle name="Percent 3 3 3" xfId="814"/>
    <cellStyle name="Percent 3 4" xfId="574"/>
    <cellStyle name="Percent 4" xfId="575"/>
    <cellStyle name="Percent 4 2" xfId="576"/>
    <cellStyle name="Percent 4 3" xfId="577"/>
    <cellStyle name="Percent 4 4" xfId="578"/>
    <cellStyle name="Percent 4 5" xfId="815"/>
    <cellStyle name="Percent 4 5 2" xfId="968"/>
    <cellStyle name="Percent 4 5 3" xfId="1223"/>
    <cellStyle name="Percent 4 5 3 2" xfId="5330"/>
    <cellStyle name="Percent 4 6" xfId="1170"/>
    <cellStyle name="Percent 4 6 2" xfId="5318"/>
    <cellStyle name="Percent 5" xfId="579"/>
    <cellStyle name="Percent 5 2" xfId="580"/>
    <cellStyle name="Percent 5 2 2" xfId="817"/>
    <cellStyle name="Percent 5 3" xfId="581"/>
    <cellStyle name="Percent 5 3 2" xfId="582"/>
    <cellStyle name="Percent 5 3 3" xfId="583"/>
    <cellStyle name="Percent 5 3 3 2" xfId="584"/>
    <cellStyle name="Percent 5 3 4" xfId="585"/>
    <cellStyle name="Percent 5 3 5" xfId="586"/>
    <cellStyle name="Percent 5 3 6" xfId="818"/>
    <cellStyle name="Percent 5 3 6 2" xfId="966"/>
    <cellStyle name="Percent 5 3 6 2 2" xfId="4485"/>
    <cellStyle name="Percent 5 3 6 3" xfId="4391"/>
    <cellStyle name="Percent 5 3 7" xfId="1171"/>
    <cellStyle name="Percent 5 4" xfId="587"/>
    <cellStyle name="Percent 5 5" xfId="588"/>
    <cellStyle name="Percent 5 6" xfId="816"/>
    <cellStyle name="Percent 5 6 2" xfId="896"/>
    <cellStyle name="Percent 5 6 2 2" xfId="4486"/>
    <cellStyle name="Percent 5 6 3" xfId="4392"/>
    <cellStyle name="Percent 6" xfId="589"/>
    <cellStyle name="Percent 6 2" xfId="590"/>
    <cellStyle name="Percent 7" xfId="819"/>
    <cellStyle name="Percent 7 2" xfId="913"/>
    <cellStyle name="Percent 7 2 2" xfId="902"/>
    <cellStyle name="Percent 7 2 3" xfId="1172"/>
    <cellStyle name="Percent 7 2 3 2" xfId="4533"/>
    <cellStyle name="Percent 7 3" xfId="4263"/>
    <cellStyle name="rf0" xfId="3372"/>
    <cellStyle name="rf1" xfId="3457"/>
    <cellStyle name="rf10" xfId="3381"/>
    <cellStyle name="rf11" xfId="3378"/>
    <cellStyle name="rf12" xfId="3377"/>
    <cellStyle name="rf13" xfId="3376"/>
    <cellStyle name="rf14" xfId="3373"/>
    <cellStyle name="rf15" xfId="3375"/>
    <cellStyle name="rf16" xfId="3374"/>
    <cellStyle name="rf17" xfId="3387"/>
    <cellStyle name="rf18" xfId="3743"/>
    <cellStyle name="rf19" xfId="3371"/>
    <cellStyle name="rf2" xfId="3370"/>
    <cellStyle name="rf20" xfId="3744"/>
    <cellStyle name="rf21" xfId="3741"/>
    <cellStyle name="rf22" xfId="3369"/>
    <cellStyle name="rf23" xfId="3368"/>
    <cellStyle name="rf24" xfId="3342"/>
    <cellStyle name="rf25" xfId="3367"/>
    <cellStyle name="rf26" xfId="3366"/>
    <cellStyle name="rf27" xfId="3341"/>
    <cellStyle name="rf28" xfId="3749"/>
    <cellStyle name="rf29" xfId="3752"/>
    <cellStyle name="rf3" xfId="3745"/>
    <cellStyle name="rf30" xfId="3746"/>
    <cellStyle name="rf31" xfId="3750"/>
    <cellStyle name="rf4" xfId="3753"/>
    <cellStyle name="rf5" xfId="3747"/>
    <cellStyle name="rf6" xfId="3751"/>
    <cellStyle name="rf7" xfId="3754"/>
    <cellStyle name="rf8" xfId="3742"/>
    <cellStyle name="rf9" xfId="3365"/>
    <cellStyle name="Title 2" xfId="820"/>
    <cellStyle name="Title 3" xfId="821"/>
    <cellStyle name="Title 4" xfId="24"/>
    <cellStyle name="Title 4 2" xfId="1173"/>
    <cellStyle name="Title 5" xfId="4171"/>
    <cellStyle name="Total 2" xfId="591"/>
    <cellStyle name="Total 2 2" xfId="592"/>
    <cellStyle name="Total 2 3" xfId="593"/>
    <cellStyle name="Total 2 4" xfId="822"/>
    <cellStyle name="Total 2 5" xfId="823"/>
    <cellStyle name="Total 2 5 2" xfId="1705"/>
    <cellStyle name="Total 2 5 2 2" xfId="3748"/>
    <cellStyle name="Total 2 5 2 2 2" xfId="4985"/>
    <cellStyle name="Total 2 5 2 3" xfId="3781"/>
    <cellStyle name="Total 2 5 2 3 2" xfId="5249"/>
    <cellStyle name="Total 2 5 2 4" xfId="4163"/>
    <cellStyle name="Total 2 5 2 5" xfId="5421"/>
    <cellStyle name="Total 2 5 2 6" xfId="5334"/>
    <cellStyle name="Total 2 5 3" xfId="3018"/>
    <cellStyle name="Total 2 5 3 2" xfId="3383"/>
    <cellStyle name="Total 2 5 3 2 2" xfId="4866"/>
    <cellStyle name="Total 2 5 3 3" xfId="4162"/>
    <cellStyle name="Total 2 5 3 3 2" xfId="4890"/>
    <cellStyle name="Total 2 5 3 4" xfId="3785"/>
    <cellStyle name="Total 2 5 4" xfId="3379"/>
    <cellStyle name="Total 2 5 4 2" xfId="4845"/>
    <cellStyle name="Total 2 5 5" xfId="3770"/>
    <cellStyle name="Total 2 5 5 2" xfId="4965"/>
    <cellStyle name="Total 2 5 6" xfId="4165"/>
    <cellStyle name="Total 2 5 7" xfId="5251"/>
    <cellStyle name="Total 2 5 8" xfId="5341"/>
    <cellStyle name="Total 2 6" xfId="1174"/>
    <cellStyle name="Total 2 6 2" xfId="4846"/>
    <cellStyle name="Total 2 6 3" xfId="5250"/>
    <cellStyle name="Total 2 6 4" xfId="4393"/>
    <cellStyle name="Total 2 6 5" xfId="5319"/>
    <cellStyle name="Total 2 6 6" xfId="5379"/>
    <cellStyle name="Total 2 7" xfId="3790"/>
    <cellStyle name="Total 2 7 2" xfId="5075"/>
    <cellStyle name="Total 2 8" xfId="4164"/>
    <cellStyle name="Total 3" xfId="594"/>
    <cellStyle name="Total 4" xfId="595"/>
    <cellStyle name="Warning Text 2" xfId="596"/>
    <cellStyle name="Warning Text 2 2" xfId="597"/>
    <cellStyle name="Warning Text 2 3" xfId="598"/>
    <cellStyle name="Warning Text 3" xfId="599"/>
    <cellStyle name="Warning Text 4" xfId="6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14161</xdr:rowOff>
    </xdr:to>
    <xdr:pic>
      <xdr:nvPicPr>
        <xdr:cNvPr id="3" name="Picture 2">
          <a:extLst>
            <a:ext uri="{FF2B5EF4-FFF2-40B4-BE49-F238E27FC236}">
              <a16:creationId xmlns:a16="http://schemas.microsoft.com/office/drawing/2014/main" id="{8D265CDF-B60D-4F9D-9137-4FA6C50D76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DC8402CE-41BD-425E-AABD-BCC2B8E59DB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64" t="s">
        <v>425</v>
      </c>
      <c r="J1" s="2065"/>
      <c r="K1" s="2065"/>
      <c r="L1" s="2065"/>
      <c r="M1" s="2065"/>
      <c r="N1" s="2065"/>
      <c r="O1" s="2065"/>
      <c r="P1" s="2065"/>
      <c r="Q1" s="2065"/>
      <c r="R1" s="2065"/>
      <c r="S1" s="2065"/>
    </row>
    <row r="2" spans="1:28" ht="12" customHeight="1">
      <c r="A2" s="47" t="s">
        <v>1684</v>
      </c>
      <c r="D2" s="48"/>
      <c r="I2" s="2066" t="s">
        <v>1036</v>
      </c>
      <c r="J2" s="2065"/>
      <c r="K2" s="2065"/>
      <c r="L2" s="2065"/>
      <c r="M2" s="2065"/>
      <c r="N2" s="2065"/>
      <c r="O2" s="2065"/>
      <c r="P2" s="2065"/>
      <c r="Q2" s="2065"/>
      <c r="R2" s="2065"/>
      <c r="S2" s="2065"/>
    </row>
    <row r="3" spans="1:28" ht="12" customHeight="1">
      <c r="A3" s="155" t="s">
        <v>1685</v>
      </c>
      <c r="B3" s="156"/>
      <c r="C3" s="156"/>
      <c r="D3" s="157"/>
      <c r="I3" s="2066" t="s">
        <v>54</v>
      </c>
      <c r="J3" s="2065"/>
      <c r="K3" s="2065"/>
      <c r="L3" s="2065"/>
      <c r="M3" s="2065"/>
      <c r="N3" s="2065"/>
      <c r="O3" s="2065"/>
      <c r="P3" s="2065"/>
      <c r="Q3" s="2065"/>
      <c r="R3" s="2065"/>
      <c r="S3" s="2065"/>
    </row>
    <row r="4" spans="1:28" ht="12" customHeight="1">
      <c r="A4" s="37"/>
      <c r="I4" s="2066" t="s">
        <v>545</v>
      </c>
      <c r="J4" s="2065"/>
      <c r="K4" s="2065"/>
      <c r="L4" s="2065"/>
      <c r="M4" s="2065"/>
      <c r="N4" s="2065"/>
      <c r="O4" s="2065"/>
      <c r="P4" s="2065"/>
      <c r="Q4" s="2065"/>
      <c r="R4" s="2065"/>
      <c r="S4" s="2065"/>
    </row>
    <row r="5" spans="1:28" ht="14.1" customHeight="1">
      <c r="B5" s="104" t="s">
        <v>2162</v>
      </c>
      <c r="C5" s="26" t="s">
        <v>966</v>
      </c>
      <c r="D5" s="84"/>
      <c r="E5" s="84"/>
      <c r="H5" s="38"/>
      <c r="I5" s="2074" t="s">
        <v>701</v>
      </c>
      <c r="J5" s="2073"/>
      <c r="K5" s="2073"/>
      <c r="L5" s="2073"/>
      <c r="M5" s="2073"/>
      <c r="N5" s="2073"/>
      <c r="O5" s="2073"/>
      <c r="P5" s="2073"/>
      <c r="Q5" s="2073"/>
      <c r="R5" s="2073"/>
      <c r="S5" s="2073"/>
    </row>
    <row r="6" spans="1:28" ht="14.1" customHeight="1">
      <c r="B6" s="104"/>
      <c r="C6" s="26" t="s">
        <v>967</v>
      </c>
      <c r="D6" s="84"/>
      <c r="E6" s="84"/>
      <c r="I6" s="2072" t="s">
        <v>938</v>
      </c>
      <c r="J6" s="2073"/>
      <c r="K6" s="2073"/>
      <c r="L6" s="2073"/>
      <c r="M6" s="2073"/>
      <c r="N6" s="2073"/>
      <c r="O6" s="2073"/>
      <c r="P6" s="2073"/>
      <c r="Q6" s="2073"/>
      <c r="R6" s="2073"/>
      <c r="S6" s="2073"/>
    </row>
    <row r="7" spans="1:28" ht="12.2" customHeight="1">
      <c r="I7" s="2067">
        <v>43281</v>
      </c>
      <c r="J7" s="2068"/>
      <c r="K7" s="2068"/>
      <c r="L7" s="2068"/>
      <c r="M7" s="2068"/>
      <c r="N7" s="2068"/>
      <c r="O7" s="2068"/>
      <c r="P7" s="2068"/>
      <c r="Q7" s="2068"/>
      <c r="R7" s="2068"/>
      <c r="S7" s="2068"/>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69" t="s">
        <v>695</v>
      </c>
      <c r="J9" s="2070"/>
      <c r="K9" s="2070"/>
      <c r="L9" s="2070"/>
      <c r="M9" s="2070"/>
      <c r="N9" s="2070"/>
      <c r="O9" s="2070"/>
      <c r="P9" s="2070"/>
      <c r="Q9" s="2070"/>
      <c r="R9" s="2070"/>
      <c r="S9" s="2071"/>
      <c r="T9" s="2082" t="s">
        <v>554</v>
      </c>
      <c r="U9" s="2083"/>
      <c r="V9" s="2083"/>
      <c r="W9" s="2083"/>
      <c r="X9" s="2083"/>
      <c r="Y9" s="2083"/>
      <c r="Z9" s="2083"/>
      <c r="AA9" s="2084"/>
    </row>
    <row r="10" spans="1:28" ht="13.5" customHeight="1">
      <c r="A10" s="2089" t="s">
        <v>696</v>
      </c>
      <c r="B10" s="2090"/>
      <c r="C10" s="2090"/>
      <c r="D10" s="2090"/>
      <c r="E10" s="2090"/>
      <c r="F10" s="2090"/>
      <c r="G10" s="2090"/>
      <c r="H10" s="2091"/>
      <c r="I10" s="29"/>
      <c r="J10" s="30"/>
      <c r="K10" s="28"/>
      <c r="R10" s="30"/>
      <c r="S10" s="30"/>
      <c r="T10" s="2085"/>
      <c r="U10" s="2073"/>
      <c r="V10" s="2073"/>
      <c r="W10" s="2073"/>
      <c r="X10" s="2073"/>
      <c r="Y10" s="2073"/>
      <c r="Z10" s="2073"/>
      <c r="AA10" s="2076"/>
    </row>
    <row r="11" spans="1:28" ht="14.25" customHeight="1">
      <c r="A11" s="2092" t="s">
        <v>1012</v>
      </c>
      <c r="B11" s="2093"/>
      <c r="C11" s="2093"/>
      <c r="D11" s="2093"/>
      <c r="E11" s="2093"/>
      <c r="F11" s="2093"/>
      <c r="G11" s="2093"/>
      <c r="H11" s="2094"/>
      <c r="I11" s="27"/>
      <c r="J11" s="74"/>
      <c r="K11" s="27"/>
      <c r="O11" s="148" t="s">
        <v>2162</v>
      </c>
      <c r="P11" s="100" t="s">
        <v>210</v>
      </c>
      <c r="Q11" s="30"/>
      <c r="R11" s="28"/>
      <c r="S11" s="27"/>
      <c r="T11" s="2086"/>
      <c r="U11" s="2087"/>
      <c r="V11" s="2087"/>
      <c r="W11" s="2087"/>
      <c r="X11" s="2087"/>
      <c r="Y11" s="2087"/>
      <c r="Z11" s="2087"/>
      <c r="AA11" s="2088"/>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2096">
        <v>49081037002</v>
      </c>
      <c r="B13" s="2097"/>
      <c r="C13" s="2097"/>
      <c r="D13" s="2097"/>
      <c r="E13" s="2097"/>
      <c r="F13" s="2097"/>
      <c r="G13" s="2097"/>
      <c r="H13" s="2098"/>
      <c r="I13" s="31"/>
      <c r="J13" s="30"/>
      <c r="K13" s="28"/>
      <c r="L13" s="30"/>
      <c r="M13" s="30"/>
      <c r="N13" s="30"/>
      <c r="O13" s="30"/>
      <c r="P13" s="30"/>
      <c r="Q13" s="30"/>
      <c r="R13" s="30"/>
      <c r="S13" s="30"/>
      <c r="T13" s="2101" t="s">
        <v>2074</v>
      </c>
      <c r="U13" s="2102"/>
      <c r="V13" s="2102"/>
      <c r="W13" s="2102"/>
      <c r="X13" s="2102"/>
      <c r="Y13" s="2103"/>
      <c r="Z13" s="2103"/>
      <c r="AA13" s="2104"/>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95" t="s">
        <v>2163</v>
      </c>
      <c r="B15" s="2099"/>
      <c r="C15" s="2099"/>
      <c r="D15" s="2099"/>
      <c r="E15" s="2099"/>
      <c r="F15" s="2099"/>
      <c r="G15" s="2099"/>
      <c r="H15" s="2100"/>
      <c r="T15" s="2105" t="s">
        <v>2075</v>
      </c>
      <c r="U15" s="2052"/>
      <c r="V15" s="2052"/>
      <c r="W15" s="2052"/>
      <c r="X15" s="2052"/>
      <c r="Y15" s="2106"/>
      <c r="Z15" s="2106"/>
      <c r="AA15" s="2107"/>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58" t="s">
        <v>2248</v>
      </c>
      <c r="B17" s="2059"/>
      <c r="C17" s="2059"/>
      <c r="D17" s="2059"/>
      <c r="E17" s="2059"/>
      <c r="F17" s="2059"/>
      <c r="G17" s="2059"/>
      <c r="H17" s="2081"/>
      <c r="T17" s="2112" t="s">
        <v>2076</v>
      </c>
      <c r="U17" s="2113"/>
      <c r="V17" s="2113"/>
      <c r="W17" s="2113"/>
      <c r="X17" s="2113"/>
      <c r="Y17" s="2113"/>
      <c r="Z17" s="2113"/>
      <c r="AA17" s="2114"/>
    </row>
    <row r="18" spans="1:27" ht="13.5" customHeight="1">
      <c r="A18" s="85" t="s">
        <v>551</v>
      </c>
      <c r="B18" s="76"/>
      <c r="C18" s="72"/>
      <c r="D18" s="76"/>
      <c r="E18" s="76"/>
      <c r="F18" s="76"/>
      <c r="G18" s="76"/>
      <c r="H18" s="56"/>
      <c r="I18" s="2080" t="s">
        <v>697</v>
      </c>
      <c r="J18" s="2036"/>
      <c r="K18" s="2036"/>
      <c r="L18" s="2036"/>
      <c r="M18" s="2036"/>
      <c r="N18" s="2036"/>
      <c r="O18" s="2036"/>
      <c r="P18" s="2036"/>
      <c r="Q18" s="2036"/>
      <c r="R18" s="2036"/>
      <c r="S18" s="2037"/>
      <c r="T18" s="85" t="s">
        <v>735</v>
      </c>
      <c r="U18" s="51"/>
      <c r="V18" s="72"/>
      <c r="W18" s="50"/>
      <c r="X18" s="85" t="s">
        <v>284</v>
      </c>
      <c r="Y18" s="81"/>
      <c r="Z18" s="159" t="s">
        <v>698</v>
      </c>
      <c r="AA18" s="46"/>
    </row>
    <row r="19" spans="1:27" ht="13.5" customHeight="1">
      <c r="A19" s="2095" t="s">
        <v>2164</v>
      </c>
      <c r="B19" s="2044"/>
      <c r="C19" s="2044"/>
      <c r="D19" s="2044"/>
      <c r="E19" s="2044"/>
      <c r="F19" s="2044"/>
      <c r="G19" s="2044"/>
      <c r="H19" s="2026"/>
      <c r="I19" s="30"/>
      <c r="J19" s="99"/>
      <c r="K19" s="40"/>
      <c r="L19" s="38"/>
      <c r="M19" s="112" t="s">
        <v>333</v>
      </c>
      <c r="P19" s="27"/>
      <c r="Q19" s="27"/>
      <c r="R19" s="27"/>
      <c r="S19" s="31"/>
      <c r="T19" s="2095" t="s">
        <v>2077</v>
      </c>
      <c r="U19" s="2025"/>
      <c r="V19" s="2025"/>
      <c r="W19" s="2026"/>
      <c r="X19" s="2110" t="s">
        <v>2078</v>
      </c>
      <c r="Y19" s="2111"/>
      <c r="Z19" s="2108">
        <v>61081</v>
      </c>
      <c r="AA19" s="2109"/>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24" t="s">
        <v>2165</v>
      </c>
      <c r="B21" s="2025"/>
      <c r="C21" s="2025"/>
      <c r="D21" s="2025"/>
      <c r="E21" s="2025"/>
      <c r="F21" s="2025"/>
      <c r="G21" s="2025"/>
      <c r="H21" s="2026"/>
      <c r="I21" s="2075" t="s">
        <v>699</v>
      </c>
      <c r="J21" s="2073"/>
      <c r="K21" s="2073"/>
      <c r="L21" s="2073"/>
      <c r="M21" s="2073"/>
      <c r="N21" s="2073"/>
      <c r="O21" s="2073"/>
      <c r="P21" s="2073"/>
      <c r="Q21" s="2073"/>
      <c r="R21" s="2073"/>
      <c r="S21" s="2076"/>
      <c r="T21" s="2119" t="s">
        <v>2079</v>
      </c>
      <c r="U21" s="2120"/>
      <c r="V21" s="2120"/>
      <c r="W21" s="2120"/>
      <c r="X21" s="2125" t="s">
        <v>2080</v>
      </c>
      <c r="Y21" s="2126"/>
      <c r="Z21" s="2126"/>
      <c r="AA21" s="2127"/>
    </row>
    <row r="22" spans="1:27" ht="13.5" customHeight="1">
      <c r="A22" s="87" t="s">
        <v>552</v>
      </c>
      <c r="B22" s="59"/>
      <c r="C22" s="59"/>
      <c r="D22" s="59"/>
      <c r="E22" s="59"/>
      <c r="F22" s="59"/>
      <c r="G22" s="59"/>
      <c r="H22" s="60"/>
      <c r="I22" s="2077" t="s">
        <v>1504</v>
      </c>
      <c r="J22" s="2078"/>
      <c r="K22" s="2078"/>
      <c r="L22" s="2078"/>
      <c r="M22" s="2078"/>
      <c r="N22" s="2078"/>
      <c r="O22" s="2078"/>
      <c r="P22" s="2078"/>
      <c r="Q22" s="2078"/>
      <c r="R22" s="2078"/>
      <c r="S22" s="2079"/>
      <c r="T22" s="85" t="s">
        <v>1596</v>
      </c>
      <c r="U22" s="51"/>
      <c r="V22" s="72"/>
      <c r="W22" s="51"/>
      <c r="X22" s="160" t="s">
        <v>1385</v>
      </c>
      <c r="Z22" s="45"/>
      <c r="AA22" s="46"/>
    </row>
    <row r="23" spans="1:27" ht="13.5" customHeight="1">
      <c r="A23" s="2038" t="s">
        <v>2166</v>
      </c>
      <c r="B23" s="2039"/>
      <c r="C23" s="2039"/>
      <c r="D23" s="2039"/>
      <c r="E23" s="2039"/>
      <c r="F23" s="2039"/>
      <c r="G23" s="2039"/>
      <c r="H23" s="2040"/>
      <c r="T23" s="2058" t="s">
        <v>2081</v>
      </c>
      <c r="U23" s="2118"/>
      <c r="V23" s="2118"/>
      <c r="W23" s="2118"/>
      <c r="X23" s="2122">
        <v>43434</v>
      </c>
      <c r="Y23" s="2123"/>
      <c r="Z23" s="2123"/>
      <c r="AA23" s="2124"/>
    </row>
    <row r="24" spans="1:27" ht="14.1" customHeight="1">
      <c r="A24" s="88" t="s">
        <v>698</v>
      </c>
      <c r="B24" s="49"/>
      <c r="C24" s="49"/>
      <c r="D24" s="49"/>
      <c r="E24" s="49"/>
      <c r="F24" s="49"/>
      <c r="G24" s="49"/>
      <c r="H24" s="61"/>
      <c r="J24" s="2045">
        <f>IF(B5="x",IF(AUDITCHECK!D29="AFR form Incomplete.","",IF(AUDITCHECK!D29="Deficit reduction plan is required.","School District must complete a deficit reduction plan in the 2018-2019 Budget",)),"")</f>
        <v>0</v>
      </c>
      <c r="K24" s="2045"/>
      <c r="L24" s="2045"/>
      <c r="M24" s="2045"/>
      <c r="N24" s="2045"/>
      <c r="O24" s="2045"/>
      <c r="P24" s="2045"/>
      <c r="Q24" s="2045"/>
      <c r="R24" s="2045"/>
      <c r="S24" s="2046"/>
      <c r="T24" s="105" t="s">
        <v>552</v>
      </c>
      <c r="U24" s="106"/>
      <c r="V24" s="106"/>
      <c r="W24" s="106"/>
      <c r="X24" s="107"/>
      <c r="Y24" s="107"/>
      <c r="Z24" s="107"/>
      <c r="AA24" s="108"/>
    </row>
    <row r="25" spans="1:27" ht="14.1" customHeight="1">
      <c r="A25" s="2024">
        <v>61244</v>
      </c>
      <c r="B25" s="2025"/>
      <c r="C25" s="2025"/>
      <c r="D25" s="2025"/>
      <c r="E25" s="2025"/>
      <c r="F25" s="2025"/>
      <c r="G25" s="2025"/>
      <c r="H25" s="2026"/>
      <c r="I25" s="113"/>
      <c r="J25" s="2047"/>
      <c r="K25" s="2047"/>
      <c r="L25" s="2047"/>
      <c r="M25" s="2047"/>
      <c r="N25" s="2047"/>
      <c r="O25" s="2047"/>
      <c r="P25" s="2047"/>
      <c r="Q25" s="2047"/>
      <c r="R25" s="2047"/>
      <c r="S25" s="2048"/>
      <c r="T25" s="2115" t="s">
        <v>2082</v>
      </c>
      <c r="U25" s="2116"/>
      <c r="V25" s="2116"/>
      <c r="W25" s="2116"/>
      <c r="X25" s="2116"/>
      <c r="Y25" s="2116"/>
      <c r="Z25" s="2116"/>
      <c r="AA25" s="2117"/>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035" t="s">
        <v>1591</v>
      </c>
      <c r="J27" s="2036"/>
      <c r="K27" s="2036"/>
      <c r="L27" s="2036"/>
      <c r="M27" s="2036"/>
      <c r="N27" s="2036"/>
      <c r="O27" s="2036"/>
      <c r="P27" s="2036"/>
      <c r="Q27" s="2036"/>
      <c r="R27" s="2036"/>
      <c r="S27" s="2037"/>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2162</v>
      </c>
      <c r="F29" s="141" t="s">
        <v>1383</v>
      </c>
      <c r="G29" s="114"/>
      <c r="I29" s="54"/>
      <c r="J29" s="1955" t="s">
        <v>2162</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955" t="s">
        <v>2162</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955" t="s">
        <v>2162</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955" t="s">
        <v>2162</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44"/>
      <c r="Q35" s="2025"/>
      <c r="R35" s="2025"/>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58" t="s">
        <v>2167</v>
      </c>
      <c r="B38" s="2059"/>
      <c r="C38" s="2059"/>
      <c r="D38" s="2059"/>
      <c r="E38" s="2059"/>
      <c r="F38" s="2025"/>
      <c r="G38" s="2025"/>
      <c r="H38" s="2026"/>
      <c r="I38" s="2051"/>
      <c r="J38" s="2052"/>
      <c r="K38" s="2052"/>
      <c r="L38" s="2052"/>
      <c r="M38" s="2052"/>
      <c r="N38" s="2052"/>
      <c r="O38" s="2052"/>
      <c r="P38" s="2053"/>
      <c r="Q38" s="2053"/>
      <c r="R38" s="2053"/>
      <c r="S38" s="2054"/>
      <c r="T38" s="2105"/>
      <c r="U38" s="2052"/>
      <c r="V38" s="2052"/>
      <c r="W38" s="2052"/>
      <c r="X38" s="2053"/>
      <c r="Y38" s="2053"/>
      <c r="Z38" s="2053"/>
      <c r="AA38" s="2054"/>
    </row>
    <row r="39" spans="1:27" ht="12" customHeight="1">
      <c r="A39" s="2030" t="s">
        <v>552</v>
      </c>
      <c r="B39" s="2031"/>
      <c r="C39" s="72"/>
      <c r="D39" s="69"/>
      <c r="E39" s="69"/>
      <c r="F39" s="79"/>
      <c r="G39" s="69"/>
      <c r="H39" s="56"/>
      <c r="I39" s="2030" t="s">
        <v>552</v>
      </c>
      <c r="J39" s="2031"/>
      <c r="K39" s="2031"/>
      <c r="L39" s="2031"/>
      <c r="M39" s="2031"/>
      <c r="N39" s="67"/>
      <c r="O39" s="72"/>
      <c r="P39" s="72"/>
      <c r="Q39" s="78"/>
      <c r="R39" s="72"/>
      <c r="S39" s="56"/>
      <c r="T39" s="72" t="s">
        <v>552</v>
      </c>
      <c r="U39" s="51"/>
      <c r="V39" s="72"/>
      <c r="W39" s="50"/>
      <c r="X39" s="78"/>
      <c r="Y39" s="45"/>
      <c r="Z39" s="45"/>
      <c r="AA39" s="46"/>
    </row>
    <row r="40" spans="1:27" ht="13.5" customHeight="1">
      <c r="A40" s="2038" t="s">
        <v>2166</v>
      </c>
      <c r="B40" s="2039"/>
      <c r="C40" s="2039"/>
      <c r="D40" s="2039"/>
      <c r="E40" s="2039"/>
      <c r="F40" s="2039"/>
      <c r="G40" s="2039"/>
      <c r="H40" s="2040"/>
      <c r="I40" s="2061"/>
      <c r="J40" s="2062"/>
      <c r="K40" s="2062"/>
      <c r="L40" s="2062"/>
      <c r="M40" s="2062"/>
      <c r="N40" s="2062"/>
      <c r="O40" s="2062"/>
      <c r="P40" s="2062"/>
      <c r="Q40" s="2062"/>
      <c r="R40" s="2062"/>
      <c r="S40" s="2063"/>
      <c r="T40" s="2061"/>
      <c r="U40" s="2121"/>
      <c r="V40" s="2062"/>
      <c r="W40" s="2062"/>
      <c r="X40" s="2062"/>
      <c r="Y40" s="2062"/>
      <c r="Z40" s="2062"/>
      <c r="AA40" s="2063"/>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50" t="s">
        <v>2168</v>
      </c>
      <c r="B42" s="2042"/>
      <c r="C42" s="2043"/>
      <c r="D42" s="2041" t="s">
        <v>2169</v>
      </c>
      <c r="E42" s="2042"/>
      <c r="F42" s="2042"/>
      <c r="G42" s="2042"/>
      <c r="H42" s="2043"/>
      <c r="I42" s="2027"/>
      <c r="J42" s="2028"/>
      <c r="K42" s="2028"/>
      <c r="L42" s="2028"/>
      <c r="M42" s="2028"/>
      <c r="N42" s="2028"/>
      <c r="O42" s="2029"/>
      <c r="P42" s="2060"/>
      <c r="Q42" s="2028"/>
      <c r="R42" s="2028"/>
      <c r="S42" s="2029"/>
      <c r="T42" s="2027"/>
      <c r="U42" s="2028"/>
      <c r="V42" s="2028"/>
      <c r="W42" s="2029"/>
      <c r="X42" s="2060"/>
      <c r="Y42" s="2028"/>
      <c r="Z42" s="2028"/>
      <c r="AA42" s="2029"/>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55"/>
      <c r="B44" s="2056"/>
      <c r="C44" s="2056"/>
      <c r="D44" s="2056"/>
      <c r="E44" s="2056"/>
      <c r="F44" s="2056"/>
      <c r="G44" s="2056"/>
      <c r="H44" s="2057"/>
      <c r="I44" s="2032"/>
      <c r="J44" s="2033"/>
      <c r="K44" s="2033"/>
      <c r="L44" s="2033"/>
      <c r="M44" s="2033"/>
      <c r="N44" s="2033"/>
      <c r="O44" s="2033"/>
      <c r="P44" s="2033"/>
      <c r="Q44" s="2033"/>
      <c r="R44" s="2033"/>
      <c r="S44" s="2034"/>
      <c r="T44" s="2032"/>
      <c r="U44" s="2049"/>
      <c r="V44" s="2049"/>
      <c r="W44" s="2049"/>
      <c r="X44" s="2049"/>
      <c r="Y44" s="2049"/>
      <c r="Z44" s="2033"/>
      <c r="AA44" s="2034"/>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2064</v>
      </c>
      <c r="R47" s="41"/>
      <c r="S47" s="41"/>
      <c r="T47" s="41"/>
      <c r="U47" s="41"/>
      <c r="V47" s="41"/>
      <c r="W47" s="41"/>
      <c r="X47" s="41"/>
      <c r="Y47" s="41"/>
      <c r="Z47" s="41"/>
      <c r="AA47" s="41"/>
    </row>
    <row r="48" spans="1:27">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sqref="A1:F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1968</v>
      </c>
      <c r="C4" s="162" t="s">
        <v>1231</v>
      </c>
      <c r="D4" s="169" t="s">
        <v>10</v>
      </c>
      <c r="E4" s="170" t="s">
        <v>22</v>
      </c>
    </row>
    <row r="5" spans="1:5">
      <c r="A5" s="168" t="s">
        <v>1970</v>
      </c>
      <c r="C5" s="162" t="s">
        <v>1231</v>
      </c>
      <c r="D5" s="169" t="s">
        <v>10</v>
      </c>
      <c r="E5" s="170" t="s">
        <v>22</v>
      </c>
    </row>
    <row r="6" spans="1:5">
      <c r="A6" s="168" t="s">
        <v>1969</v>
      </c>
      <c r="C6" s="162" t="s">
        <v>1231</v>
      </c>
      <c r="D6" s="167" t="s">
        <v>11</v>
      </c>
      <c r="E6" s="170" t="s">
        <v>998</v>
      </c>
    </row>
    <row r="7" spans="1:5">
      <c r="A7" s="168" t="s">
        <v>1971</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1972</v>
      </c>
      <c r="C11" s="162" t="s">
        <v>1231</v>
      </c>
      <c r="D11" s="169" t="s">
        <v>14</v>
      </c>
      <c r="E11" s="170" t="s">
        <v>1218</v>
      </c>
    </row>
    <row r="12" spans="1:5">
      <c r="B12" s="169" t="s">
        <v>1973</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1974</v>
      </c>
      <c r="C15" s="162" t="s">
        <v>1231</v>
      </c>
      <c r="D15" s="169" t="s">
        <v>17</v>
      </c>
      <c r="E15" s="170" t="s">
        <v>657</v>
      </c>
    </row>
    <row r="16" spans="1:5">
      <c r="A16" s="172"/>
      <c r="B16" s="162" t="s">
        <v>1975</v>
      </c>
      <c r="C16" s="162" t="s">
        <v>1231</v>
      </c>
      <c r="D16" s="169" t="s">
        <v>702</v>
      </c>
      <c r="E16" s="170" t="s">
        <v>1100</v>
      </c>
    </row>
    <row r="17" spans="1:5">
      <c r="B17" s="167" t="s">
        <v>1045</v>
      </c>
      <c r="C17" s="162" t="s">
        <v>1231</v>
      </c>
    </row>
    <row r="18" spans="1:5">
      <c r="B18" s="167" t="s">
        <v>1981</v>
      </c>
      <c r="D18" s="169" t="s">
        <v>18</v>
      </c>
      <c r="E18" s="170" t="s">
        <v>1101</v>
      </c>
    </row>
    <row r="19" spans="1:5">
      <c r="A19" s="168" t="s">
        <v>1161</v>
      </c>
      <c r="C19" s="162" t="s">
        <v>1231</v>
      </c>
      <c r="D19" s="169"/>
      <c r="E19" s="171"/>
    </row>
    <row r="20" spans="1:5">
      <c r="B20" s="167" t="s">
        <v>1976</v>
      </c>
      <c r="C20" s="162" t="s">
        <v>1231</v>
      </c>
      <c r="D20" s="169" t="s">
        <v>19</v>
      </c>
      <c r="E20" s="170" t="s">
        <v>53</v>
      </c>
    </row>
    <row r="21" spans="1:5">
      <c r="B21" s="167" t="s">
        <v>1977</v>
      </c>
      <c r="C21" s="162" t="s">
        <v>1231</v>
      </c>
      <c r="D21" s="169" t="s">
        <v>20</v>
      </c>
      <c r="E21" s="170" t="s">
        <v>1708</v>
      </c>
    </row>
    <row r="22" spans="1:5">
      <c r="A22" s="168"/>
      <c r="B22" s="162" t="s">
        <v>1965</v>
      </c>
      <c r="C22" s="162" t="s">
        <v>1231</v>
      </c>
      <c r="D22" s="167" t="s">
        <v>1967</v>
      </c>
      <c r="E22" s="1857" t="s">
        <v>1709</v>
      </c>
    </row>
    <row r="23" spans="1:5">
      <c r="A23" s="168"/>
      <c r="B23" s="162" t="s">
        <v>1966</v>
      </c>
      <c r="D23" s="167" t="s">
        <v>658</v>
      </c>
      <c r="E23" s="1857" t="s">
        <v>1016</v>
      </c>
    </row>
    <row r="24" spans="1:5">
      <c r="A24" s="168" t="s">
        <v>1707</v>
      </c>
      <c r="C24" s="162" t="s">
        <v>1231</v>
      </c>
      <c r="D24" s="167" t="s">
        <v>1460</v>
      </c>
      <c r="E24" s="170" t="s">
        <v>1017</v>
      </c>
    </row>
    <row r="25" spans="1:5">
      <c r="A25" s="168" t="s">
        <v>1978</v>
      </c>
      <c r="C25" s="162" t="s">
        <v>1231</v>
      </c>
      <c r="D25" s="169" t="s">
        <v>21</v>
      </c>
      <c r="E25" s="170" t="s">
        <v>1102</v>
      </c>
    </row>
    <row r="26" spans="1:5">
      <c r="A26" s="168" t="s">
        <v>1979</v>
      </c>
      <c r="C26" s="162" t="s">
        <v>1231</v>
      </c>
      <c r="D26" s="169" t="s">
        <v>584</v>
      </c>
      <c r="E26" s="170" t="s">
        <v>1103</v>
      </c>
    </row>
    <row r="27" spans="1:5">
      <c r="A27" s="168" t="s">
        <v>1980</v>
      </c>
      <c r="C27" s="162" t="s">
        <v>1231</v>
      </c>
      <c r="D27" s="169" t="s">
        <v>578</v>
      </c>
      <c r="E27" s="170" t="s">
        <v>704</v>
      </c>
    </row>
    <row r="28" spans="1:5">
      <c r="A28" s="168" t="s">
        <v>1982</v>
      </c>
      <c r="D28" s="169" t="s">
        <v>705</v>
      </c>
      <c r="E28" s="170" t="s">
        <v>1433</v>
      </c>
    </row>
    <row r="29" spans="1:5">
      <c r="A29" s="168" t="s">
        <v>1983</v>
      </c>
      <c r="D29" s="169" t="s">
        <v>1461</v>
      </c>
      <c r="E29" s="170" t="s">
        <v>1442</v>
      </c>
    </row>
    <row r="30" spans="1:5">
      <c r="A30" s="173" t="s">
        <v>1984</v>
      </c>
      <c r="C30" s="162" t="s">
        <v>1231</v>
      </c>
      <c r="D30" s="169" t="s">
        <v>42</v>
      </c>
      <c r="E30" s="170" t="s">
        <v>1039</v>
      </c>
    </row>
    <row r="31" spans="1:5">
      <c r="A31" s="168" t="s">
        <v>1602</v>
      </c>
      <c r="C31" s="162" t="s">
        <v>1231</v>
      </c>
      <c r="D31" s="167"/>
      <c r="E31" s="171"/>
    </row>
    <row r="32" spans="1:5">
      <c r="B32" s="167" t="s">
        <v>1985</v>
      </c>
      <c r="C32" s="162" t="s">
        <v>1231</v>
      </c>
      <c r="D32" s="169" t="s">
        <v>1603</v>
      </c>
      <c r="E32" s="170" t="s">
        <v>1462</v>
      </c>
    </row>
    <row r="33" spans="1:5">
      <c r="A33" s="172"/>
      <c r="D33" s="169"/>
      <c r="E33" s="171"/>
    </row>
    <row r="34" spans="1:5">
      <c r="A34" s="172"/>
      <c r="D34" s="169"/>
      <c r="E34" s="171"/>
    </row>
    <row r="35" spans="1:5" ht="15.75" customHeight="1" thickBot="1">
      <c r="A35" s="2131" t="s">
        <v>1125</v>
      </c>
      <c r="B35" s="2131"/>
      <c r="C35" s="2131"/>
      <c r="D35" s="2131"/>
      <c r="E35" s="2131"/>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128" t="s">
        <v>715</v>
      </c>
      <c r="B40" s="2128"/>
      <c r="C40" s="2128"/>
      <c r="D40" s="2128"/>
      <c r="E40" s="2128"/>
    </row>
    <row r="41" spans="1:5">
      <c r="A41" s="2129" t="s">
        <v>1706</v>
      </c>
      <c r="B41" s="2129"/>
      <c r="C41" s="2129"/>
      <c r="D41" s="2129"/>
      <c r="E41" s="2129"/>
    </row>
    <row r="42" spans="1:5" ht="12.75" customHeight="1">
      <c r="A42" s="2130" t="s">
        <v>1080</v>
      </c>
      <c r="B42" s="2130"/>
      <c r="C42" s="2130"/>
      <c r="D42" s="2130"/>
      <c r="E42" s="2130"/>
    </row>
    <row r="43" spans="1:5" ht="6.75" customHeight="1">
      <c r="A43" s="167"/>
      <c r="B43" s="176"/>
    </row>
    <row r="44" spans="1:5">
      <c r="A44" s="185" t="s">
        <v>1040</v>
      </c>
      <c r="B44" s="186" t="s">
        <v>2015</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505" t="s">
        <v>1876</v>
      </c>
    </row>
    <row r="60" spans="1:3">
      <c r="A60" s="196"/>
      <c r="B60" s="1505" t="s">
        <v>1877</v>
      </c>
    </row>
    <row r="61" spans="1:3" ht="6" customHeight="1">
      <c r="A61" s="197"/>
      <c r="B61" s="189"/>
    </row>
    <row r="62" spans="1:3">
      <c r="A62" s="169" t="s">
        <v>1714</v>
      </c>
      <c r="B62" s="198" t="s">
        <v>1873</v>
      </c>
    </row>
    <row r="63" spans="1:3">
      <c r="A63" s="188"/>
      <c r="B63" s="169" t="s">
        <v>1888</v>
      </c>
    </row>
    <row r="64" spans="1:3">
      <c r="A64" s="195"/>
      <c r="B64" s="1507"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506"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132" t="s">
        <v>1230</v>
      </c>
      <c r="B2" s="2132"/>
      <c r="C2" s="2132"/>
      <c r="D2" s="2132"/>
      <c r="E2" s="2132"/>
      <c r="F2" s="2132"/>
      <c r="G2" s="2132"/>
      <c r="H2" s="2132"/>
      <c r="I2" s="2132"/>
      <c r="J2" s="2132"/>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46" t="s">
        <v>1731</v>
      </c>
      <c r="B35" s="2147"/>
      <c r="C35" s="2147"/>
      <c r="D35" s="2147"/>
      <c r="E35" s="2148"/>
      <c r="F35" s="2148"/>
      <c r="G35" s="2148"/>
      <c r="H35" s="2148"/>
      <c r="I35" s="2148"/>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46" t="s">
        <v>331</v>
      </c>
      <c r="B47" s="2149"/>
      <c r="C47" s="2149"/>
      <c r="D47" s="2149"/>
      <c r="E47" s="2150"/>
      <c r="F47" s="2150"/>
      <c r="G47" s="2150"/>
      <c r="H47" s="2150"/>
      <c r="I47" s="2150"/>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1737</v>
      </c>
    </row>
    <row r="51" spans="1:10">
      <c r="B51" s="244"/>
      <c r="C51" s="245">
        <v>21</v>
      </c>
      <c r="D51" s="218" t="s">
        <v>1109</v>
      </c>
    </row>
    <row r="52" spans="1:10">
      <c r="B52" s="246"/>
      <c r="C52" s="245"/>
      <c r="D52" s="240" t="s">
        <v>895</v>
      </c>
    </row>
    <row r="53" spans="1:10" s="181" customFormat="1" ht="15.75" customHeight="1">
      <c r="A53" s="219"/>
      <c r="B53" s="220"/>
      <c r="C53" s="179">
        <v>22</v>
      </c>
      <c r="D53" s="247" t="s">
        <v>1537</v>
      </c>
      <c r="E53" s="248"/>
      <c r="F53" s="249"/>
      <c r="G53" s="249" t="s">
        <v>1536</v>
      </c>
      <c r="H53" s="250"/>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153"/>
      <c r="C57" s="2154"/>
      <c r="D57" s="2154"/>
      <c r="E57" s="2154"/>
      <c r="F57" s="2154"/>
      <c r="G57" s="2154"/>
      <c r="H57" s="2154"/>
      <c r="I57" s="2154"/>
      <c r="J57" s="2155"/>
    </row>
    <row r="58" spans="1:10" s="181" customFormat="1">
      <c r="A58" s="253"/>
      <c r="B58" s="2156"/>
      <c r="C58" s="2157"/>
      <c r="D58" s="2157"/>
      <c r="E58" s="2157"/>
      <c r="F58" s="2157"/>
      <c r="G58" s="2157"/>
      <c r="H58" s="2157"/>
      <c r="I58" s="2157"/>
      <c r="J58" s="2158"/>
    </row>
    <row r="59" spans="1:10" s="181" customFormat="1">
      <c r="A59" s="253"/>
      <c r="B59" s="2156"/>
      <c r="C59" s="2157"/>
      <c r="D59" s="2157"/>
      <c r="E59" s="2157"/>
      <c r="F59" s="2157"/>
      <c r="G59" s="2157"/>
      <c r="H59" s="2157"/>
      <c r="I59" s="2157"/>
      <c r="J59" s="2158"/>
    </row>
    <row r="60" spans="1:10" s="181" customFormat="1">
      <c r="A60" s="253"/>
      <c r="B60" s="2156"/>
      <c r="C60" s="2157"/>
      <c r="D60" s="2157"/>
      <c r="E60" s="2157"/>
      <c r="F60" s="2157"/>
      <c r="G60" s="2157"/>
      <c r="H60" s="2157"/>
      <c r="I60" s="2157"/>
      <c r="J60" s="2158"/>
    </row>
    <row r="61" spans="1:10" s="181" customFormat="1">
      <c r="A61" s="253"/>
      <c r="B61" s="2156"/>
      <c r="C61" s="2157"/>
      <c r="D61" s="2157"/>
      <c r="E61" s="2157"/>
      <c r="F61" s="2157"/>
      <c r="G61" s="2157"/>
      <c r="H61" s="2157"/>
      <c r="I61" s="2157"/>
      <c r="J61" s="2158"/>
    </row>
    <row r="62" spans="1:10" s="181" customFormat="1">
      <c r="A62" s="253"/>
      <c r="B62" s="2156"/>
      <c r="C62" s="2157"/>
      <c r="D62" s="2157"/>
      <c r="E62" s="2157"/>
      <c r="F62" s="2157"/>
      <c r="G62" s="2157"/>
      <c r="H62" s="2157"/>
      <c r="I62" s="2157"/>
      <c r="J62" s="2158"/>
    </row>
    <row r="63" spans="1:10" s="181" customFormat="1">
      <c r="A63" s="253"/>
      <c r="B63" s="2156"/>
      <c r="C63" s="2157"/>
      <c r="D63" s="2157"/>
      <c r="E63" s="2157"/>
      <c r="F63" s="2157"/>
      <c r="G63" s="2157"/>
      <c r="H63" s="2157"/>
      <c r="I63" s="2157"/>
      <c r="J63" s="2158"/>
    </row>
    <row r="64" spans="1:10" s="181" customFormat="1">
      <c r="A64" s="253"/>
      <c r="B64" s="2156"/>
      <c r="C64" s="2157"/>
      <c r="D64" s="2157"/>
      <c r="E64" s="2157"/>
      <c r="F64" s="2157"/>
      <c r="G64" s="2157"/>
      <c r="H64" s="2157"/>
      <c r="I64" s="2157"/>
      <c r="J64" s="2158"/>
    </row>
    <row r="65" spans="1:10" s="181" customFormat="1">
      <c r="A65" s="253"/>
      <c r="B65" s="2156"/>
      <c r="C65" s="2157"/>
      <c r="D65" s="2157"/>
      <c r="E65" s="2157"/>
      <c r="F65" s="2157"/>
      <c r="G65" s="2157"/>
      <c r="H65" s="2157"/>
      <c r="I65" s="2157"/>
      <c r="J65" s="2158"/>
    </row>
    <row r="66" spans="1:10" s="181" customFormat="1">
      <c r="A66" s="253"/>
      <c r="B66" s="2156"/>
      <c r="C66" s="2157"/>
      <c r="D66" s="2157"/>
      <c r="E66" s="2157"/>
      <c r="F66" s="2157"/>
      <c r="G66" s="2157"/>
      <c r="H66" s="2157"/>
      <c r="I66" s="2157"/>
      <c r="J66" s="2158"/>
    </row>
    <row r="67" spans="1:10" s="181" customFormat="1" ht="9" customHeight="1">
      <c r="A67" s="254"/>
      <c r="B67" s="2159"/>
      <c r="C67" s="2160"/>
      <c r="D67" s="2160"/>
      <c r="E67" s="2160"/>
      <c r="F67" s="2160"/>
      <c r="G67" s="2160"/>
      <c r="H67" s="2160"/>
      <c r="I67" s="2160"/>
      <c r="J67" s="2161"/>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46" t="s">
        <v>1390</v>
      </c>
      <c r="B70" s="2149"/>
      <c r="C70" s="2149"/>
      <c r="D70" s="2149"/>
      <c r="E70" s="2150"/>
      <c r="F70" s="2150"/>
      <c r="G70" s="2150"/>
      <c r="H70" s="2150"/>
      <c r="I70" s="2150"/>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2068</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2018</v>
      </c>
      <c r="I77" s="1859"/>
      <c r="J77" s="261"/>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151" t="s">
        <v>1387</v>
      </c>
      <c r="B83" s="2151"/>
      <c r="C83" s="2151"/>
      <c r="D83" s="2152"/>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2066</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2066</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2067</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133"/>
      <c r="C102" s="2134"/>
      <c r="D102" s="2134"/>
      <c r="E102" s="2134"/>
      <c r="F102" s="2134"/>
      <c r="G102" s="2134"/>
      <c r="H102" s="2134"/>
      <c r="I102" s="2135"/>
    </row>
    <row r="103" spans="1:9" s="181" customFormat="1" ht="11.25" customHeight="1">
      <c r="A103" s="316"/>
      <c r="B103" s="2136"/>
      <c r="C103" s="2137"/>
      <c r="D103" s="2137"/>
      <c r="E103" s="2137"/>
      <c r="F103" s="2137"/>
      <c r="G103" s="2137"/>
      <c r="H103" s="2137"/>
      <c r="I103" s="2138"/>
    </row>
    <row r="104" spans="1:9" s="181" customFormat="1" ht="11.25" customHeight="1">
      <c r="A104" s="316"/>
      <c r="B104" s="2136"/>
      <c r="C104" s="2137"/>
      <c r="D104" s="2137"/>
      <c r="E104" s="2137"/>
      <c r="F104" s="2137"/>
      <c r="G104" s="2137"/>
      <c r="H104" s="2137"/>
      <c r="I104" s="2138"/>
    </row>
    <row r="105" spans="1:9" s="181" customFormat="1">
      <c r="A105" s="316"/>
      <c r="B105" s="2136"/>
      <c r="C105" s="2137"/>
      <c r="D105" s="2137"/>
      <c r="E105" s="2137"/>
      <c r="F105" s="2137"/>
      <c r="G105" s="2137"/>
      <c r="H105" s="2137"/>
      <c r="I105" s="2138"/>
    </row>
    <row r="106" spans="1:9" s="181" customFormat="1" ht="11.25" customHeight="1">
      <c r="A106" s="316"/>
      <c r="B106" s="2136"/>
      <c r="C106" s="2137"/>
      <c r="D106" s="2137"/>
      <c r="E106" s="2137"/>
      <c r="F106" s="2137"/>
      <c r="G106" s="2137"/>
      <c r="H106" s="2137"/>
      <c r="I106" s="2138"/>
    </row>
    <row r="107" spans="1:9" s="181" customFormat="1" ht="11.25" customHeight="1">
      <c r="A107" s="316"/>
      <c r="B107" s="2136"/>
      <c r="C107" s="2137"/>
      <c r="D107" s="2137"/>
      <c r="E107" s="2137"/>
      <c r="F107" s="2137"/>
      <c r="G107" s="2137"/>
      <c r="H107" s="2137"/>
      <c r="I107" s="2138"/>
    </row>
    <row r="108" spans="1:9" s="181" customFormat="1" ht="11.25" customHeight="1">
      <c r="A108" s="316"/>
      <c r="B108" s="2136"/>
      <c r="C108" s="2137"/>
      <c r="D108" s="2137"/>
      <c r="E108" s="2137"/>
      <c r="F108" s="2137"/>
      <c r="G108" s="2137"/>
      <c r="H108" s="2137"/>
      <c r="I108" s="2138"/>
    </row>
    <row r="109" spans="1:9" s="181" customFormat="1" ht="11.25" customHeight="1">
      <c r="A109" s="316"/>
      <c r="B109" s="2136"/>
      <c r="C109" s="2137"/>
      <c r="D109" s="2137"/>
      <c r="E109" s="2137"/>
      <c r="F109" s="2137"/>
      <c r="G109" s="2137"/>
      <c r="H109" s="2137"/>
      <c r="I109" s="2138"/>
    </row>
    <row r="110" spans="1:9" s="181" customFormat="1" ht="11.25" customHeight="1">
      <c r="A110" s="316"/>
      <c r="B110" s="2136"/>
      <c r="C110" s="2137"/>
      <c r="D110" s="2137"/>
      <c r="E110" s="2137"/>
      <c r="F110" s="2137"/>
      <c r="G110" s="2137"/>
      <c r="H110" s="2137"/>
      <c r="I110" s="2138"/>
    </row>
    <row r="111" spans="1:9" s="181" customFormat="1" ht="11.25" customHeight="1">
      <c r="A111" s="316"/>
      <c r="B111" s="2136"/>
      <c r="C111" s="2137"/>
      <c r="D111" s="2137"/>
      <c r="E111" s="2137"/>
      <c r="F111" s="2137"/>
      <c r="G111" s="2137"/>
      <c r="H111" s="2137"/>
      <c r="I111" s="2138"/>
    </row>
    <row r="112" spans="1:9" s="181" customFormat="1" ht="11.25" customHeight="1">
      <c r="A112" s="316"/>
      <c r="B112" s="2139"/>
      <c r="C112" s="2140"/>
      <c r="D112" s="2140"/>
      <c r="E112" s="2140"/>
      <c r="F112" s="2140"/>
      <c r="G112" s="2140"/>
      <c r="H112" s="2140"/>
      <c r="I112" s="2141"/>
    </row>
    <row r="113" spans="1:9" s="181" customFormat="1" ht="11.25" customHeight="1">
      <c r="A113" s="317"/>
      <c r="B113" s="311"/>
      <c r="C113" s="311"/>
      <c r="D113" s="311"/>
      <c r="E113" s="304"/>
      <c r="F113" s="304"/>
      <c r="G113" s="304"/>
      <c r="H113" s="304"/>
      <c r="I113" s="304"/>
    </row>
    <row r="114" spans="1:9" s="181" customFormat="1" ht="18" customHeight="1">
      <c r="A114" s="316"/>
      <c r="B114" s="317"/>
      <c r="C114" s="2142" t="s">
        <v>2074</v>
      </c>
      <c r="D114" s="2142"/>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43" t="s">
        <v>1397</v>
      </c>
      <c r="D117" s="2144"/>
      <c r="E117" s="2145"/>
      <c r="F117" s="2145"/>
      <c r="G117" s="2145"/>
      <c r="H117" s="2145"/>
      <c r="I117" s="304"/>
    </row>
    <row r="118" spans="1:9" s="181" customFormat="1" ht="24" customHeight="1">
      <c r="A118" s="316"/>
      <c r="B118" s="316"/>
      <c r="C118" s="316"/>
      <c r="D118" s="323" t="s">
        <v>2247</v>
      </c>
      <c r="E118" s="322"/>
      <c r="F118" s="324"/>
      <c r="G118" s="1861"/>
      <c r="H118" s="322"/>
      <c r="I118" s="304"/>
    </row>
    <row r="119" spans="1:9" s="181" customFormat="1" ht="11.25" customHeight="1">
      <c r="A119" s="325"/>
      <c r="B119" s="325"/>
      <c r="C119" s="326"/>
      <c r="D119" s="327" t="s">
        <v>379</v>
      </c>
      <c r="E119" s="310"/>
      <c r="F119" s="1860" t="s">
        <v>2019</v>
      </c>
      <c r="G119" s="328"/>
      <c r="H119" s="328"/>
      <c r="I119" s="304"/>
    </row>
    <row r="120" spans="1:9">
      <c r="A120" s="329"/>
      <c r="B120" s="180"/>
      <c r="C120" s="330"/>
      <c r="D120" s="256"/>
      <c r="E120" s="256"/>
      <c r="F120" s="256"/>
      <c r="G120" s="256"/>
      <c r="H120" s="256"/>
      <c r="I120" s="304"/>
    </row>
    <row r="121" spans="1:9">
      <c r="A121" s="329"/>
      <c r="B121" s="1508"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sqref="A1:F1"/>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62" t="s">
        <v>404</v>
      </c>
      <c r="B1" s="2162"/>
      <c r="C1" s="2162"/>
      <c r="D1" s="2162"/>
      <c r="E1" s="2162"/>
      <c r="F1" s="2162"/>
      <c r="G1" s="2162"/>
      <c r="H1" s="2162"/>
      <c r="I1" s="2162"/>
      <c r="J1" s="2162"/>
      <c r="K1" s="2162"/>
      <c r="L1" s="2162"/>
      <c r="M1" s="2162"/>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347726420</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2.4199999999999999E-2</v>
      </c>
      <c r="E10" s="356" t="s">
        <v>1062</v>
      </c>
      <c r="F10" s="355">
        <v>2.5000000000000001E-3</v>
      </c>
      <c r="G10" s="356" t="s">
        <v>1062</v>
      </c>
      <c r="H10" s="355">
        <v>1.1999999999999999E-3</v>
      </c>
      <c r="I10" s="356" t="s">
        <v>1063</v>
      </c>
      <c r="J10" s="1752">
        <f>ROUND(D10+F10+H10,5)</f>
        <v>2.7900000000000001E-2</v>
      </c>
      <c r="K10" s="222"/>
      <c r="L10" s="355">
        <v>5.0000000000000001E-4</v>
      </c>
      <c r="M10" s="222"/>
    </row>
    <row r="11" spans="1:14" ht="7.5" customHeight="1">
      <c r="B11" s="222"/>
      <c r="C11" s="222"/>
      <c r="D11" s="2172" t="str">
        <f>IF(SUM(J10)&lt;=0.0999999,"","Enter the Tax Rates by moving the decimal two places to the left.")</f>
        <v/>
      </c>
      <c r="E11" s="2173"/>
      <c r="F11" s="2173"/>
      <c r="G11" s="2173"/>
      <c r="H11" s="2173"/>
      <c r="I11" s="2173"/>
      <c r="J11" s="2173"/>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3">
        <f>SUM('Acct Summary 7-8'!C8,'Acct Summary 7-8'!D8,'Acct Summary 7-8'!F8,'Acct Summary 7-8'!I8)</f>
        <v>29848701</v>
      </c>
      <c r="E16" s="356"/>
      <c r="F16" s="1753">
        <f>SUM('Acct Summary 7-8'!C17,'Acct Summary 7-8'!D17,'Acct Summary 7-8'!F17)</f>
        <v>27860026</v>
      </c>
      <c r="G16" s="356"/>
      <c r="H16" s="1753">
        <f>SUM(D16-F16)</f>
        <v>1988675</v>
      </c>
      <c r="I16" s="222"/>
      <c r="J16" s="1753">
        <f>SUM('Acct Summary 7-8'!C81,'Acct Summary 7-8'!D81,'Acct Summary 7-8'!F81,'Acct Summary 7-8'!I81)</f>
        <v>8449922</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2204</v>
      </c>
      <c r="C31" s="367" t="s">
        <v>607</v>
      </c>
      <c r="D31" s="237" t="s">
        <v>1132</v>
      </c>
      <c r="E31" s="222"/>
      <c r="F31" s="222"/>
      <c r="G31" s="363"/>
      <c r="H31" s="1755">
        <f>IF(B31="X",(J7*0.069),IF(B32="X",(J7*0.138),"Enter x in a.or b."))</f>
        <v>23993122.98</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4">
        <f>'Assets-Liab 5-6'!N36</f>
        <v>25455000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63" t="s">
        <v>2246</v>
      </c>
      <c r="C54" s="2164"/>
      <c r="D54" s="2164"/>
      <c r="E54" s="2164"/>
      <c r="F54" s="2164"/>
      <c r="G54" s="2164"/>
      <c r="H54" s="2164"/>
      <c r="I54" s="2164"/>
      <c r="J54" s="2164"/>
      <c r="K54" s="2164"/>
      <c r="L54" s="2165"/>
      <c r="M54" s="380"/>
    </row>
    <row r="55" spans="1:13" ht="12.75" customHeight="1">
      <c r="B55" s="2166"/>
      <c r="C55" s="2167"/>
      <c r="D55" s="2167"/>
      <c r="E55" s="2167"/>
      <c r="F55" s="2167"/>
      <c r="G55" s="2167"/>
      <c r="H55" s="2167"/>
      <c r="I55" s="2167"/>
      <c r="J55" s="2167"/>
      <c r="K55" s="2167"/>
      <c r="L55" s="2168"/>
      <c r="M55" s="380"/>
    </row>
    <row r="56" spans="1:13" ht="12.75" customHeight="1">
      <c r="B56" s="2166"/>
      <c r="C56" s="2167"/>
      <c r="D56" s="2167"/>
      <c r="E56" s="2167"/>
      <c r="F56" s="2167"/>
      <c r="G56" s="2167"/>
      <c r="H56" s="2167"/>
      <c r="I56" s="2167"/>
      <c r="J56" s="2167"/>
      <c r="K56" s="2167"/>
      <c r="L56" s="2168"/>
      <c r="M56" s="222"/>
    </row>
    <row r="57" spans="1:13" ht="12.75" customHeight="1">
      <c r="B57" s="2166"/>
      <c r="C57" s="2167"/>
      <c r="D57" s="2167"/>
      <c r="E57" s="2167"/>
      <c r="F57" s="2167"/>
      <c r="G57" s="2167"/>
      <c r="H57" s="2167"/>
      <c r="I57" s="2167"/>
      <c r="J57" s="2167"/>
      <c r="K57" s="2167"/>
      <c r="L57" s="2168"/>
      <c r="M57" s="222"/>
    </row>
    <row r="58" spans="1:13">
      <c r="B58" s="2169"/>
      <c r="C58" s="2170"/>
      <c r="D58" s="2170"/>
      <c r="E58" s="2170"/>
      <c r="F58" s="2170"/>
      <c r="G58" s="2170"/>
      <c r="H58" s="2170"/>
      <c r="I58" s="2170"/>
      <c r="J58" s="2170"/>
      <c r="K58" s="2170"/>
      <c r="L58" s="2171"/>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74"/>
      <c r="D61" s="2175"/>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Normal="100" workbookViewId="0">
      <selection sqref="A1:F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77"/>
      <c r="B1" s="2178"/>
      <c r="C1" s="2178"/>
      <c r="D1" s="384"/>
      <c r="E1" s="384"/>
      <c r="F1" s="384"/>
      <c r="G1" s="384"/>
      <c r="H1" s="384"/>
      <c r="I1" s="384"/>
      <c r="J1" s="384"/>
      <c r="K1" s="384"/>
      <c r="L1" s="384"/>
      <c r="M1" s="384"/>
      <c r="N1" s="384"/>
      <c r="O1" s="2177"/>
      <c r="P1" s="2178"/>
      <c r="Q1" s="2178"/>
    </row>
    <row r="2" spans="1:18" ht="15">
      <c r="A2" s="2181" t="s">
        <v>577</v>
      </c>
      <c r="B2" s="2181"/>
      <c r="C2" s="2181"/>
      <c r="D2" s="2181"/>
      <c r="E2" s="2181"/>
      <c r="F2" s="2181"/>
      <c r="G2" s="2181"/>
      <c r="H2" s="2181"/>
      <c r="I2" s="2181"/>
      <c r="J2" s="2181"/>
      <c r="K2" s="2181"/>
      <c r="L2" s="2181"/>
      <c r="M2" s="2181"/>
      <c r="N2" s="2181"/>
      <c r="O2" s="2181"/>
      <c r="P2" s="2181"/>
      <c r="Q2" s="2181"/>
      <c r="R2" s="2181"/>
    </row>
    <row r="3" spans="1:18" ht="12.75">
      <c r="A3" s="2182" t="s">
        <v>1480</v>
      </c>
      <c r="B3" s="2182"/>
      <c r="C3" s="2182"/>
      <c r="D3" s="2182"/>
      <c r="E3" s="2182"/>
      <c r="F3" s="2182"/>
      <c r="G3" s="2182"/>
      <c r="H3" s="2182"/>
      <c r="I3" s="2182"/>
      <c r="J3" s="2182"/>
      <c r="K3" s="2182"/>
      <c r="L3" s="2182"/>
      <c r="M3" s="2182"/>
      <c r="N3" s="2182"/>
      <c r="O3" s="2182"/>
      <c r="P3" s="2182"/>
      <c r="Q3" s="2182"/>
      <c r="R3" s="2182"/>
    </row>
    <row r="4" spans="1:18">
      <c r="A4" s="2183" t="s">
        <v>1635</v>
      </c>
      <c r="B4" s="2183"/>
      <c r="C4" s="2183"/>
      <c r="D4" s="2183"/>
      <c r="E4" s="2183"/>
      <c r="F4" s="2183"/>
      <c r="G4" s="2183"/>
      <c r="H4" s="2183"/>
      <c r="I4" s="2183"/>
      <c r="J4" s="2183"/>
      <c r="K4" s="2183"/>
      <c r="L4" s="2183"/>
      <c r="M4" s="2183"/>
      <c r="N4" s="2183"/>
      <c r="O4" s="2183"/>
      <c r="P4" s="2183"/>
      <c r="Q4" s="2183"/>
      <c r="R4" s="2183"/>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East Moline SD 37</v>
      </c>
      <c r="E7" s="391"/>
      <c r="G7" s="252"/>
      <c r="H7" s="387"/>
      <c r="I7" s="387"/>
      <c r="J7" s="387"/>
      <c r="K7" s="387"/>
      <c r="L7" s="329"/>
      <c r="M7" s="329"/>
      <c r="N7" s="329"/>
      <c r="O7" s="329"/>
      <c r="P7" s="329"/>
    </row>
    <row r="8" spans="1:18" ht="12.75">
      <c r="A8" s="329"/>
      <c r="B8" s="329"/>
      <c r="C8" s="389" t="s">
        <v>1187</v>
      </c>
      <c r="D8" s="392">
        <f>COVER!A13</f>
        <v>49081037002</v>
      </c>
      <c r="E8" s="393"/>
      <c r="G8" s="329"/>
      <c r="H8" s="329"/>
      <c r="I8" s="329"/>
      <c r="J8" s="329"/>
      <c r="K8" s="329"/>
      <c r="L8" s="329"/>
      <c r="M8" s="329"/>
      <c r="N8" s="329"/>
      <c r="O8" s="329"/>
      <c r="P8" s="329"/>
    </row>
    <row r="9" spans="1:18" ht="12.75">
      <c r="A9" s="329"/>
      <c r="B9" s="329"/>
      <c r="C9" s="389" t="s">
        <v>737</v>
      </c>
      <c r="D9" s="394" t="str">
        <f>COVER!A15</f>
        <v>Rock Island</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8449922</v>
      </c>
      <c r="I12" s="404"/>
      <c r="J12" s="404"/>
      <c r="K12" s="405">
        <f>TRUNC((H12/H13*100000),5)/100000</f>
        <v>0.28309178339999996</v>
      </c>
      <c r="L12" s="406"/>
      <c r="M12" s="360" t="s">
        <v>1206</v>
      </c>
      <c r="N12" s="360"/>
      <c r="O12" s="407">
        <v>0.35</v>
      </c>
      <c r="P12" s="218"/>
      <c r="Q12" s="218"/>
    </row>
    <row r="13" spans="1:18" s="408" customFormat="1" ht="12.75">
      <c r="A13" s="218"/>
      <c r="B13" s="401"/>
      <c r="C13" s="2179" t="s">
        <v>1391</v>
      </c>
      <c r="D13" s="2180"/>
      <c r="E13" s="218"/>
      <c r="F13" s="409" t="s">
        <v>826</v>
      </c>
      <c r="G13" s="402"/>
      <c r="H13" s="403">
        <f>SUM('Acct Summary 7-8'!C8+'Acct Summary 7-8'!D8+'Acct Summary 7-8'!F8+'Acct Summary 7-8'!I8)+H14</f>
        <v>29848701</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c r="A17" s="218"/>
      <c r="B17" s="401"/>
      <c r="C17" s="218" t="s">
        <v>830</v>
      </c>
      <c r="D17" s="218"/>
      <c r="E17" s="218"/>
      <c r="F17" s="218" t="s">
        <v>464</v>
      </c>
      <c r="G17" s="402"/>
      <c r="H17" s="403">
        <f>SUM('Acct Summary 7-8'!C17+'Acct Summary 7-8'!D17+'Acct Summary 7-8'!F17)</f>
        <v>27860026</v>
      </c>
      <c r="I17" s="404"/>
      <c r="J17" s="416"/>
      <c r="K17" s="405">
        <f>TRUNC((H17/H18*100000),5)/100000</f>
        <v>0.93337482250000003</v>
      </c>
      <c r="L17" s="406"/>
      <c r="M17" s="417" t="s">
        <v>1233</v>
      </c>
      <c r="O17" s="418" t="str">
        <f>IF(AND(O16="2", J20 &gt; 2),"1",IF(AND(O16 = "1", J20 &gt; 2),"2",IF(AND(O16="1", J20 &gt;1),"1","0")))</f>
        <v>0</v>
      </c>
      <c r="P17" s="218"/>
    </row>
    <row r="18" spans="1:18" s="408" customFormat="1" ht="11.25">
      <c r="A18" s="218"/>
      <c r="B18" s="401"/>
      <c r="C18" s="2179" t="s">
        <v>1384</v>
      </c>
      <c r="D18" s="2180"/>
      <c r="E18" s="218"/>
      <c r="F18" s="419" t="s">
        <v>827</v>
      </c>
      <c r="G18" s="402"/>
      <c r="H18" s="403">
        <f>SUM('Acct Summary 7-8'!C8+'Acct Summary 7-8'!D8+'Acct Summary 7-8'!F8+'Acct Summary 7-8'!I8)+H19</f>
        <v>29848701</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c r="A24" s="218"/>
      <c r="B24" s="401"/>
      <c r="C24" s="2176" t="s">
        <v>1479</v>
      </c>
      <c r="D24" s="2176"/>
      <c r="E24" s="218"/>
      <c r="F24" s="218" t="s">
        <v>465</v>
      </c>
      <c r="G24" s="402"/>
      <c r="H24" s="403">
        <f>SUM('Assets-Liab 5-6'!C4+'Assets-Liab 5-6'!D4+'Assets-Liab 5-6'!F4+'Assets-Liab 5-6'!I4+'Assets-Liab 5-6'!C5+'Assets-Liab 5-6'!D5+'Assets-Liab 5-6'!F5+'Assets-Liab 5-6'!I5)</f>
        <v>8449922</v>
      </c>
      <c r="I24" s="422"/>
      <c r="J24" s="422"/>
      <c r="K24" s="423">
        <f>TRUNC(((H24/H25*100000)/100000),2)</f>
        <v>109.18</v>
      </c>
      <c r="L24" s="424"/>
      <c r="M24" s="360" t="s">
        <v>1206</v>
      </c>
      <c r="N24" s="360"/>
      <c r="O24" s="411">
        <v>0.1</v>
      </c>
      <c r="P24" s="218"/>
    </row>
    <row r="25" spans="1:18" s="408" customFormat="1" ht="12.75">
      <c r="A25" s="218"/>
      <c r="B25" s="401"/>
      <c r="C25" s="218" t="s">
        <v>831</v>
      </c>
      <c r="D25" s="218"/>
      <c r="E25" s="218"/>
      <c r="F25" s="218" t="s">
        <v>466</v>
      </c>
      <c r="G25" s="402"/>
      <c r="H25" s="423">
        <f>ROUND((H17/360),5)</f>
        <v>77388.961110000004</v>
      </c>
      <c r="I25" s="425"/>
      <c r="J25" s="425"/>
      <c r="K25" s="410"/>
      <c r="L25" s="218"/>
      <c r="M25" s="360" t="s">
        <v>1207</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8246332.0503000002</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c r="A32" s="218"/>
      <c r="B32" s="401"/>
      <c r="C32" s="218" t="s">
        <v>902</v>
      </c>
      <c r="D32" s="218"/>
      <c r="E32" s="218"/>
      <c r="F32" s="218"/>
      <c r="G32" s="402"/>
      <c r="H32" s="403">
        <f>'FP Info 3'!H37</f>
        <v>25455000</v>
      </c>
      <c r="I32" s="420"/>
      <c r="J32" s="420"/>
      <c r="K32" s="423">
        <f>TRUNC(100-((((H32/H33*100))*100)/100),2)</f>
        <v>-6.09</v>
      </c>
      <c r="L32" s="406"/>
      <c r="M32" s="360" t="s">
        <v>1206</v>
      </c>
      <c r="N32" s="360"/>
      <c r="O32" s="434">
        <v>0.1</v>
      </c>
    </row>
    <row r="33" spans="1:17" s="408" customFormat="1" ht="11.25">
      <c r="A33" s="218"/>
      <c r="B33" s="401"/>
      <c r="C33" s="218" t="s">
        <v>832</v>
      </c>
      <c r="D33" s="218"/>
      <c r="E33" s="218"/>
      <c r="F33" s="218"/>
      <c r="G33" s="402"/>
      <c r="H33" s="403">
        <f>IF('FP Info 3'!H31="Enter X in a or b"," ",'FP Info 3'!H31)</f>
        <v>23993122.98</v>
      </c>
      <c r="I33" s="420"/>
      <c r="J33" s="420"/>
      <c r="K33" s="403"/>
      <c r="L33" s="218"/>
      <c r="M33" s="435" t="s">
        <v>1207</v>
      </c>
      <c r="N33" s="435"/>
      <c r="O33" s="434">
        <f>(O31*O32)</f>
        <v>0.1</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3.5999999999999996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8" activePane="bottomLeft" state="frozen"/>
      <selection sqref="A1:F1"/>
      <selection pane="bottomLeft" sqref="A1:F1"/>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8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8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86" t="s">
        <v>1030</v>
      </c>
      <c r="B3" s="2187"/>
      <c r="C3" s="1579"/>
      <c r="D3" s="1580"/>
      <c r="E3" s="1580"/>
      <c r="F3" s="1580"/>
      <c r="G3" s="1580"/>
      <c r="H3" s="1580"/>
      <c r="I3" s="1580"/>
      <c r="J3" s="1580"/>
      <c r="K3" s="1580"/>
      <c r="L3" s="1580"/>
      <c r="M3" s="1581"/>
      <c r="N3" s="1582"/>
    </row>
    <row r="4" spans="1:14" ht="13.5" customHeight="1">
      <c r="A4" s="463" t="s">
        <v>1750</v>
      </c>
      <c r="B4" s="464"/>
      <c r="C4" s="465">
        <v>229</v>
      </c>
      <c r="D4" s="466">
        <v>6</v>
      </c>
      <c r="E4" s="466">
        <v>133331</v>
      </c>
      <c r="F4" s="466"/>
      <c r="G4" s="466"/>
      <c r="H4" s="466"/>
      <c r="I4" s="466"/>
      <c r="J4" s="467"/>
      <c r="K4" s="466">
        <v>118120</v>
      </c>
      <c r="L4" s="466">
        <v>162028</v>
      </c>
      <c r="M4" s="468"/>
      <c r="N4" s="469"/>
    </row>
    <row r="5" spans="1:14">
      <c r="A5" s="463" t="s">
        <v>1049</v>
      </c>
      <c r="B5" s="470">
        <v>120</v>
      </c>
      <c r="C5" s="465">
        <v>2697149</v>
      </c>
      <c r="D5" s="466">
        <v>686459</v>
      </c>
      <c r="E5" s="466">
        <v>2652960</v>
      </c>
      <c r="F5" s="466">
        <v>355539</v>
      </c>
      <c r="G5" s="466">
        <v>128903</v>
      </c>
      <c r="H5" s="466">
        <v>225869</v>
      </c>
      <c r="I5" s="466">
        <v>4710540</v>
      </c>
      <c r="J5" s="467">
        <v>331824</v>
      </c>
      <c r="K5" s="471">
        <v>168160</v>
      </c>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v>228432</v>
      </c>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756" t="s">
        <v>665</v>
      </c>
      <c r="B13" s="1729"/>
      <c r="C13" s="1757">
        <f>SUM(C4:C12)</f>
        <v>2697378</v>
      </c>
      <c r="D13" s="1757">
        <f t="shared" ref="D13:L13" si="0">SUM(D4:D12)</f>
        <v>686465</v>
      </c>
      <c r="E13" s="1757">
        <f t="shared" si="0"/>
        <v>2786291</v>
      </c>
      <c r="F13" s="1757">
        <f t="shared" si="0"/>
        <v>355539</v>
      </c>
      <c r="G13" s="1757">
        <f t="shared" si="0"/>
        <v>128903</v>
      </c>
      <c r="H13" s="1757">
        <f t="shared" si="0"/>
        <v>225869</v>
      </c>
      <c r="I13" s="1757">
        <f t="shared" si="0"/>
        <v>4938972</v>
      </c>
      <c r="J13" s="1757">
        <f t="shared" si="0"/>
        <v>331824</v>
      </c>
      <c r="K13" s="1757">
        <f t="shared" si="0"/>
        <v>286280</v>
      </c>
      <c r="L13" s="1757">
        <f t="shared" si="0"/>
        <v>162028</v>
      </c>
      <c r="M13" s="468"/>
      <c r="N13" s="469"/>
    </row>
    <row r="14" spans="1:14" ht="18" customHeight="1" thickTop="1">
      <c r="A14" s="2188" t="s">
        <v>149</v>
      </c>
      <c r="B14" s="2189"/>
      <c r="C14" s="1583"/>
      <c r="D14" s="1584"/>
      <c r="E14" s="1584"/>
      <c r="F14" s="1584"/>
      <c r="G14" s="1584"/>
      <c r="H14" s="1584"/>
      <c r="I14" s="1584"/>
      <c r="J14" s="1584"/>
      <c r="K14" s="1584"/>
      <c r="L14" s="1584"/>
      <c r="M14" s="1585"/>
      <c r="N14" s="1586"/>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v>85616</v>
      </c>
      <c r="N16" s="484"/>
    </row>
    <row r="17" spans="1:14" s="485" customFormat="1" ht="12.75" customHeight="1">
      <c r="A17" s="482" t="s">
        <v>1470</v>
      </c>
      <c r="B17" s="483">
        <v>230</v>
      </c>
      <c r="C17" s="477"/>
      <c r="D17" s="477"/>
      <c r="E17" s="477"/>
      <c r="F17" s="477"/>
      <c r="G17" s="477"/>
      <c r="H17" s="477"/>
      <c r="I17" s="477"/>
      <c r="J17" s="477"/>
      <c r="K17" s="477"/>
      <c r="L17" s="477"/>
      <c r="M17" s="467">
        <v>38512087</v>
      </c>
      <c r="N17" s="484"/>
    </row>
    <row r="18" spans="1:14" s="485" customFormat="1" ht="12.75" customHeight="1">
      <c r="A18" s="482" t="s">
        <v>1471</v>
      </c>
      <c r="B18" s="483">
        <v>240</v>
      </c>
      <c r="C18" s="477"/>
      <c r="D18" s="477"/>
      <c r="E18" s="477"/>
      <c r="F18" s="477"/>
      <c r="G18" s="477"/>
      <c r="H18" s="477"/>
      <c r="I18" s="477"/>
      <c r="J18" s="477"/>
      <c r="K18" s="477"/>
      <c r="L18" s="477"/>
      <c r="M18" s="467">
        <v>152380</v>
      </c>
      <c r="N18" s="484"/>
    </row>
    <row r="19" spans="1:14" s="485" customFormat="1" ht="12.75" customHeight="1">
      <c r="A19" s="482" t="s">
        <v>1472</v>
      </c>
      <c r="B19" s="483">
        <v>250</v>
      </c>
      <c r="C19" s="477"/>
      <c r="D19" s="477"/>
      <c r="E19" s="477"/>
      <c r="F19" s="477"/>
      <c r="G19" s="477"/>
      <c r="H19" s="477"/>
      <c r="I19" s="477"/>
      <c r="J19" s="477"/>
      <c r="K19" s="477"/>
      <c r="L19" s="477"/>
      <c r="M19" s="467">
        <v>393697</v>
      </c>
      <c r="N19" s="484"/>
    </row>
    <row r="20" spans="1:14" s="485" customFormat="1" ht="12.75" customHeight="1">
      <c r="A20" s="482" t="s">
        <v>1473</v>
      </c>
      <c r="B20" s="483">
        <v>260</v>
      </c>
      <c r="C20" s="477"/>
      <c r="D20" s="477"/>
      <c r="E20" s="477"/>
      <c r="F20" s="477"/>
      <c r="G20" s="477"/>
      <c r="H20" s="477"/>
      <c r="I20" s="477"/>
      <c r="J20" s="477"/>
      <c r="K20" s="477"/>
      <c r="L20" s="477"/>
      <c r="M20" s="467"/>
      <c r="N20" s="484"/>
    </row>
    <row r="21" spans="1:14" s="485" customFormat="1" ht="12.75" customHeight="1">
      <c r="A21" s="482" t="s">
        <v>1474</v>
      </c>
      <c r="B21" s="483">
        <v>340</v>
      </c>
      <c r="C21" s="477"/>
      <c r="D21" s="477"/>
      <c r="E21" s="477"/>
      <c r="F21" s="477"/>
      <c r="G21" s="477"/>
      <c r="H21" s="477"/>
      <c r="I21" s="477"/>
      <c r="J21" s="477"/>
      <c r="K21" s="477"/>
      <c r="L21" s="477"/>
      <c r="M21" s="486"/>
      <c r="N21" s="467">
        <v>2786291</v>
      </c>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22668709</v>
      </c>
    </row>
    <row r="23" spans="1:14" ht="13.5" customHeight="1" thickBot="1">
      <c r="A23" s="1756" t="s">
        <v>664</v>
      </c>
      <c r="B23" s="1761"/>
      <c r="C23" s="468"/>
      <c r="D23" s="468"/>
      <c r="E23" s="468"/>
      <c r="F23" s="468"/>
      <c r="G23" s="468"/>
      <c r="H23" s="468"/>
      <c r="I23" s="468"/>
      <c r="J23" s="468"/>
      <c r="K23" s="468"/>
      <c r="L23" s="468"/>
      <c r="M23" s="1708">
        <f>SUM(M15:M22)</f>
        <v>39143780</v>
      </c>
      <c r="N23" s="1708">
        <f>SUM(N21:N22)</f>
        <v>25455000</v>
      </c>
    </row>
    <row r="24" spans="1:14" ht="18" customHeight="1" thickTop="1">
      <c r="A24" s="2190" t="s">
        <v>619</v>
      </c>
      <c r="B24" s="2191"/>
      <c r="C24" s="1588"/>
      <c r="D24" s="1585"/>
      <c r="E24" s="1585"/>
      <c r="F24" s="1585"/>
      <c r="G24" s="1585"/>
      <c r="H24" s="1585"/>
      <c r="I24" s="1585"/>
      <c r="J24" s="1585"/>
      <c r="K24" s="1585"/>
      <c r="L24" s="1585"/>
      <c r="M24" s="1584"/>
      <c r="N24" s="1589"/>
    </row>
    <row r="25" spans="1:14">
      <c r="A25" s="473" t="s">
        <v>666</v>
      </c>
      <c r="B25" s="470">
        <v>410</v>
      </c>
      <c r="C25" s="478"/>
      <c r="D25" s="478">
        <v>135000</v>
      </c>
      <c r="E25" s="478"/>
      <c r="F25" s="478">
        <v>93432</v>
      </c>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162028</v>
      </c>
      <c r="M33" s="468"/>
      <c r="N33" s="469"/>
    </row>
    <row r="34" spans="1:14" ht="13.5" customHeight="1" thickBot="1">
      <c r="A34" s="1758" t="s">
        <v>675</v>
      </c>
      <c r="B34" s="1759"/>
      <c r="C34" s="1760">
        <f>SUM(C25:C33)</f>
        <v>0</v>
      </c>
      <c r="D34" s="1760">
        <f t="shared" ref="D34:K34" si="1">SUM(D25:D33)</f>
        <v>135000</v>
      </c>
      <c r="E34" s="1760">
        <f t="shared" si="1"/>
        <v>0</v>
      </c>
      <c r="F34" s="1760">
        <f t="shared" si="1"/>
        <v>93432</v>
      </c>
      <c r="G34" s="1760">
        <f t="shared" si="1"/>
        <v>0</v>
      </c>
      <c r="H34" s="1760">
        <f t="shared" si="1"/>
        <v>0</v>
      </c>
      <c r="I34" s="1760">
        <f t="shared" si="1"/>
        <v>0</v>
      </c>
      <c r="J34" s="1760">
        <f t="shared" si="1"/>
        <v>0</v>
      </c>
      <c r="K34" s="1760">
        <f t="shared" si="1"/>
        <v>0</v>
      </c>
      <c r="L34" s="1741">
        <f>SUM(L33)</f>
        <v>162028</v>
      </c>
      <c r="M34" s="468"/>
      <c r="N34" s="480"/>
    </row>
    <row r="35" spans="1:14" ht="18" customHeight="1" thickTop="1">
      <c r="A35" s="2192" t="s">
        <v>550</v>
      </c>
      <c r="B35" s="2193"/>
      <c r="C35" s="1590"/>
      <c r="D35" s="1591"/>
      <c r="E35" s="1591"/>
      <c r="F35" s="1591"/>
      <c r="G35" s="1591"/>
      <c r="H35" s="1591"/>
      <c r="I35" s="1591"/>
      <c r="J35" s="1591"/>
      <c r="K35" s="1591"/>
      <c r="L35" s="1591"/>
      <c r="M35" s="1585"/>
      <c r="N35" s="1589"/>
    </row>
    <row r="36" spans="1:14">
      <c r="A36" s="494" t="s">
        <v>1</v>
      </c>
      <c r="B36" s="470">
        <v>511</v>
      </c>
      <c r="C36" s="477"/>
      <c r="D36" s="477"/>
      <c r="E36" s="477"/>
      <c r="F36" s="477"/>
      <c r="G36" s="477"/>
      <c r="H36" s="477"/>
      <c r="I36" s="477"/>
      <c r="J36" s="477"/>
      <c r="K36" s="477"/>
      <c r="L36" s="468"/>
      <c r="M36" s="468"/>
      <c r="N36" s="495">
        <f>'Short-Term Long-Term Debt 24'!I49</f>
        <v>25455000</v>
      </c>
    </row>
    <row r="37" spans="1:14" ht="13.5" thickBot="1">
      <c r="A37" s="1756" t="s">
        <v>674</v>
      </c>
      <c r="B37" s="1761"/>
      <c r="C37" s="477"/>
      <c r="D37" s="477"/>
      <c r="E37" s="477"/>
      <c r="F37" s="477"/>
      <c r="G37" s="477"/>
      <c r="H37" s="477"/>
      <c r="I37" s="477"/>
      <c r="J37" s="477"/>
      <c r="K37" s="477"/>
      <c r="L37" s="480"/>
      <c r="M37" s="468"/>
      <c r="N37" s="1708">
        <f>SUM(N36:N36)</f>
        <v>25455000</v>
      </c>
    </row>
    <row r="38" spans="1:14" s="329" customFormat="1" ht="13.5" customHeight="1" thickTop="1">
      <c r="A38" s="496" t="s">
        <v>440</v>
      </c>
      <c r="B38" s="483">
        <v>714</v>
      </c>
      <c r="C38" s="466">
        <f>9450+100042</f>
        <v>109492</v>
      </c>
      <c r="D38" s="466">
        <v>137977</v>
      </c>
      <c r="E38" s="466">
        <v>1071308</v>
      </c>
      <c r="F38" s="466"/>
      <c r="G38" s="466"/>
      <c r="H38" s="466"/>
      <c r="I38" s="466"/>
      <c r="J38" s="467"/>
      <c r="K38" s="466"/>
      <c r="L38" s="481"/>
      <c r="M38" s="497"/>
      <c r="N38" s="497"/>
    </row>
    <row r="39" spans="1:14" s="329" customFormat="1" ht="13.5" customHeight="1">
      <c r="A39" s="496" t="s">
        <v>360</v>
      </c>
      <c r="B39" s="483">
        <v>730</v>
      </c>
      <c r="C39" s="466">
        <v>2587886</v>
      </c>
      <c r="D39" s="466">
        <v>413488</v>
      </c>
      <c r="E39" s="466">
        <v>1714983</v>
      </c>
      <c r="F39" s="466">
        <v>262107</v>
      </c>
      <c r="G39" s="466">
        <v>128903</v>
      </c>
      <c r="H39" s="466">
        <v>225869</v>
      </c>
      <c r="I39" s="466">
        <v>4938972</v>
      </c>
      <c r="J39" s="467">
        <v>331824</v>
      </c>
      <c r="K39" s="466">
        <v>286280</v>
      </c>
      <c r="L39" s="466"/>
      <c r="M39" s="497"/>
      <c r="N39" s="497"/>
    </row>
    <row r="40" spans="1:14" s="329" customFormat="1" ht="13.5" customHeight="1">
      <c r="A40" s="498" t="s">
        <v>150</v>
      </c>
      <c r="B40" s="499"/>
      <c r="C40" s="500"/>
      <c r="D40" s="500"/>
      <c r="E40" s="500"/>
      <c r="F40" s="500"/>
      <c r="G40" s="500"/>
      <c r="H40" s="500"/>
      <c r="I40" s="500"/>
      <c r="J40" s="500"/>
      <c r="K40" s="500"/>
      <c r="L40" s="500"/>
      <c r="M40" s="467">
        <v>39143780</v>
      </c>
      <c r="N40" s="497"/>
    </row>
    <row r="41" spans="1:14" ht="13.5" customHeight="1" thickBot="1">
      <c r="A41" s="1756" t="s">
        <v>676</v>
      </c>
      <c r="B41" s="1726"/>
      <c r="C41" s="1708">
        <f>(SUM(C34,C37,C38,C39))</f>
        <v>2697378</v>
      </c>
      <c r="D41" s="1708">
        <f t="shared" ref="D41:L41" si="2">SUM(D34,D37,D38:D39)</f>
        <v>686465</v>
      </c>
      <c r="E41" s="1708">
        <f t="shared" si="2"/>
        <v>2786291</v>
      </c>
      <c r="F41" s="1708">
        <f t="shared" si="2"/>
        <v>355539</v>
      </c>
      <c r="G41" s="1708">
        <f t="shared" si="2"/>
        <v>128903</v>
      </c>
      <c r="H41" s="1708">
        <f t="shared" si="2"/>
        <v>225869</v>
      </c>
      <c r="I41" s="1708">
        <f t="shared" si="2"/>
        <v>4938972</v>
      </c>
      <c r="J41" s="1708">
        <f t="shared" si="2"/>
        <v>331824</v>
      </c>
      <c r="K41" s="1708">
        <f t="shared" si="2"/>
        <v>286280</v>
      </c>
      <c r="L41" s="1708">
        <f t="shared" si="2"/>
        <v>162028</v>
      </c>
      <c r="M41" s="1708">
        <f>SUM(M40)</f>
        <v>39143780</v>
      </c>
      <c r="N41" s="1708">
        <f>SUM(N37)</f>
        <v>25455000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sqref="A1:F1"/>
      <selection pane="bottomLeft" sqref="A1:F1"/>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20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20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214" t="s">
        <v>1237</v>
      </c>
      <c r="B3" s="2215"/>
      <c r="C3" s="1593"/>
      <c r="D3" s="1594"/>
      <c r="E3" s="1594"/>
      <c r="F3" s="1594"/>
      <c r="G3" s="1594"/>
      <c r="H3" s="1594"/>
      <c r="I3" s="1594"/>
      <c r="J3" s="1594"/>
      <c r="K3" s="1595"/>
      <c r="L3" s="506"/>
    </row>
    <row r="4" spans="1:13" ht="15.75" customHeight="1">
      <c r="A4" s="1952" t="s">
        <v>1579</v>
      </c>
      <c r="B4" s="1953">
        <v>1000</v>
      </c>
      <c r="C4" s="1762">
        <f>'Revenues 9-14'!C109</f>
        <v>10212442</v>
      </c>
      <c r="D4" s="1762">
        <f>'Revenues 9-14'!D109</f>
        <v>1822787</v>
      </c>
      <c r="E4" s="1762">
        <f>'Revenues 9-14'!E109</f>
        <v>3552096</v>
      </c>
      <c r="F4" s="1762">
        <f>'Revenues 9-14'!F109</f>
        <v>668515</v>
      </c>
      <c r="G4" s="1762">
        <f>'Revenues 9-14'!G109</f>
        <v>1308623</v>
      </c>
      <c r="H4" s="1762">
        <f>'Revenues 9-14'!H109</f>
        <v>342883</v>
      </c>
      <c r="I4" s="1762">
        <f>'Revenues 9-14'!I109</f>
        <v>212230</v>
      </c>
      <c r="J4" s="1762">
        <f>'Revenues 9-14'!J109</f>
        <v>938148</v>
      </c>
      <c r="K4" s="1762">
        <f>'Revenues 9-14'!K109</f>
        <v>2471</v>
      </c>
      <c r="L4" s="347"/>
    </row>
    <row r="5" spans="1:13" ht="15.75" customHeight="1">
      <c r="A5" s="1596" t="s">
        <v>1580</v>
      </c>
      <c r="B5" s="1597">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c r="A6" s="1596" t="s">
        <v>1581</v>
      </c>
      <c r="B6" s="1598">
        <v>3000</v>
      </c>
      <c r="C6" s="1763">
        <f>'Revenues 9-14'!C173</f>
        <v>12361274</v>
      </c>
      <c r="D6" s="1763">
        <f>'Revenues 9-14'!D173</f>
        <v>0</v>
      </c>
      <c r="E6" s="1763">
        <f>'Revenues 9-14'!E173</f>
        <v>0</v>
      </c>
      <c r="F6" s="1763">
        <f>'Revenues 9-14'!F173</f>
        <v>885002</v>
      </c>
      <c r="G6" s="1763">
        <f>'Revenues 9-14'!G173</f>
        <v>0</v>
      </c>
      <c r="H6" s="1763">
        <f>'Revenues 9-14'!H173</f>
        <v>0</v>
      </c>
      <c r="I6" s="1763">
        <f>'Revenues 9-14'!I173</f>
        <v>0</v>
      </c>
      <c r="J6" s="1763">
        <f>'Revenues 9-14'!J173</f>
        <v>0</v>
      </c>
      <c r="K6" s="1763">
        <f>'Revenues 9-14'!K173</f>
        <v>0</v>
      </c>
      <c r="L6" s="347"/>
      <c r="M6" s="513"/>
    </row>
    <row r="7" spans="1:13" ht="15.75" customHeight="1">
      <c r="A7" s="1596" t="s">
        <v>1582</v>
      </c>
      <c r="B7" s="1598">
        <v>4000</v>
      </c>
      <c r="C7" s="1763">
        <f>'Revenues 9-14'!C274</f>
        <v>3686451</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c r="A8" s="1756" t="s">
        <v>1234</v>
      </c>
      <c r="B8" s="1729"/>
      <c r="C8" s="1708">
        <f>SUM(C4:C7)</f>
        <v>26260167</v>
      </c>
      <c r="D8" s="1708">
        <f t="shared" ref="D8:K8" si="0">SUM(D4:D7)</f>
        <v>1822787</v>
      </c>
      <c r="E8" s="1708">
        <f t="shared" si="0"/>
        <v>3552096</v>
      </c>
      <c r="F8" s="1708">
        <f t="shared" si="0"/>
        <v>1553517</v>
      </c>
      <c r="G8" s="1708">
        <f t="shared" si="0"/>
        <v>1308623</v>
      </c>
      <c r="H8" s="1708">
        <f t="shared" si="0"/>
        <v>342883</v>
      </c>
      <c r="I8" s="1708">
        <f t="shared" si="0"/>
        <v>212230</v>
      </c>
      <c r="J8" s="1708">
        <f t="shared" si="0"/>
        <v>938148</v>
      </c>
      <c r="K8" s="1708">
        <f t="shared" si="0"/>
        <v>2471</v>
      </c>
      <c r="L8" s="347"/>
    </row>
    <row r="9" spans="1:13" ht="15.75" thickTop="1">
      <c r="A9" s="514" t="s">
        <v>1752</v>
      </c>
      <c r="B9" s="515">
        <v>3998</v>
      </c>
      <c r="C9" s="481">
        <v>11004921</v>
      </c>
      <c r="D9" s="516"/>
      <c r="E9" s="481"/>
      <c r="F9" s="481"/>
      <c r="G9" s="517"/>
      <c r="H9" s="481"/>
      <c r="I9" s="509" t="s">
        <v>1231</v>
      </c>
      <c r="J9" s="478"/>
      <c r="K9" s="481"/>
      <c r="L9" s="347"/>
    </row>
    <row r="10" spans="1:13" s="519" customFormat="1" ht="13.5" thickBot="1">
      <c r="A10" s="1756" t="s">
        <v>1235</v>
      </c>
      <c r="B10" s="1729"/>
      <c r="C10" s="1708">
        <f>SUM(C8:C9)</f>
        <v>37265088</v>
      </c>
      <c r="D10" s="1708">
        <f t="shared" ref="D10:K10" si="1">SUM(D8:D9)</f>
        <v>1822787</v>
      </c>
      <c r="E10" s="1708">
        <f t="shared" si="1"/>
        <v>3552096</v>
      </c>
      <c r="F10" s="1708">
        <f t="shared" si="1"/>
        <v>1553517</v>
      </c>
      <c r="G10" s="1708">
        <f t="shared" si="1"/>
        <v>1308623</v>
      </c>
      <c r="H10" s="1708">
        <f t="shared" si="1"/>
        <v>342883</v>
      </c>
      <c r="I10" s="1708">
        <f t="shared" si="1"/>
        <v>212230</v>
      </c>
      <c r="J10" s="1708">
        <f t="shared" si="1"/>
        <v>938148</v>
      </c>
      <c r="K10" s="1708">
        <f t="shared" si="1"/>
        <v>2471</v>
      </c>
      <c r="L10" s="518"/>
    </row>
    <row r="11" spans="1:13" s="519" customFormat="1" ht="16.7" customHeight="1" thickTop="1">
      <c r="A11" s="2188" t="s">
        <v>1238</v>
      </c>
      <c r="B11" s="2189"/>
      <c r="C11" s="1590"/>
      <c r="D11" s="1591"/>
      <c r="E11" s="1591"/>
      <c r="F11" s="1591"/>
      <c r="G11" s="1591"/>
      <c r="H11" s="1591"/>
      <c r="I11" s="1591"/>
      <c r="J11" s="1591"/>
      <c r="K11" s="1592"/>
      <c r="L11" s="518"/>
    </row>
    <row r="12" spans="1:13" ht="15.75" customHeight="1">
      <c r="A12" s="1596" t="s">
        <v>476</v>
      </c>
      <c r="B12" s="1598">
        <v>1000</v>
      </c>
      <c r="C12" s="1762">
        <f>'Expenditures 15-22'!K33</f>
        <v>15150169</v>
      </c>
      <c r="D12" s="520" t="s">
        <v>1231</v>
      </c>
      <c r="E12" s="468" t="s">
        <v>1231</v>
      </c>
      <c r="F12" s="468" t="s">
        <v>1231</v>
      </c>
      <c r="G12" s="1762">
        <f>'Expenditures 15-22'!K229</f>
        <v>377554</v>
      </c>
      <c r="H12" s="521"/>
      <c r="I12" s="468" t="s">
        <v>1231</v>
      </c>
      <c r="J12" s="468" t="s">
        <v>1231</v>
      </c>
      <c r="K12" s="521" t="s">
        <v>1231</v>
      </c>
      <c r="L12" s="347"/>
    </row>
    <row r="13" spans="1:13" ht="15.75" customHeight="1">
      <c r="A13" s="1596" t="s">
        <v>477</v>
      </c>
      <c r="B13" s="1598">
        <v>2000</v>
      </c>
      <c r="C13" s="1763">
        <f>'Expenditures 15-22'!K74</f>
        <v>7898012</v>
      </c>
      <c r="D13" s="1763">
        <f>'Expenditures 15-22'!K129</f>
        <v>2139207</v>
      </c>
      <c r="E13" s="469" t="s">
        <v>1231</v>
      </c>
      <c r="F13" s="1763">
        <f>'Expenditures 15-22'!K184</f>
        <v>1501348</v>
      </c>
      <c r="G13" s="1763">
        <f>'Expenditures 15-22'!K279</f>
        <v>890432</v>
      </c>
      <c r="H13" s="1763">
        <f>'Expenditures 15-22'!K303</f>
        <v>9708977</v>
      </c>
      <c r="I13" s="468" t="s">
        <v>1231</v>
      </c>
      <c r="J13" s="1763">
        <f>'Expenditures 15-22'!K330</f>
        <v>767913</v>
      </c>
      <c r="K13" s="1767">
        <f>'Expenditures 15-22'!K352</f>
        <v>20244</v>
      </c>
      <c r="L13" s="347"/>
    </row>
    <row r="14" spans="1:13" ht="15.75" customHeight="1">
      <c r="A14" s="1596" t="s">
        <v>469</v>
      </c>
      <c r="B14" s="1598">
        <v>3000</v>
      </c>
      <c r="C14" s="1763">
        <f>'Expenditures 15-22'!K75</f>
        <v>56103</v>
      </c>
      <c r="D14" s="1763">
        <f>'Expenditures 15-22'!K130</f>
        <v>0</v>
      </c>
      <c r="E14" s="520" t="s">
        <v>1231</v>
      </c>
      <c r="F14" s="1763">
        <f>'Expenditures 15-22'!K185</f>
        <v>0</v>
      </c>
      <c r="G14" s="1763">
        <f>'Expenditures 15-22'!K280</f>
        <v>3766</v>
      </c>
      <c r="H14" s="512"/>
      <c r="I14" s="468" t="s">
        <v>1231</v>
      </c>
      <c r="J14" s="468" t="s">
        <v>1231</v>
      </c>
      <c r="K14" s="512" t="s">
        <v>1231</v>
      </c>
      <c r="L14" s="347"/>
    </row>
    <row r="15" spans="1:13" ht="15.75" customHeight="1">
      <c r="A15" s="1596" t="s">
        <v>109</v>
      </c>
      <c r="B15" s="1598">
        <v>4000</v>
      </c>
      <c r="C15" s="1763">
        <f>'Expenditures 15-22'!K102</f>
        <v>1109454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c r="A16" s="1596" t="s">
        <v>470</v>
      </c>
      <c r="B16" s="1598">
        <v>5000</v>
      </c>
      <c r="C16" s="1763">
        <f>'Expenditures 15-22'!K112</f>
        <v>5733</v>
      </c>
      <c r="D16" s="1763">
        <f>'Expenditures 15-22'!K149</f>
        <v>0</v>
      </c>
      <c r="E16" s="1763">
        <f>'Expenditures 15-22'!K172</f>
        <v>2858100</v>
      </c>
      <c r="F16" s="1763">
        <f>'Expenditures 15-22'!K208</f>
        <v>0</v>
      </c>
      <c r="G16" s="1763">
        <f>'Expenditures 15-22'!K293</f>
        <v>0</v>
      </c>
      <c r="H16" s="523"/>
      <c r="I16" s="468" t="s">
        <v>1231</v>
      </c>
      <c r="J16" s="1768">
        <f>'Expenditures 15-22'!K340</f>
        <v>0</v>
      </c>
      <c r="K16" s="1763">
        <f>'Expenditures 15-22'!K365</f>
        <v>0</v>
      </c>
      <c r="L16" s="347"/>
    </row>
    <row r="17" spans="1:12" ht="13.5" thickBot="1">
      <c r="A17" s="1728" t="s">
        <v>50</v>
      </c>
      <c r="B17" s="1729"/>
      <c r="C17" s="1708">
        <f t="shared" ref="C17:H17" si="2">SUM(C12:C16)</f>
        <v>24219471</v>
      </c>
      <c r="D17" s="1708">
        <f t="shared" si="2"/>
        <v>2139207</v>
      </c>
      <c r="E17" s="1708">
        <f t="shared" si="2"/>
        <v>2858100</v>
      </c>
      <c r="F17" s="1708">
        <f t="shared" si="2"/>
        <v>1501348</v>
      </c>
      <c r="G17" s="1708">
        <f t="shared" si="2"/>
        <v>1271752</v>
      </c>
      <c r="H17" s="1708">
        <f t="shared" si="2"/>
        <v>9708977</v>
      </c>
      <c r="I17" s="468"/>
      <c r="J17" s="1708">
        <f>SUM(J12:J16)</f>
        <v>767913</v>
      </c>
      <c r="K17" s="1708">
        <f>SUM(K12:K16)</f>
        <v>20244</v>
      </c>
      <c r="L17" s="347"/>
    </row>
    <row r="18" spans="1:12" ht="15" customHeight="1" thickTop="1">
      <c r="A18" s="1764" t="s">
        <v>1753</v>
      </c>
      <c r="B18" s="1765">
        <v>4180</v>
      </c>
      <c r="C18" s="1762">
        <f t="shared" ref="C18:H18" si="3">C9</f>
        <v>11004921</v>
      </c>
      <c r="D18" s="1762">
        <f t="shared" si="3"/>
        <v>0</v>
      </c>
      <c r="E18" s="1762">
        <f t="shared" si="3"/>
        <v>0</v>
      </c>
      <c r="F18" s="1762">
        <f t="shared" si="3"/>
        <v>0</v>
      </c>
      <c r="G18" s="1762">
        <f t="shared" si="3"/>
        <v>0</v>
      </c>
      <c r="H18" s="1762">
        <f t="shared" si="3"/>
        <v>0</v>
      </c>
      <c r="I18" s="468"/>
      <c r="J18" s="1762">
        <f>J9</f>
        <v>0</v>
      </c>
      <c r="K18" s="1762">
        <f>K9</f>
        <v>0</v>
      </c>
      <c r="L18" s="347"/>
    </row>
    <row r="19" spans="1:12" ht="13.5" thickBot="1">
      <c r="A19" s="1728" t="s">
        <v>526</v>
      </c>
      <c r="B19" s="1729"/>
      <c r="C19" s="1708">
        <f t="shared" ref="C19:H19" si="4">SUM(C17:C18)</f>
        <v>35224392</v>
      </c>
      <c r="D19" s="1708">
        <f t="shared" si="4"/>
        <v>2139207</v>
      </c>
      <c r="E19" s="1708">
        <f t="shared" si="4"/>
        <v>2858100</v>
      </c>
      <c r="F19" s="1708">
        <f t="shared" si="4"/>
        <v>1501348</v>
      </c>
      <c r="G19" s="1708">
        <f t="shared" si="4"/>
        <v>1271752</v>
      </c>
      <c r="H19" s="1708">
        <f t="shared" si="4"/>
        <v>9708977</v>
      </c>
      <c r="I19" s="468"/>
      <c r="J19" s="1708">
        <f>SUM(J17:J18)</f>
        <v>767913</v>
      </c>
      <c r="K19" s="1708">
        <f>SUM(K17:K18)</f>
        <v>20244</v>
      </c>
      <c r="L19" s="347"/>
    </row>
    <row r="20" spans="1:12" ht="16.5" thickTop="1" thickBot="1">
      <c r="A20" s="2204" t="s">
        <v>1754</v>
      </c>
      <c r="B20" s="2205"/>
      <c r="C20" s="1766">
        <f>C8-C17</f>
        <v>2040696</v>
      </c>
      <c r="D20" s="1766">
        <f t="shared" ref="D20:K20" si="5">D8-D17</f>
        <v>-316420</v>
      </c>
      <c r="E20" s="1766">
        <f t="shared" si="5"/>
        <v>693996</v>
      </c>
      <c r="F20" s="1766">
        <f t="shared" si="5"/>
        <v>52169</v>
      </c>
      <c r="G20" s="1766">
        <f t="shared" si="5"/>
        <v>36871</v>
      </c>
      <c r="H20" s="1766">
        <f t="shared" si="5"/>
        <v>-9366094</v>
      </c>
      <c r="I20" s="1766">
        <f t="shared" si="5"/>
        <v>212230</v>
      </c>
      <c r="J20" s="1766">
        <f t="shared" si="5"/>
        <v>170235</v>
      </c>
      <c r="K20" s="1766">
        <f t="shared" si="5"/>
        <v>-17773</v>
      </c>
      <c r="L20" s="347"/>
    </row>
    <row r="21" spans="1:12" ht="16.7" customHeight="1" thickTop="1">
      <c r="A21" s="2216" t="s">
        <v>616</v>
      </c>
      <c r="B21" s="2217"/>
      <c r="C21" s="1590"/>
      <c r="D21" s="1591"/>
      <c r="E21" s="1591"/>
      <c r="F21" s="1591"/>
      <c r="G21" s="1591"/>
      <c r="H21" s="1591"/>
      <c r="I21" s="1591"/>
      <c r="J21" s="1591"/>
      <c r="K21" s="1592"/>
      <c r="L21" s="524"/>
    </row>
    <row r="22" spans="1:12" ht="15.75" customHeight="1" collapsed="1">
      <c r="A22" s="2212" t="s">
        <v>617</v>
      </c>
      <c r="B22" s="2213"/>
      <c r="C22" s="477"/>
      <c r="D22" s="477"/>
      <c r="E22" s="477"/>
      <c r="F22" s="477"/>
      <c r="G22" s="477"/>
      <c r="H22" s="477"/>
      <c r="I22" s="477"/>
      <c r="J22" s="477"/>
      <c r="K22" s="477"/>
      <c r="L22" s="347"/>
    </row>
    <row r="23" spans="1:12" s="485" customFormat="1" ht="15.75" customHeight="1">
      <c r="A23" s="2208" t="s">
        <v>311</v>
      </c>
      <c r="B23" s="2209"/>
      <c r="C23" s="480"/>
      <c r="D23" s="477"/>
      <c r="E23" s="477"/>
      <c r="F23" s="477"/>
      <c r="G23" s="477"/>
      <c r="H23" s="477"/>
      <c r="I23" s="477"/>
      <c r="J23" s="477"/>
      <c r="K23" s="477"/>
      <c r="L23" s="524"/>
    </row>
    <row r="24" spans="1:12" s="485" customFormat="1" ht="13.5" customHeight="1">
      <c r="A24" s="1509" t="s">
        <v>1755</v>
      </c>
      <c r="B24" s="525">
        <v>7110</v>
      </c>
      <c r="C24" s="467"/>
      <c r="D24" s="477"/>
      <c r="E24" s="477"/>
      <c r="F24" s="477"/>
      <c r="G24" s="477"/>
      <c r="H24" s="477"/>
      <c r="I24" s="477"/>
      <c r="J24" s="477"/>
      <c r="K24" s="477"/>
      <c r="L24" s="524"/>
    </row>
    <row r="25" spans="1:12" s="485" customFormat="1" ht="13.5" customHeight="1">
      <c r="A25" s="1509" t="s">
        <v>1756</v>
      </c>
      <c r="B25" s="525">
        <v>7110</v>
      </c>
      <c r="C25" s="467"/>
      <c r="D25" s="467">
        <v>500000</v>
      </c>
      <c r="E25" s="467"/>
      <c r="F25" s="467"/>
      <c r="G25" s="467"/>
      <c r="H25" s="467"/>
      <c r="I25" s="477"/>
      <c r="J25" s="467"/>
      <c r="K25" s="467"/>
      <c r="L25" s="524"/>
    </row>
    <row r="26" spans="1:12" s="485" customFormat="1" ht="13.5" customHeight="1">
      <c r="A26" s="1509" t="s">
        <v>193</v>
      </c>
      <c r="B26" s="483">
        <v>7120</v>
      </c>
      <c r="C26" s="467"/>
      <c r="D26" s="467"/>
      <c r="E26" s="467"/>
      <c r="F26" s="467"/>
      <c r="G26" s="467"/>
      <c r="H26" s="467"/>
      <c r="I26" s="477"/>
      <c r="J26" s="467"/>
      <c r="K26" s="467"/>
      <c r="L26" s="524"/>
    </row>
    <row r="27" spans="1:12" s="485" customFormat="1" ht="13.5" customHeight="1">
      <c r="A27" s="1509" t="s">
        <v>194</v>
      </c>
      <c r="B27" s="483">
        <v>7130</v>
      </c>
      <c r="C27" s="467"/>
      <c r="D27" s="467"/>
      <c r="E27" s="526"/>
      <c r="F27" s="467"/>
      <c r="G27" s="480"/>
      <c r="H27" s="480"/>
      <c r="I27" s="480"/>
      <c r="J27" s="480"/>
      <c r="K27" s="480"/>
      <c r="L27" s="524"/>
    </row>
    <row r="28" spans="1:12" s="485" customFormat="1" ht="13.5" customHeight="1">
      <c r="A28" s="1509" t="s">
        <v>1465</v>
      </c>
      <c r="B28" s="483">
        <v>7140</v>
      </c>
      <c r="C28" s="467"/>
      <c r="D28" s="467"/>
      <c r="E28" s="467"/>
      <c r="F28" s="467"/>
      <c r="G28" s="467"/>
      <c r="H28" s="467"/>
      <c r="I28" s="467"/>
      <c r="J28" s="467"/>
      <c r="K28" s="467"/>
      <c r="L28" s="524"/>
    </row>
    <row r="29" spans="1:12" s="485" customFormat="1" ht="13.5" customHeight="1">
      <c r="A29" s="1509" t="s">
        <v>312</v>
      </c>
      <c r="B29" s="483">
        <v>7150</v>
      </c>
      <c r="C29" s="475"/>
      <c r="D29" s="467"/>
      <c r="E29" s="475"/>
      <c r="F29" s="475"/>
      <c r="G29" s="475"/>
      <c r="H29" s="475"/>
      <c r="I29" s="475"/>
      <c r="J29" s="475"/>
      <c r="K29" s="475"/>
      <c r="L29" s="524"/>
    </row>
    <row r="30" spans="1:12" s="485" customFormat="1" ht="26.25">
      <c r="A30" s="1509" t="s">
        <v>1894</v>
      </c>
      <c r="B30" s="527">
        <v>7160</v>
      </c>
      <c r="C30" s="477"/>
      <c r="D30" s="467"/>
      <c r="E30" s="477"/>
      <c r="F30" s="477"/>
      <c r="G30" s="477"/>
      <c r="H30" s="477"/>
      <c r="I30" s="477"/>
      <c r="J30" s="477"/>
      <c r="K30" s="477"/>
      <c r="L30" s="524"/>
    </row>
    <row r="31" spans="1:12" s="485" customFormat="1" ht="26.25">
      <c r="A31" s="1509" t="s">
        <v>1898</v>
      </c>
      <c r="B31" s="527">
        <v>7170</v>
      </c>
      <c r="C31" s="477"/>
      <c r="D31" s="477"/>
      <c r="E31" s="474"/>
      <c r="F31" s="477"/>
      <c r="G31" s="477"/>
      <c r="H31" s="477"/>
      <c r="I31" s="477"/>
      <c r="J31" s="477"/>
      <c r="K31" s="477"/>
      <c r="L31" s="524"/>
    </row>
    <row r="32" spans="1:12" s="485" customFormat="1" ht="15.75" customHeight="1">
      <c r="A32" s="2210" t="s">
        <v>1038</v>
      </c>
      <c r="B32" s="2211"/>
      <c r="C32" s="477"/>
      <c r="D32" s="477"/>
      <c r="E32" s="475"/>
      <c r="F32" s="477"/>
      <c r="G32" s="477"/>
      <c r="H32" s="477"/>
      <c r="I32" s="477"/>
      <c r="J32" s="477"/>
      <c r="K32" s="477"/>
      <c r="L32" s="524"/>
    </row>
    <row r="33" spans="1:12" s="485" customFormat="1">
      <c r="A33" s="1509" t="s">
        <v>432</v>
      </c>
      <c r="B33" s="525">
        <v>7210</v>
      </c>
      <c r="C33" s="467"/>
      <c r="D33" s="467"/>
      <c r="E33" s="467"/>
      <c r="F33" s="467"/>
      <c r="G33" s="477"/>
      <c r="H33" s="467"/>
      <c r="I33" s="467"/>
      <c r="J33" s="467"/>
      <c r="K33" s="467"/>
      <c r="L33" s="524"/>
    </row>
    <row r="34" spans="1:12" s="485" customFormat="1">
      <c r="A34" s="1509" t="s">
        <v>1058</v>
      </c>
      <c r="B34" s="525">
        <v>7220</v>
      </c>
      <c r="C34" s="467"/>
      <c r="D34" s="467"/>
      <c r="E34" s="467"/>
      <c r="F34" s="467"/>
      <c r="G34" s="477"/>
      <c r="H34" s="478"/>
      <c r="I34" s="478"/>
      <c r="J34" s="478"/>
      <c r="K34" s="478"/>
      <c r="L34" s="524"/>
    </row>
    <row r="35" spans="1:12" s="485" customFormat="1">
      <c r="A35" s="1509" t="s">
        <v>1047</v>
      </c>
      <c r="B35" s="525">
        <v>7230</v>
      </c>
      <c r="C35" s="467"/>
      <c r="D35" s="467"/>
      <c r="E35" s="467"/>
      <c r="F35" s="467"/>
      <c r="G35" s="480"/>
      <c r="H35" s="467"/>
      <c r="I35" s="467"/>
      <c r="J35" s="467"/>
      <c r="K35" s="467"/>
      <c r="L35" s="524"/>
    </row>
    <row r="36" spans="1:12" s="485" customFormat="1" ht="15">
      <c r="A36" s="1509" t="s">
        <v>1757</v>
      </c>
      <c r="B36" s="525">
        <v>7300</v>
      </c>
      <c r="C36" s="467"/>
      <c r="D36" s="467"/>
      <c r="E36" s="467"/>
      <c r="F36" s="467"/>
      <c r="G36" s="467"/>
      <c r="H36" s="467"/>
      <c r="I36" s="475"/>
      <c r="J36" s="467"/>
      <c r="K36" s="467"/>
      <c r="L36" s="524"/>
    </row>
    <row r="37" spans="1:12" s="485" customFormat="1">
      <c r="A37" s="1509" t="s">
        <v>461</v>
      </c>
      <c r="B37" s="525">
        <v>7400</v>
      </c>
      <c r="C37" s="475"/>
      <c r="D37" s="475"/>
      <c r="E37" s="1763">
        <f>SUM(C54:D57,H54:H57)</f>
        <v>0</v>
      </c>
      <c r="F37" s="475"/>
      <c r="G37" s="475"/>
      <c r="H37" s="475"/>
      <c r="I37" s="477"/>
      <c r="J37" s="475"/>
      <c r="K37" s="475"/>
      <c r="L37" s="524"/>
    </row>
    <row r="38" spans="1:12" s="485" customFormat="1">
      <c r="A38" s="1509" t="s">
        <v>462</v>
      </c>
      <c r="B38" s="525">
        <v>7500</v>
      </c>
      <c r="C38" s="477"/>
      <c r="D38" s="477"/>
      <c r="E38" s="1763">
        <f>SUM(C58:D61,H58:H61)</f>
        <v>0</v>
      </c>
      <c r="F38" s="477"/>
      <c r="G38" s="477"/>
      <c r="H38" s="477"/>
      <c r="I38" s="477"/>
      <c r="J38" s="477"/>
      <c r="K38" s="477"/>
      <c r="L38" s="524"/>
    </row>
    <row r="39" spans="1:12" s="485" customFormat="1">
      <c r="A39" s="1509" t="s">
        <v>463</v>
      </c>
      <c r="B39" s="525">
        <v>7600</v>
      </c>
      <c r="C39" s="477"/>
      <c r="D39" s="477"/>
      <c r="E39" s="1763">
        <f>SUM(C62:D65)</f>
        <v>0</v>
      </c>
      <c r="F39" s="477"/>
      <c r="G39" s="477"/>
      <c r="H39" s="477"/>
      <c r="I39" s="477"/>
      <c r="J39" s="477"/>
      <c r="K39" s="477"/>
      <c r="L39" s="524"/>
    </row>
    <row r="40" spans="1:12" s="485" customFormat="1" ht="13.5" customHeight="1">
      <c r="A40" s="1509" t="s">
        <v>663</v>
      </c>
      <c r="B40" s="483">
        <v>7700</v>
      </c>
      <c r="C40" s="477"/>
      <c r="D40" s="477"/>
      <c r="E40" s="1763">
        <f>SUM(C66:D69)</f>
        <v>0</v>
      </c>
      <c r="F40" s="477"/>
      <c r="G40" s="477"/>
      <c r="H40" s="480"/>
      <c r="I40" s="477"/>
      <c r="J40" s="477"/>
      <c r="K40" s="477"/>
      <c r="L40" s="524"/>
    </row>
    <row r="41" spans="1:12" s="485" customFormat="1" ht="13.5" customHeight="1">
      <c r="A41" s="1509" t="s">
        <v>661</v>
      </c>
      <c r="B41" s="483">
        <v>7800</v>
      </c>
      <c r="C41" s="480"/>
      <c r="D41" s="480"/>
      <c r="E41" s="526"/>
      <c r="F41" s="480"/>
      <c r="G41" s="480"/>
      <c r="H41" s="1763">
        <f>SUM(C70:D73)</f>
        <v>0</v>
      </c>
      <c r="I41" s="477"/>
      <c r="J41" s="477"/>
      <c r="K41" s="480"/>
      <c r="L41" s="524"/>
    </row>
    <row r="42" spans="1:12" s="485" customFormat="1" ht="13.5" customHeight="1">
      <c r="A42" s="1509" t="s">
        <v>662</v>
      </c>
      <c r="B42" s="483">
        <v>7900</v>
      </c>
      <c r="C42" s="467"/>
      <c r="D42" s="467"/>
      <c r="E42" s="467"/>
      <c r="F42" s="467"/>
      <c r="G42" s="467"/>
      <c r="H42" s="467"/>
      <c r="I42" s="480"/>
      <c r="J42" s="480"/>
      <c r="K42" s="467"/>
      <c r="L42" s="524"/>
    </row>
    <row r="43" spans="1:12" s="485" customFormat="1" ht="13.5" customHeight="1">
      <c r="A43" s="1509" t="s">
        <v>391</v>
      </c>
      <c r="B43" s="483">
        <v>7990</v>
      </c>
      <c r="C43" s="467"/>
      <c r="D43" s="467"/>
      <c r="E43" s="467"/>
      <c r="F43" s="467"/>
      <c r="G43" s="467"/>
      <c r="H43" s="467"/>
      <c r="I43" s="467"/>
      <c r="J43" s="467"/>
      <c r="K43" s="467"/>
      <c r="L43" s="524"/>
    </row>
    <row r="44" spans="1:12" s="485" customFormat="1" ht="13.5" customHeight="1" thickBot="1">
      <c r="A44" s="2218" t="s">
        <v>392</v>
      </c>
      <c r="B44" s="2219"/>
      <c r="C44" s="1723">
        <f>SUM(C24:C43)</f>
        <v>0</v>
      </c>
      <c r="D44" s="1723">
        <f t="shared" ref="D44:K44" si="6">SUM(D24:D43)</f>
        <v>500000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c r="A45" s="2212" t="s">
        <v>110</v>
      </c>
      <c r="B45" s="2213"/>
      <c r="C45" s="528"/>
      <c r="D45" s="528"/>
      <c r="E45" s="528"/>
      <c r="F45" s="528"/>
      <c r="G45" s="528"/>
      <c r="H45" s="528"/>
      <c r="I45" s="528"/>
      <c r="J45" s="528"/>
      <c r="K45" s="528"/>
      <c r="L45" s="347"/>
    </row>
    <row r="46" spans="1:12" s="485" customFormat="1" ht="15.75" customHeight="1">
      <c r="A46" s="2220" t="s">
        <v>111</v>
      </c>
      <c r="B46" s="2221"/>
      <c r="C46" s="477"/>
      <c r="D46" s="477"/>
      <c r="E46" s="477"/>
      <c r="F46" s="477"/>
      <c r="G46" s="477"/>
      <c r="H46" s="477"/>
      <c r="I46" s="480"/>
      <c r="J46" s="477"/>
      <c r="K46" s="477"/>
      <c r="L46" s="529"/>
    </row>
    <row r="47" spans="1:12" s="485" customFormat="1" ht="15">
      <c r="A47" s="1510" t="s">
        <v>1758</v>
      </c>
      <c r="B47" s="483">
        <v>8110</v>
      </c>
      <c r="C47" s="477"/>
      <c r="D47" s="477"/>
      <c r="E47" s="477"/>
      <c r="F47" s="477"/>
      <c r="G47" s="477"/>
      <c r="H47" s="477"/>
      <c r="I47" s="1763">
        <f>SUM(C24,C25:H25,J25:K25)</f>
        <v>500000</v>
      </c>
      <c r="J47" s="477"/>
      <c r="K47" s="477"/>
      <c r="L47" s="529"/>
    </row>
    <row r="48" spans="1:12" s="485" customFormat="1" ht="15">
      <c r="A48" s="1510" t="s">
        <v>1759</v>
      </c>
      <c r="B48" s="483">
        <v>8120</v>
      </c>
      <c r="C48" s="480"/>
      <c r="D48" s="480"/>
      <c r="E48" s="477"/>
      <c r="F48" s="480"/>
      <c r="G48" s="477"/>
      <c r="H48" s="477"/>
      <c r="I48" s="1763">
        <f>SUM(C26:H26,J26,K26)</f>
        <v>0</v>
      </c>
      <c r="J48" s="477"/>
      <c r="K48" s="477"/>
      <c r="L48" s="529"/>
    </row>
    <row r="49" spans="1:12" s="485" customFormat="1">
      <c r="A49" s="1510" t="s">
        <v>194</v>
      </c>
      <c r="B49" s="483">
        <v>8130</v>
      </c>
      <c r="C49" s="467"/>
      <c r="D49" s="467"/>
      <c r="E49" s="480"/>
      <c r="F49" s="467"/>
      <c r="G49" s="480"/>
      <c r="H49" s="480"/>
      <c r="I49" s="477"/>
      <c r="J49" s="480"/>
      <c r="K49" s="477"/>
      <c r="L49" s="524"/>
    </row>
    <row r="50" spans="1:12" s="485" customFormat="1">
      <c r="A50" s="1510" t="s">
        <v>1465</v>
      </c>
      <c r="B50" s="483">
        <v>8140</v>
      </c>
      <c r="C50" s="467"/>
      <c r="D50" s="467"/>
      <c r="E50" s="467"/>
      <c r="F50" s="467"/>
      <c r="G50" s="467"/>
      <c r="H50" s="467"/>
      <c r="I50" s="477"/>
      <c r="J50" s="467"/>
      <c r="K50" s="477"/>
      <c r="L50" s="524"/>
    </row>
    <row r="51" spans="1:12" s="485" customFormat="1">
      <c r="A51" s="1510" t="s">
        <v>312</v>
      </c>
      <c r="B51" s="483">
        <v>8150</v>
      </c>
      <c r="C51" s="475"/>
      <c r="D51" s="475"/>
      <c r="E51" s="475"/>
      <c r="F51" s="475"/>
      <c r="G51" s="475"/>
      <c r="H51" s="1763">
        <f>SUM(D29)</f>
        <v>0</v>
      </c>
      <c r="I51" s="477"/>
      <c r="J51" s="475"/>
      <c r="K51" s="480"/>
      <c r="L51" s="524"/>
    </row>
    <row r="52" spans="1:12" s="485" customFormat="1" ht="26.25">
      <c r="A52" s="1510" t="s">
        <v>1897</v>
      </c>
      <c r="B52" s="483">
        <v>8160</v>
      </c>
      <c r="C52" s="477"/>
      <c r="D52" s="477"/>
      <c r="E52" s="477"/>
      <c r="F52" s="477"/>
      <c r="G52" s="477"/>
      <c r="H52" s="477"/>
      <c r="I52" s="477"/>
      <c r="J52" s="477"/>
      <c r="K52" s="1763">
        <f>D30</f>
        <v>0</v>
      </c>
      <c r="L52" s="524"/>
    </row>
    <row r="53" spans="1:12" s="485" customFormat="1" ht="26.25">
      <c r="A53" s="1510" t="s">
        <v>1896</v>
      </c>
      <c r="B53" s="483">
        <v>8170</v>
      </c>
      <c r="C53" s="480"/>
      <c r="D53" s="480"/>
      <c r="E53" s="477"/>
      <c r="F53" s="477"/>
      <c r="G53" s="477"/>
      <c r="H53" s="480"/>
      <c r="I53" s="477"/>
      <c r="J53" s="477"/>
      <c r="K53" s="1763">
        <f>E31</f>
        <v>0</v>
      </c>
      <c r="L53" s="524"/>
    </row>
    <row r="54" spans="1:12" s="485" customFormat="1" ht="13.5" thickBot="1">
      <c r="A54" s="1510" t="s">
        <v>716</v>
      </c>
      <c r="B54" s="483">
        <v>8410</v>
      </c>
      <c r="C54" s="530"/>
      <c r="D54" s="530"/>
      <c r="E54" s="477"/>
      <c r="F54" s="477"/>
      <c r="G54" s="477"/>
      <c r="H54" s="530"/>
      <c r="I54" s="477"/>
      <c r="J54" s="477"/>
      <c r="K54" s="475"/>
      <c r="L54" s="524"/>
    </row>
    <row r="55" spans="1:12" s="485" customFormat="1" ht="14.25" thickTop="1" thickBot="1">
      <c r="A55" s="1511" t="s">
        <v>717</v>
      </c>
      <c r="B55" s="483">
        <v>8420</v>
      </c>
      <c r="C55" s="531"/>
      <c r="D55" s="531"/>
      <c r="E55" s="477"/>
      <c r="F55" s="477"/>
      <c r="G55" s="477"/>
      <c r="H55" s="530"/>
      <c r="I55" s="477"/>
      <c r="J55" s="477"/>
      <c r="K55" s="477"/>
      <c r="L55" s="524"/>
    </row>
    <row r="56" spans="1:12" s="485" customFormat="1" ht="14.25" thickTop="1" thickBot="1">
      <c r="A56" s="1510" t="s">
        <v>602</v>
      </c>
      <c r="B56" s="483">
        <v>8430</v>
      </c>
      <c r="C56" s="531"/>
      <c r="D56" s="531"/>
      <c r="E56" s="477"/>
      <c r="F56" s="477"/>
      <c r="G56" s="477"/>
      <c r="H56" s="530"/>
      <c r="I56" s="477"/>
      <c r="J56" s="477"/>
      <c r="K56" s="477"/>
      <c r="L56" s="524"/>
    </row>
    <row r="57" spans="1:12" s="485" customFormat="1" ht="14.25" thickTop="1" thickBot="1">
      <c r="A57" s="1511" t="s">
        <v>599</v>
      </c>
      <c r="B57" s="483">
        <v>8440</v>
      </c>
      <c r="C57" s="531"/>
      <c r="D57" s="531"/>
      <c r="E57" s="477"/>
      <c r="F57" s="477"/>
      <c r="G57" s="477"/>
      <c r="H57" s="530"/>
      <c r="I57" s="477"/>
      <c r="J57" s="477"/>
      <c r="K57" s="477"/>
      <c r="L57" s="524"/>
    </row>
    <row r="58" spans="1:12" s="485" customFormat="1" ht="14.25" thickTop="1" thickBot="1">
      <c r="A58" s="1510" t="s">
        <v>600</v>
      </c>
      <c r="B58" s="483">
        <v>8510</v>
      </c>
      <c r="C58" s="531"/>
      <c r="D58" s="531"/>
      <c r="E58" s="477"/>
      <c r="F58" s="477"/>
      <c r="G58" s="477"/>
      <c r="H58" s="530"/>
      <c r="I58" s="477"/>
      <c r="J58" s="477"/>
      <c r="K58" s="477"/>
      <c r="L58" s="524"/>
    </row>
    <row r="59" spans="1:12" s="485" customFormat="1" ht="14.25" thickTop="1" thickBot="1">
      <c r="A59" s="1512" t="s">
        <v>718</v>
      </c>
      <c r="B59" s="483">
        <v>8520</v>
      </c>
      <c r="C59" s="531"/>
      <c r="D59" s="531"/>
      <c r="E59" s="477"/>
      <c r="F59" s="477"/>
      <c r="G59" s="477"/>
      <c r="H59" s="530"/>
      <c r="I59" s="477"/>
      <c r="J59" s="477"/>
      <c r="K59" s="477"/>
      <c r="L59" s="524"/>
    </row>
    <row r="60" spans="1:12" s="485" customFormat="1" ht="14.25" thickTop="1" thickBot="1">
      <c r="A60" s="1510" t="s">
        <v>601</v>
      </c>
      <c r="B60" s="483">
        <v>8530</v>
      </c>
      <c r="C60" s="531"/>
      <c r="D60" s="531"/>
      <c r="E60" s="477"/>
      <c r="F60" s="477"/>
      <c r="G60" s="477"/>
      <c r="H60" s="530"/>
      <c r="I60" s="477"/>
      <c r="J60" s="477"/>
      <c r="K60" s="477"/>
      <c r="L60" s="524"/>
    </row>
    <row r="61" spans="1:12" s="485" customFormat="1" ht="14.25" thickTop="1" thickBot="1">
      <c r="A61" s="1511" t="s">
        <v>767</v>
      </c>
      <c r="B61" s="483">
        <v>8540</v>
      </c>
      <c r="C61" s="531"/>
      <c r="D61" s="531"/>
      <c r="E61" s="477"/>
      <c r="F61" s="477"/>
      <c r="G61" s="477"/>
      <c r="H61" s="530"/>
      <c r="I61" s="477"/>
      <c r="J61" s="477"/>
      <c r="K61" s="477"/>
      <c r="L61" s="524"/>
    </row>
    <row r="62" spans="1:12" s="485" customFormat="1" ht="13.5" customHeight="1" thickTop="1" thickBot="1">
      <c r="A62" s="1510" t="s">
        <v>768</v>
      </c>
      <c r="B62" s="483">
        <v>8610</v>
      </c>
      <c r="C62" s="531"/>
      <c r="D62" s="531"/>
      <c r="E62" s="477"/>
      <c r="F62" s="477"/>
      <c r="G62" s="477"/>
      <c r="H62" s="477"/>
      <c r="I62" s="477"/>
      <c r="J62" s="477"/>
      <c r="K62" s="477"/>
      <c r="L62" s="524"/>
    </row>
    <row r="63" spans="1:12" s="485" customFormat="1" ht="14.25" thickTop="1" thickBot="1">
      <c r="A63" s="1511" t="s">
        <v>719</v>
      </c>
      <c r="B63" s="483">
        <v>8620</v>
      </c>
      <c r="C63" s="531"/>
      <c r="D63" s="531"/>
      <c r="E63" s="477"/>
      <c r="F63" s="477"/>
      <c r="G63" s="477"/>
      <c r="H63" s="477"/>
      <c r="I63" s="477"/>
      <c r="J63" s="477"/>
      <c r="K63" s="477"/>
      <c r="L63" s="524"/>
    </row>
    <row r="64" spans="1:12" s="485" customFormat="1" ht="13.5" customHeight="1" thickTop="1" thickBot="1">
      <c r="A64" s="1510" t="s">
        <v>769</v>
      </c>
      <c r="B64" s="483">
        <v>8630</v>
      </c>
      <c r="C64" s="531"/>
      <c r="D64" s="531"/>
      <c r="E64" s="477"/>
      <c r="F64" s="477"/>
      <c r="G64" s="477"/>
      <c r="H64" s="477"/>
      <c r="I64" s="477"/>
      <c r="J64" s="477"/>
      <c r="K64" s="477"/>
      <c r="L64" s="524"/>
    </row>
    <row r="65" spans="1:12" s="485" customFormat="1" ht="14.25" thickTop="1" thickBot="1">
      <c r="A65" s="1511" t="s">
        <v>770</v>
      </c>
      <c r="B65" s="483">
        <v>8640</v>
      </c>
      <c r="C65" s="531"/>
      <c r="D65" s="531"/>
      <c r="E65" s="477"/>
      <c r="F65" s="477"/>
      <c r="G65" s="477"/>
      <c r="H65" s="477"/>
      <c r="I65" s="477"/>
      <c r="J65" s="477"/>
      <c r="K65" s="477"/>
      <c r="L65" s="524"/>
    </row>
    <row r="66" spans="1:12" s="485" customFormat="1" ht="14.25" thickTop="1" thickBot="1">
      <c r="A66" s="1510" t="s">
        <v>771</v>
      </c>
      <c r="B66" s="483">
        <v>8710</v>
      </c>
      <c r="C66" s="531"/>
      <c r="D66" s="531"/>
      <c r="E66" s="477"/>
      <c r="F66" s="477"/>
      <c r="G66" s="477"/>
      <c r="H66" s="477"/>
      <c r="I66" s="477"/>
      <c r="J66" s="477"/>
      <c r="K66" s="477"/>
      <c r="L66" s="524"/>
    </row>
    <row r="67" spans="1:12" s="485" customFormat="1" ht="14.25" thickTop="1" thickBot="1">
      <c r="A67" s="1511" t="s">
        <v>720</v>
      </c>
      <c r="B67" s="483">
        <v>8720</v>
      </c>
      <c r="C67" s="531"/>
      <c r="D67" s="531"/>
      <c r="E67" s="477"/>
      <c r="F67" s="477"/>
      <c r="G67" s="477"/>
      <c r="H67" s="477"/>
      <c r="I67" s="477"/>
      <c r="J67" s="477"/>
      <c r="K67" s="477"/>
      <c r="L67" s="524"/>
    </row>
    <row r="68" spans="1:12" s="485" customFormat="1" ht="14.25" thickTop="1" thickBot="1">
      <c r="A68" s="1512" t="s">
        <v>772</v>
      </c>
      <c r="B68" s="483">
        <v>8730</v>
      </c>
      <c r="C68" s="531"/>
      <c r="D68" s="531"/>
      <c r="E68" s="477"/>
      <c r="F68" s="477"/>
      <c r="G68" s="477"/>
      <c r="H68" s="477"/>
      <c r="I68" s="477"/>
      <c r="J68" s="477"/>
      <c r="K68" s="477"/>
      <c r="L68" s="524"/>
    </row>
    <row r="69" spans="1:12" s="485" customFormat="1" ht="14.25" thickTop="1" thickBot="1">
      <c r="A69" s="1511" t="s">
        <v>773</v>
      </c>
      <c r="B69" s="483">
        <v>8740</v>
      </c>
      <c r="C69" s="531"/>
      <c r="D69" s="531"/>
      <c r="E69" s="477"/>
      <c r="F69" s="477"/>
      <c r="G69" s="477"/>
      <c r="H69" s="477"/>
      <c r="I69" s="477"/>
      <c r="J69" s="477"/>
      <c r="K69" s="477"/>
      <c r="L69" s="524"/>
    </row>
    <row r="70" spans="1:12" s="485" customFormat="1" ht="14.25" thickTop="1" thickBot="1">
      <c r="A70" s="1510" t="s">
        <v>774</v>
      </c>
      <c r="B70" s="483">
        <v>8810</v>
      </c>
      <c r="C70" s="531"/>
      <c r="D70" s="531"/>
      <c r="E70" s="477"/>
      <c r="F70" s="477"/>
      <c r="G70" s="477"/>
      <c r="H70" s="477"/>
      <c r="I70" s="477"/>
      <c r="J70" s="477"/>
      <c r="K70" s="477"/>
      <c r="L70" s="524"/>
    </row>
    <row r="71" spans="1:12" s="485" customFormat="1" ht="14.25" thickTop="1" thickBot="1">
      <c r="A71" s="1510" t="s">
        <v>778</v>
      </c>
      <c r="B71" s="483">
        <v>8820</v>
      </c>
      <c r="C71" s="531"/>
      <c r="D71" s="531"/>
      <c r="E71" s="477"/>
      <c r="F71" s="477"/>
      <c r="G71" s="477"/>
      <c r="H71" s="477"/>
      <c r="I71" s="477"/>
      <c r="J71" s="477"/>
      <c r="K71" s="477"/>
      <c r="L71" s="524"/>
    </row>
    <row r="72" spans="1:12" s="485" customFormat="1" ht="14.25" thickTop="1" thickBot="1">
      <c r="A72" s="1510" t="s">
        <v>775</v>
      </c>
      <c r="B72" s="483">
        <v>8830</v>
      </c>
      <c r="C72" s="531"/>
      <c r="D72" s="531"/>
      <c r="E72" s="477"/>
      <c r="F72" s="477"/>
      <c r="G72" s="477"/>
      <c r="H72" s="477"/>
      <c r="I72" s="477"/>
      <c r="J72" s="477"/>
      <c r="K72" s="477"/>
      <c r="L72" s="524"/>
    </row>
    <row r="73" spans="1:12" s="485" customFormat="1" ht="14.25" thickTop="1" thickBot="1">
      <c r="A73" s="1510" t="s">
        <v>776</v>
      </c>
      <c r="B73" s="483">
        <v>8840</v>
      </c>
      <c r="C73" s="531"/>
      <c r="D73" s="531"/>
      <c r="E73" s="477"/>
      <c r="F73" s="477"/>
      <c r="G73" s="477"/>
      <c r="H73" s="477"/>
      <c r="I73" s="477"/>
      <c r="J73" s="477"/>
      <c r="K73" s="480"/>
      <c r="L73" s="524"/>
    </row>
    <row r="74" spans="1:12" s="485" customFormat="1" ht="14.25" thickTop="1" thickBot="1">
      <c r="A74" s="1510" t="s">
        <v>393</v>
      </c>
      <c r="B74" s="483">
        <v>8910</v>
      </c>
      <c r="C74" s="531"/>
      <c r="D74" s="531"/>
      <c r="E74" s="480"/>
      <c r="F74" s="530"/>
      <c r="G74" s="530"/>
      <c r="H74" s="530"/>
      <c r="I74" s="480"/>
      <c r="J74" s="480"/>
      <c r="K74" s="530"/>
      <c r="L74" s="524"/>
    </row>
    <row r="75" spans="1:12" s="485" customFormat="1" ht="14.25" thickTop="1" thickBot="1">
      <c r="A75" s="1513" t="s">
        <v>459</v>
      </c>
      <c r="B75" s="483">
        <v>8990</v>
      </c>
      <c r="C75" s="531"/>
      <c r="D75" s="531"/>
      <c r="E75" s="530"/>
      <c r="F75" s="532"/>
      <c r="G75" s="532"/>
      <c r="H75" s="532"/>
      <c r="I75" s="530"/>
      <c r="J75" s="530"/>
      <c r="K75" s="532"/>
      <c r="L75" s="524"/>
    </row>
    <row r="76" spans="1:12" s="485" customFormat="1" ht="14.25" thickTop="1" thickBot="1">
      <c r="A76" s="2194" t="s">
        <v>460</v>
      </c>
      <c r="B76" s="2195"/>
      <c r="C76" s="1723">
        <f t="shared" ref="C76:K76" si="7">SUM(C47:C75)</f>
        <v>0</v>
      </c>
      <c r="D76" s="1723">
        <f t="shared" si="7"/>
        <v>0</v>
      </c>
      <c r="E76" s="1723">
        <f t="shared" si="7"/>
        <v>0</v>
      </c>
      <c r="F76" s="1723">
        <f t="shared" si="7"/>
        <v>0</v>
      </c>
      <c r="G76" s="1723">
        <f t="shared" si="7"/>
        <v>0</v>
      </c>
      <c r="H76" s="1723">
        <f t="shared" si="7"/>
        <v>0</v>
      </c>
      <c r="I76" s="1723">
        <f t="shared" si="7"/>
        <v>500000</v>
      </c>
      <c r="J76" s="1723">
        <f t="shared" si="7"/>
        <v>0</v>
      </c>
      <c r="K76" s="1723">
        <f t="shared" si="7"/>
        <v>0</v>
      </c>
      <c r="L76" s="524"/>
    </row>
    <row r="77" spans="1:12" ht="14.25" thickTop="1" thickBot="1">
      <c r="A77" s="2196" t="s">
        <v>1239</v>
      </c>
      <c r="B77" s="2197"/>
      <c r="C77" s="1723">
        <f t="shared" ref="C77:K77" si="8">C44-C76</f>
        <v>0</v>
      </c>
      <c r="D77" s="1723">
        <f t="shared" si="8"/>
        <v>500000</v>
      </c>
      <c r="E77" s="1723">
        <f t="shared" si="8"/>
        <v>0</v>
      </c>
      <c r="F77" s="1723">
        <f t="shared" si="8"/>
        <v>0</v>
      </c>
      <c r="G77" s="1723">
        <f t="shared" si="8"/>
        <v>0</v>
      </c>
      <c r="H77" s="1723">
        <f t="shared" si="8"/>
        <v>0</v>
      </c>
      <c r="I77" s="1723">
        <f t="shared" si="8"/>
        <v>-500000</v>
      </c>
      <c r="J77" s="1723">
        <f t="shared" si="8"/>
        <v>0</v>
      </c>
      <c r="K77" s="1723">
        <f t="shared" si="8"/>
        <v>0</v>
      </c>
      <c r="L77" s="347"/>
    </row>
    <row r="78" spans="1:12" ht="21.75" customHeight="1" thickTop="1" thickBot="1">
      <c r="A78" s="2200" t="s">
        <v>618</v>
      </c>
      <c r="B78" s="2201"/>
      <c r="C78" s="1722">
        <f t="shared" ref="C78:K78" si="9">C20+C77</f>
        <v>2040696</v>
      </c>
      <c r="D78" s="1722">
        <f t="shared" si="9"/>
        <v>183580</v>
      </c>
      <c r="E78" s="1722">
        <f t="shared" si="9"/>
        <v>693996</v>
      </c>
      <c r="F78" s="1722">
        <f t="shared" si="9"/>
        <v>52169</v>
      </c>
      <c r="G78" s="1722">
        <f t="shared" si="9"/>
        <v>36871</v>
      </c>
      <c r="H78" s="1722">
        <f t="shared" si="9"/>
        <v>-9366094</v>
      </c>
      <c r="I78" s="1722">
        <f t="shared" si="9"/>
        <v>-287770</v>
      </c>
      <c r="J78" s="1722">
        <f t="shared" si="9"/>
        <v>170235</v>
      </c>
      <c r="K78" s="1722">
        <f t="shared" si="9"/>
        <v>-17773</v>
      </c>
      <c r="L78" s="533"/>
    </row>
    <row r="79" spans="1:12" ht="13.5" thickTop="1">
      <c r="A79" s="1514" t="s">
        <v>2070</v>
      </c>
      <c r="B79" s="534"/>
      <c r="C79" s="478">
        <v>656682</v>
      </c>
      <c r="D79" s="535">
        <v>367885</v>
      </c>
      <c r="E79" s="535">
        <v>2092295</v>
      </c>
      <c r="F79" s="535">
        <v>209938</v>
      </c>
      <c r="G79" s="535">
        <v>92032</v>
      </c>
      <c r="H79" s="535">
        <v>9591963</v>
      </c>
      <c r="I79" s="535">
        <v>5226742</v>
      </c>
      <c r="J79" s="535">
        <v>161589</v>
      </c>
      <c r="K79" s="535">
        <v>304053</v>
      </c>
      <c r="L79" s="347"/>
    </row>
    <row r="80" spans="1:12">
      <c r="A80" s="2206" t="s">
        <v>1895</v>
      </c>
      <c r="B80" s="2207"/>
      <c r="C80" s="467"/>
      <c r="D80" s="467"/>
      <c r="E80" s="467"/>
      <c r="F80" s="467"/>
      <c r="G80" s="467"/>
      <c r="H80" s="467"/>
      <c r="I80" s="467"/>
      <c r="J80" s="467"/>
      <c r="K80" s="467"/>
      <c r="L80" s="347"/>
    </row>
    <row r="81" spans="1:12" ht="13.5" thickBot="1">
      <c r="A81" s="2198" t="s">
        <v>2071</v>
      </c>
      <c r="B81" s="2199"/>
      <c r="C81" s="1708">
        <f>(SUM(C78:C80))</f>
        <v>2697378</v>
      </c>
      <c r="D81" s="1708">
        <f>SUM(D78:D80)</f>
        <v>551465</v>
      </c>
      <c r="E81" s="1708">
        <f t="shared" ref="E81:K81" si="10">SUM(E78:E80)</f>
        <v>2786291</v>
      </c>
      <c r="F81" s="1708">
        <f t="shared" si="10"/>
        <v>262107</v>
      </c>
      <c r="G81" s="1708">
        <f t="shared" si="10"/>
        <v>128903</v>
      </c>
      <c r="H81" s="1708">
        <f t="shared" si="10"/>
        <v>225869</v>
      </c>
      <c r="I81" s="1708">
        <f t="shared" si="10"/>
        <v>4938972</v>
      </c>
      <c r="J81" s="1708">
        <f t="shared" si="10"/>
        <v>331824</v>
      </c>
      <c r="K81" s="1708">
        <f t="shared" si="10"/>
        <v>286280</v>
      </c>
      <c r="L81" s="347"/>
    </row>
    <row r="82" spans="1:12" ht="0.75" customHeight="1" thickTop="1" thickBot="1">
      <c r="A82" s="536" t="s">
        <v>361</v>
      </c>
      <c r="B82" s="537"/>
      <c r="C82" s="538">
        <f>(C81-C79)</f>
        <v>2040696</v>
      </c>
      <c r="D82" s="538">
        <f t="shared" ref="D82:K82" si="11">(D81-D79)</f>
        <v>183580</v>
      </c>
      <c r="E82" s="538">
        <f t="shared" si="11"/>
        <v>693996</v>
      </c>
      <c r="F82" s="538">
        <f t="shared" si="11"/>
        <v>52169</v>
      </c>
      <c r="G82" s="538">
        <f t="shared" si="11"/>
        <v>36871</v>
      </c>
      <c r="H82" s="538">
        <f t="shared" si="11"/>
        <v>-9366094</v>
      </c>
      <c r="I82" s="538">
        <f t="shared" si="11"/>
        <v>-287770</v>
      </c>
      <c r="J82" s="538">
        <f t="shared" si="11"/>
        <v>170235</v>
      </c>
      <c r="K82" s="538">
        <f t="shared" si="11"/>
        <v>-17773</v>
      </c>
    </row>
    <row r="83" spans="1:12" ht="14.25" hidden="1" thickTop="1" thickBot="1">
      <c r="A83" s="539" t="s">
        <v>362</v>
      </c>
      <c r="B83" s="464"/>
      <c r="C83" s="540">
        <f>C82/C81</f>
        <v>0.75654802552701184</v>
      </c>
      <c r="D83" s="540">
        <f t="shared" ref="D83:K83" si="12">D82/D81</f>
        <v>0.33289510667041428</v>
      </c>
      <c r="E83" s="540">
        <f t="shared" si="12"/>
        <v>0.24907520427694022</v>
      </c>
      <c r="F83" s="540">
        <f t="shared" si="12"/>
        <v>0.19903703449354654</v>
      </c>
      <c r="G83" s="540">
        <f t="shared" si="12"/>
        <v>0.2860367873517296</v>
      </c>
      <c r="H83" s="540">
        <f t="shared" si="12"/>
        <v>-41.466929946119208</v>
      </c>
      <c r="I83" s="540">
        <f t="shared" si="12"/>
        <v>-5.8265161252179606E-2</v>
      </c>
      <c r="J83" s="540">
        <f t="shared" si="12"/>
        <v>0.51302799074208016</v>
      </c>
      <c r="K83" s="540">
        <f t="shared" si="12"/>
        <v>-6.2082576498532903E-2</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A31" colorId="8" zoomScaleNormal="100" zoomScaleSheetLayoutView="75" workbookViewId="0">
      <selection sqref="A1:F1"/>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202" t="s">
        <v>1902</v>
      </c>
      <c r="B1" s="452"/>
      <c r="C1" s="453" t="s">
        <v>445</v>
      </c>
      <c r="D1" s="453" t="s">
        <v>446</v>
      </c>
      <c r="E1" s="453" t="s">
        <v>447</v>
      </c>
      <c r="F1" s="453" t="s">
        <v>448</v>
      </c>
      <c r="G1" s="453" t="s">
        <v>449</v>
      </c>
      <c r="H1" s="453" t="s">
        <v>450</v>
      </c>
      <c r="I1" s="453" t="s">
        <v>451</v>
      </c>
      <c r="J1" s="453" t="s">
        <v>452</v>
      </c>
      <c r="K1" s="453" t="s">
        <v>780</v>
      </c>
    </row>
    <row r="2" spans="1:12" ht="36">
      <c r="A2" s="2203"/>
      <c r="B2" s="541" t="s">
        <v>396</v>
      </c>
      <c r="C2" s="542" t="s">
        <v>1217</v>
      </c>
      <c r="D2" s="542" t="s">
        <v>925</v>
      </c>
      <c r="E2" s="542" t="s">
        <v>458</v>
      </c>
      <c r="F2" s="542" t="s">
        <v>157</v>
      </c>
      <c r="G2" s="542" t="s">
        <v>1046</v>
      </c>
      <c r="H2" s="542" t="s">
        <v>457</v>
      </c>
      <c r="I2" s="542" t="s">
        <v>427</v>
      </c>
      <c r="J2" s="542" t="s">
        <v>456</v>
      </c>
      <c r="K2" s="542" t="s">
        <v>159</v>
      </c>
    </row>
    <row r="3" spans="1:12" ht="16.7" customHeight="1">
      <c r="A3" s="1599" t="s">
        <v>115</v>
      </c>
      <c r="B3" s="1600"/>
      <c r="C3" s="1601"/>
      <c r="D3" s="1601"/>
      <c r="E3" s="1601"/>
      <c r="F3" s="1602"/>
      <c r="G3" s="1603"/>
      <c r="H3" s="1602"/>
      <c r="I3" s="1602"/>
      <c r="J3" s="1602"/>
      <c r="K3" s="1604"/>
    </row>
    <row r="4" spans="1:12" ht="15.75" customHeight="1">
      <c r="A4" s="1610" t="s">
        <v>397</v>
      </c>
      <c r="B4" s="1611">
        <v>1100</v>
      </c>
      <c r="C4" s="543"/>
      <c r="D4" s="543"/>
      <c r="E4" s="543"/>
      <c r="F4" s="544"/>
      <c r="G4" s="545"/>
      <c r="H4" s="546"/>
      <c r="I4" s="546"/>
      <c r="J4" s="546"/>
      <c r="K4" s="546"/>
    </row>
    <row r="5" spans="1:12" ht="15">
      <c r="A5" s="493" t="s">
        <v>1760</v>
      </c>
      <c r="B5" s="547"/>
      <c r="C5" s="481">
        <v>8192695</v>
      </c>
      <c r="D5" s="481">
        <v>846353</v>
      </c>
      <c r="E5" s="466">
        <v>2453508</v>
      </c>
      <c r="F5" s="548">
        <v>406249</v>
      </c>
      <c r="G5" s="466">
        <v>724810</v>
      </c>
      <c r="H5" s="466"/>
      <c r="I5" s="466">
        <v>169271</v>
      </c>
      <c r="J5" s="467">
        <v>917066</v>
      </c>
      <c r="K5" s="466"/>
    </row>
    <row r="6" spans="1:12" ht="15">
      <c r="A6" s="463" t="s">
        <v>1761</v>
      </c>
      <c r="B6" s="470">
        <v>1130</v>
      </c>
      <c r="C6" s="466">
        <v>169271</v>
      </c>
      <c r="D6" s="466"/>
      <c r="E6" s="475"/>
      <c r="F6" s="475"/>
      <c r="G6" s="468"/>
      <c r="H6" s="468"/>
      <c r="I6" s="468"/>
      <c r="J6" s="468"/>
      <c r="K6" s="468"/>
    </row>
    <row r="7" spans="1:12">
      <c r="A7" s="463" t="s">
        <v>112</v>
      </c>
      <c r="B7" s="549">
        <v>1140</v>
      </c>
      <c r="C7" s="466">
        <v>67708</v>
      </c>
      <c r="D7" s="466"/>
      <c r="E7" s="468"/>
      <c r="F7" s="467"/>
      <c r="G7" s="467"/>
      <c r="H7" s="467"/>
      <c r="I7" s="468"/>
      <c r="J7" s="468"/>
      <c r="K7" s="468"/>
    </row>
    <row r="8" spans="1:12">
      <c r="A8" s="463" t="s">
        <v>433</v>
      </c>
      <c r="B8" s="470">
        <v>1150</v>
      </c>
      <c r="C8" s="475"/>
      <c r="D8" s="475"/>
      <c r="E8" s="477"/>
      <c r="F8" s="477"/>
      <c r="G8" s="481">
        <v>477581</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5" t="s">
        <v>29</v>
      </c>
      <c r="B12" s="1726"/>
      <c r="C12" s="1727">
        <f t="shared" ref="C12:K12" si="0">SUM(C5:C11)</f>
        <v>8429674</v>
      </c>
      <c r="D12" s="1727">
        <f t="shared" si="0"/>
        <v>846353</v>
      </c>
      <c r="E12" s="1727">
        <f t="shared" si="0"/>
        <v>2453508</v>
      </c>
      <c r="F12" s="1727">
        <f t="shared" si="0"/>
        <v>406249</v>
      </c>
      <c r="G12" s="1727">
        <f t="shared" si="0"/>
        <v>1202391</v>
      </c>
      <c r="H12" s="1727">
        <f t="shared" si="0"/>
        <v>0</v>
      </c>
      <c r="I12" s="1727">
        <f t="shared" si="0"/>
        <v>169271</v>
      </c>
      <c r="J12" s="1727">
        <f t="shared" si="0"/>
        <v>917066</v>
      </c>
      <c r="K12" s="1708">
        <f t="shared" si="0"/>
        <v>0</v>
      </c>
    </row>
    <row r="13" spans="1:12" ht="15.75" customHeight="1" thickTop="1">
      <c r="A13" s="1612" t="s">
        <v>471</v>
      </c>
      <c r="B13" s="1613">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1762</v>
      </c>
      <c r="B16" s="549">
        <v>1230</v>
      </c>
      <c r="C16" s="551">
        <v>863830</v>
      </c>
      <c r="D16" s="466">
        <v>837308</v>
      </c>
      <c r="E16" s="466"/>
      <c r="F16" s="466">
        <v>196844</v>
      </c>
      <c r="G16" s="466">
        <v>103273</v>
      </c>
      <c r="H16" s="466"/>
      <c r="I16" s="466"/>
      <c r="J16" s="467">
        <v>17527</v>
      </c>
      <c r="K16" s="466"/>
    </row>
    <row r="17" spans="1:11" ht="12.75" customHeight="1">
      <c r="A17" s="463" t="s">
        <v>840</v>
      </c>
      <c r="B17" s="470">
        <v>1290</v>
      </c>
      <c r="C17" s="551"/>
      <c r="D17" s="466"/>
      <c r="E17" s="466"/>
      <c r="F17" s="466"/>
      <c r="G17" s="466"/>
      <c r="H17" s="466"/>
      <c r="I17" s="466"/>
      <c r="J17" s="467"/>
      <c r="K17" s="466"/>
    </row>
    <row r="18" spans="1:11" ht="12.75" customHeight="1" thickBot="1">
      <c r="A18" s="1728" t="s">
        <v>558</v>
      </c>
      <c r="B18" s="1729"/>
      <c r="C18" s="1730">
        <f>SUM(C14:C17)</f>
        <v>863830</v>
      </c>
      <c r="D18" s="1730">
        <f t="shared" ref="D18:K18" si="1">SUM(D14:D17)</f>
        <v>837308</v>
      </c>
      <c r="E18" s="1730">
        <f t="shared" si="1"/>
        <v>0</v>
      </c>
      <c r="F18" s="1730">
        <f t="shared" si="1"/>
        <v>196844</v>
      </c>
      <c r="G18" s="1730">
        <f t="shared" si="1"/>
        <v>103273</v>
      </c>
      <c r="H18" s="1730">
        <f t="shared" si="1"/>
        <v>0</v>
      </c>
      <c r="I18" s="1730">
        <f t="shared" si="1"/>
        <v>0</v>
      </c>
      <c r="J18" s="1730">
        <f t="shared" si="1"/>
        <v>17527</v>
      </c>
      <c r="K18" s="1731">
        <f t="shared" si="1"/>
        <v>0</v>
      </c>
    </row>
    <row r="19" spans="1:11" ht="15.75" customHeight="1" thickTop="1">
      <c r="A19" s="1612" t="s">
        <v>472</v>
      </c>
      <c r="B19" s="1613">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5" t="s">
        <v>615</v>
      </c>
      <c r="B39" s="556">
        <v>1354</v>
      </c>
      <c r="C39" s="489"/>
      <c r="D39" s="468"/>
      <c r="E39" s="468"/>
      <c r="F39" s="468"/>
      <c r="G39" s="468"/>
      <c r="H39" s="468"/>
      <c r="I39" s="468"/>
      <c r="J39" s="468"/>
      <c r="K39" s="468"/>
    </row>
    <row r="40" spans="1:11" ht="12.75" customHeight="1" thickBot="1">
      <c r="A40" s="1728" t="s">
        <v>559</v>
      </c>
      <c r="B40" s="1729"/>
      <c r="C40" s="1708">
        <f>SUM(C20:C39)</f>
        <v>0</v>
      </c>
      <c r="D40" s="468"/>
      <c r="E40" s="468"/>
      <c r="F40" s="468"/>
      <c r="G40" s="468"/>
      <c r="H40" s="468"/>
      <c r="I40" s="468"/>
      <c r="J40" s="468"/>
      <c r="K40" s="468"/>
    </row>
    <row r="41" spans="1:11" ht="15.75" customHeight="1" thickTop="1">
      <c r="A41" s="1612" t="s">
        <v>292</v>
      </c>
      <c r="B41" s="1613">
        <v>1400</v>
      </c>
      <c r="C41" s="468"/>
      <c r="D41" s="468"/>
      <c r="E41" s="468"/>
      <c r="F41" s="521"/>
      <c r="G41" s="468"/>
      <c r="H41" s="468"/>
      <c r="I41" s="468"/>
      <c r="J41" s="468"/>
      <c r="K41" s="468"/>
    </row>
    <row r="42" spans="1:11" ht="12.75" customHeight="1">
      <c r="A42" s="463" t="s">
        <v>1136</v>
      </c>
      <c r="B42" s="470">
        <v>1411</v>
      </c>
      <c r="C42" s="468"/>
      <c r="D42" s="468"/>
      <c r="E42" s="468"/>
      <c r="F42" s="481">
        <v>18425</v>
      </c>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v>20785</v>
      </c>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6" t="s">
        <v>62</v>
      </c>
      <c r="B51" s="557">
        <v>1431</v>
      </c>
      <c r="C51" s="468"/>
      <c r="D51" s="468"/>
      <c r="E51" s="468"/>
      <c r="F51" s="466"/>
      <c r="G51" s="468"/>
      <c r="H51" s="468"/>
      <c r="I51" s="468"/>
      <c r="J51" s="468"/>
      <c r="K51" s="468"/>
    </row>
    <row r="52" spans="1:11" ht="12.75" customHeight="1">
      <c r="A52" s="1516" t="s">
        <v>1168</v>
      </c>
      <c r="B52" s="557">
        <v>1432</v>
      </c>
      <c r="C52" s="468"/>
      <c r="D52" s="468"/>
      <c r="E52" s="468"/>
      <c r="F52" s="466"/>
      <c r="G52" s="468"/>
      <c r="H52" s="468"/>
      <c r="I52" s="468"/>
      <c r="J52" s="468"/>
      <c r="K52" s="468"/>
    </row>
    <row r="53" spans="1:11" ht="12.75" customHeight="1">
      <c r="A53" s="1516" t="s">
        <v>63</v>
      </c>
      <c r="B53" s="557">
        <v>1433</v>
      </c>
      <c r="C53" s="468"/>
      <c r="D53" s="468"/>
      <c r="E53" s="468"/>
      <c r="F53" s="466"/>
      <c r="G53" s="468"/>
      <c r="H53" s="468"/>
      <c r="I53" s="468"/>
      <c r="J53" s="468"/>
      <c r="K53" s="468"/>
    </row>
    <row r="54" spans="1:11" ht="12.75" customHeight="1">
      <c r="A54" s="1516" t="s">
        <v>64</v>
      </c>
      <c r="B54" s="557">
        <v>1434</v>
      </c>
      <c r="C54" s="468"/>
      <c r="D54" s="468"/>
      <c r="E54" s="468"/>
      <c r="F54" s="467"/>
      <c r="G54" s="468"/>
      <c r="H54" s="468"/>
      <c r="I54" s="468"/>
      <c r="J54" s="468"/>
      <c r="K54" s="468"/>
    </row>
    <row r="55" spans="1:11" ht="12.75" customHeight="1">
      <c r="A55" s="1516" t="s">
        <v>65</v>
      </c>
      <c r="B55" s="557">
        <v>1441</v>
      </c>
      <c r="C55" s="468"/>
      <c r="D55" s="468"/>
      <c r="E55" s="468"/>
      <c r="F55" s="466"/>
      <c r="G55" s="468"/>
      <c r="H55" s="468"/>
      <c r="I55" s="468"/>
      <c r="J55" s="468"/>
      <c r="K55" s="468"/>
    </row>
    <row r="56" spans="1:11" ht="12.75" customHeight="1">
      <c r="A56" s="1516" t="s">
        <v>1169</v>
      </c>
      <c r="B56" s="557">
        <v>1442</v>
      </c>
      <c r="C56" s="468"/>
      <c r="D56" s="468"/>
      <c r="E56" s="468"/>
      <c r="F56" s="466"/>
      <c r="G56" s="468"/>
      <c r="H56" s="468"/>
      <c r="I56" s="468"/>
      <c r="J56" s="468"/>
      <c r="K56" s="468"/>
    </row>
    <row r="57" spans="1:11" ht="12.75" customHeight="1">
      <c r="A57" s="1516" t="s">
        <v>510</v>
      </c>
      <c r="B57" s="557">
        <v>1443</v>
      </c>
      <c r="C57" s="468"/>
      <c r="D57" s="468"/>
      <c r="E57" s="468"/>
      <c r="F57" s="466"/>
      <c r="G57" s="468"/>
      <c r="H57" s="468"/>
      <c r="I57" s="468"/>
      <c r="J57" s="468"/>
      <c r="K57" s="468"/>
    </row>
    <row r="58" spans="1:11" ht="12.75" customHeight="1">
      <c r="A58" s="1516" t="s">
        <v>67</v>
      </c>
      <c r="B58" s="557">
        <v>1444</v>
      </c>
      <c r="C58" s="468"/>
      <c r="D58" s="468"/>
      <c r="E58" s="468"/>
      <c r="F58" s="466"/>
      <c r="G58" s="468"/>
      <c r="H58" s="468"/>
      <c r="I58" s="468"/>
      <c r="J58" s="468"/>
      <c r="K58" s="468"/>
    </row>
    <row r="59" spans="1:11" ht="12.75" customHeight="1">
      <c r="A59" s="1516" t="s">
        <v>933</v>
      </c>
      <c r="B59" s="557">
        <v>1451</v>
      </c>
      <c r="C59" s="468"/>
      <c r="D59" s="468"/>
      <c r="E59" s="468"/>
      <c r="F59" s="466"/>
      <c r="G59" s="468"/>
      <c r="H59" s="468"/>
      <c r="I59" s="468"/>
      <c r="J59" s="468"/>
      <c r="K59" s="468"/>
    </row>
    <row r="60" spans="1:11" ht="12.75" customHeight="1">
      <c r="A60" s="1516"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7" t="s">
        <v>935</v>
      </c>
      <c r="B62" s="558">
        <v>1454</v>
      </c>
      <c r="C62" s="468"/>
      <c r="D62" s="468"/>
      <c r="E62" s="468"/>
      <c r="F62" s="467"/>
      <c r="G62" s="468"/>
      <c r="H62" s="468"/>
      <c r="I62" s="468"/>
      <c r="J62" s="468"/>
      <c r="K62" s="468"/>
    </row>
    <row r="63" spans="1:11" ht="12.75" customHeight="1" thickBot="1">
      <c r="A63" s="1728" t="s">
        <v>506</v>
      </c>
      <c r="B63" s="1729"/>
      <c r="C63" s="468"/>
      <c r="D63" s="468"/>
      <c r="E63" s="468"/>
      <c r="F63" s="1708">
        <f>SUM(F42:F62)</f>
        <v>39210</v>
      </c>
      <c r="G63" s="468"/>
      <c r="H63" s="468"/>
      <c r="I63" s="468"/>
      <c r="J63" s="468"/>
      <c r="K63" s="468"/>
    </row>
    <row r="64" spans="1:11" ht="15.75" customHeight="1" thickTop="1">
      <c r="A64" s="1612" t="s">
        <v>474</v>
      </c>
      <c r="B64" s="1613">
        <v>1500</v>
      </c>
      <c r="C64" s="468"/>
      <c r="D64" s="468"/>
      <c r="E64" s="468"/>
      <c r="F64" s="468"/>
      <c r="G64" s="468"/>
      <c r="H64" s="468"/>
      <c r="I64" s="468"/>
      <c r="J64" s="468"/>
      <c r="K64" s="468"/>
    </row>
    <row r="65" spans="1:11" ht="12.75" customHeight="1">
      <c r="A65" s="463" t="s">
        <v>568</v>
      </c>
      <c r="B65" s="470">
        <v>1510</v>
      </c>
      <c r="C65" s="466">
        <v>28256</v>
      </c>
      <c r="D65" s="466">
        <v>5744</v>
      </c>
      <c r="E65" s="466">
        <v>27280</v>
      </c>
      <c r="F65" s="467">
        <v>2972</v>
      </c>
      <c r="G65" s="466">
        <v>2832</v>
      </c>
      <c r="H65" s="466">
        <v>21117</v>
      </c>
      <c r="I65" s="466">
        <v>42959</v>
      </c>
      <c r="J65" s="467">
        <v>3555</v>
      </c>
      <c r="K65" s="466">
        <v>2471</v>
      </c>
    </row>
    <row r="66" spans="1:11" ht="12.75" customHeight="1">
      <c r="A66" s="463" t="s">
        <v>700</v>
      </c>
      <c r="B66" s="470">
        <v>1520</v>
      </c>
      <c r="C66" s="466"/>
      <c r="D66" s="466"/>
      <c r="E66" s="466"/>
      <c r="F66" s="466"/>
      <c r="G66" s="466"/>
      <c r="H66" s="466"/>
      <c r="I66" s="466"/>
      <c r="J66" s="467"/>
      <c r="K66" s="466"/>
    </row>
    <row r="67" spans="1:11" ht="12.75" customHeight="1" thickBot="1">
      <c r="A67" s="1728" t="s">
        <v>507</v>
      </c>
      <c r="B67" s="1729"/>
      <c r="C67" s="1708">
        <f>SUM(C65:C66)</f>
        <v>28256</v>
      </c>
      <c r="D67" s="1708">
        <f t="shared" ref="D67:K67" si="2">SUM(D65:D66)</f>
        <v>5744</v>
      </c>
      <c r="E67" s="1708">
        <f t="shared" si="2"/>
        <v>27280</v>
      </c>
      <c r="F67" s="1708">
        <f t="shared" si="2"/>
        <v>2972</v>
      </c>
      <c r="G67" s="1708">
        <f t="shared" si="2"/>
        <v>2832</v>
      </c>
      <c r="H67" s="1708">
        <f t="shared" si="2"/>
        <v>21117</v>
      </c>
      <c r="I67" s="1708">
        <f t="shared" si="2"/>
        <v>42959</v>
      </c>
      <c r="J67" s="1708">
        <f t="shared" si="2"/>
        <v>3555</v>
      </c>
      <c r="K67" s="1708">
        <f t="shared" si="2"/>
        <v>2471</v>
      </c>
    </row>
    <row r="68" spans="1:11" ht="15.75" customHeight="1" thickTop="1">
      <c r="A68" s="1612" t="s">
        <v>475</v>
      </c>
      <c r="B68" s="1614">
        <v>1600</v>
      </c>
      <c r="C68" s="553"/>
      <c r="D68" s="468"/>
      <c r="E68" s="468"/>
      <c r="F68" s="468"/>
      <c r="G68" s="468"/>
      <c r="H68" s="468"/>
      <c r="I68" s="468"/>
      <c r="J68" s="468"/>
      <c r="K68" s="468"/>
    </row>
    <row r="69" spans="1:11" ht="12.75" customHeight="1">
      <c r="A69" s="463" t="s">
        <v>687</v>
      </c>
      <c r="B69" s="470">
        <v>1611</v>
      </c>
      <c r="C69" s="466"/>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v>10468</v>
      </c>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c r="D73" s="468"/>
      <c r="E73" s="468"/>
      <c r="F73" s="468"/>
      <c r="G73" s="468"/>
      <c r="H73" s="468"/>
      <c r="I73" s="468"/>
      <c r="J73" s="468"/>
      <c r="K73" s="468"/>
    </row>
    <row r="74" spans="1:11" ht="12.75" customHeight="1">
      <c r="A74" s="463" t="s">
        <v>25</v>
      </c>
      <c r="B74" s="470">
        <v>1690</v>
      </c>
      <c r="C74" s="551">
        <v>135</v>
      </c>
      <c r="D74" s="468"/>
      <c r="E74" s="468"/>
      <c r="F74" s="468"/>
      <c r="G74" s="468"/>
      <c r="H74" s="468"/>
      <c r="I74" s="468"/>
      <c r="J74" s="468"/>
      <c r="K74" s="468"/>
    </row>
    <row r="75" spans="1:11" ht="12.75" customHeight="1" thickBot="1">
      <c r="A75" s="1728" t="s">
        <v>569</v>
      </c>
      <c r="B75" s="1729"/>
      <c r="C75" s="1708">
        <f>SUM(C69:C74)</f>
        <v>10603</v>
      </c>
      <c r="D75" s="468"/>
      <c r="E75" s="468"/>
      <c r="F75" s="468"/>
      <c r="G75" s="468"/>
      <c r="H75" s="468"/>
      <c r="I75" s="468"/>
      <c r="J75" s="468"/>
      <c r="K75" s="468"/>
    </row>
    <row r="76" spans="1:11" ht="15.75" customHeight="1" thickTop="1">
      <c r="A76" s="1612" t="s">
        <v>936</v>
      </c>
      <c r="B76" s="1614">
        <v>1700</v>
      </c>
      <c r="C76" s="553"/>
      <c r="D76" s="468"/>
      <c r="E76" s="468"/>
      <c r="F76" s="468"/>
      <c r="G76" s="468"/>
      <c r="H76" s="468"/>
      <c r="I76" s="468"/>
      <c r="J76" s="468"/>
      <c r="K76" s="468"/>
    </row>
    <row r="77" spans="1:11" ht="12.75" customHeight="1">
      <c r="A77" s="463" t="s">
        <v>570</v>
      </c>
      <c r="B77" s="470">
        <v>1711</v>
      </c>
      <c r="C77" s="516"/>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v>8080</v>
      </c>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28" t="s">
        <v>259</v>
      </c>
      <c r="B82" s="1729"/>
      <c r="C82" s="1727">
        <f>SUM(C77:C81)</f>
        <v>8080</v>
      </c>
      <c r="D82" s="1708">
        <f>SUM(D77:D81)</f>
        <v>0</v>
      </c>
      <c r="E82" s="468"/>
      <c r="F82" s="468"/>
      <c r="G82" s="468"/>
      <c r="H82" s="468"/>
      <c r="I82" s="468"/>
      <c r="J82" s="468"/>
      <c r="K82" s="468"/>
    </row>
    <row r="83" spans="1:11" ht="15.75" customHeight="1" thickTop="1">
      <c r="A83" s="1612" t="s">
        <v>260</v>
      </c>
      <c r="B83" s="1614">
        <v>1800</v>
      </c>
      <c r="C83" s="553"/>
      <c r="D83" s="468"/>
      <c r="E83" s="468"/>
      <c r="F83" s="468"/>
      <c r="G83" s="468"/>
      <c r="H83" s="468"/>
      <c r="I83" s="468"/>
      <c r="J83" s="468"/>
      <c r="K83" s="468"/>
    </row>
    <row r="84" spans="1:11" ht="12.75" customHeight="1">
      <c r="A84" s="463" t="s">
        <v>573</v>
      </c>
      <c r="B84" s="470">
        <v>1811</v>
      </c>
      <c r="C84" s="466"/>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728" t="s">
        <v>261</v>
      </c>
      <c r="B93" s="1729"/>
      <c r="C93" s="1708">
        <f>SUM(C84:C92)</f>
        <v>0</v>
      </c>
      <c r="D93" s="468"/>
      <c r="E93" s="468"/>
      <c r="F93" s="468"/>
      <c r="G93" s="468"/>
      <c r="H93" s="468"/>
      <c r="I93" s="468"/>
      <c r="J93" s="468"/>
      <c r="K93" s="468"/>
    </row>
    <row r="94" spans="1:11" ht="15.75" customHeight="1" thickTop="1">
      <c r="A94" s="1612" t="s">
        <v>1199</v>
      </c>
      <c r="B94" s="1614">
        <v>1900</v>
      </c>
      <c r="C94" s="553"/>
      <c r="D94" s="521"/>
      <c r="E94" s="468"/>
      <c r="F94" s="468"/>
      <c r="G94" s="468"/>
      <c r="H94" s="468"/>
      <c r="I94" s="468"/>
      <c r="J94" s="468"/>
      <c r="K94" s="468"/>
    </row>
    <row r="95" spans="1:11" ht="12.75" customHeight="1">
      <c r="A95" s="463" t="s">
        <v>1124</v>
      </c>
      <c r="B95" s="470">
        <v>1910</v>
      </c>
      <c r="C95" s="466"/>
      <c r="D95" s="551">
        <v>31142</v>
      </c>
      <c r="E95" s="521"/>
      <c r="F95" s="521"/>
      <c r="G95" s="521"/>
      <c r="H95" s="521"/>
      <c r="I95" s="521"/>
      <c r="J95" s="521"/>
      <c r="K95" s="521"/>
    </row>
    <row r="96" spans="1:11" ht="12.75" customHeight="1">
      <c r="A96" s="463" t="s">
        <v>409</v>
      </c>
      <c r="B96" s="470">
        <v>1920</v>
      </c>
      <c r="C96" s="551">
        <v>139952</v>
      </c>
      <c r="D96" s="551"/>
      <c r="E96" s="479"/>
      <c r="F96" s="478"/>
      <c r="G96" s="478"/>
      <c r="H96" s="478"/>
      <c r="I96" s="478"/>
      <c r="J96" s="478"/>
      <c r="K96" s="478"/>
    </row>
    <row r="97" spans="1:12" ht="12.75" customHeight="1">
      <c r="A97" s="1515" t="s">
        <v>262</v>
      </c>
      <c r="B97" s="559">
        <v>1930</v>
      </c>
      <c r="C97" s="489"/>
      <c r="D97" s="467"/>
      <c r="E97" s="474"/>
      <c r="F97" s="467"/>
      <c r="G97" s="467"/>
      <c r="H97" s="467"/>
      <c r="I97" s="467"/>
      <c r="J97" s="467"/>
      <c r="K97" s="467"/>
    </row>
    <row r="98" spans="1:12" ht="12.75" customHeight="1">
      <c r="A98" s="463" t="s">
        <v>198</v>
      </c>
      <c r="B98" s="470">
        <v>1940</v>
      </c>
      <c r="C98" s="489">
        <v>51698</v>
      </c>
      <c r="D98" s="466"/>
      <c r="E98" s="512"/>
      <c r="F98" s="466">
        <v>2800</v>
      </c>
      <c r="G98" s="512"/>
      <c r="H98" s="512"/>
      <c r="I98" s="510"/>
      <c r="J98" s="512"/>
      <c r="K98" s="512"/>
    </row>
    <row r="99" spans="1:12" ht="12.75" customHeight="1">
      <c r="A99" s="463" t="s">
        <v>875</v>
      </c>
      <c r="B99" s="470">
        <v>1950</v>
      </c>
      <c r="C99" s="489">
        <v>743</v>
      </c>
      <c r="D99" s="466">
        <v>10092</v>
      </c>
      <c r="E99" s="466"/>
      <c r="F99" s="466">
        <v>93</v>
      </c>
      <c r="G99" s="466"/>
      <c r="H99" s="466"/>
      <c r="I99" s="468"/>
      <c r="J99" s="467"/>
      <c r="K99" s="466"/>
    </row>
    <row r="100" spans="1:12" ht="12.75" customHeight="1">
      <c r="A100" s="463" t="s">
        <v>263</v>
      </c>
      <c r="B100" s="470">
        <v>1960</v>
      </c>
      <c r="C100" s="489">
        <v>511150</v>
      </c>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v>113941</v>
      </c>
      <c r="D102" s="489"/>
      <c r="E102" s="489"/>
      <c r="F102" s="489"/>
      <c r="G102" s="489"/>
      <c r="H102" s="489"/>
      <c r="I102" s="467"/>
      <c r="J102" s="489"/>
      <c r="K102" s="467"/>
    </row>
    <row r="103" spans="1:12" ht="12.75" customHeight="1">
      <c r="A103" s="463" t="s">
        <v>363</v>
      </c>
      <c r="B103" s="470">
        <v>1983</v>
      </c>
      <c r="C103" s="468"/>
      <c r="D103" s="468"/>
      <c r="E103" s="560">
        <v>1071308</v>
      </c>
      <c r="F103" s="468"/>
      <c r="G103" s="468"/>
      <c r="H103" s="489"/>
      <c r="I103" s="468"/>
      <c r="J103" s="510"/>
      <c r="K103" s="510"/>
    </row>
    <row r="104" spans="1:12" ht="12.75" customHeight="1">
      <c r="A104" s="463" t="s">
        <v>885</v>
      </c>
      <c r="B104" s="470">
        <v>1991</v>
      </c>
      <c r="C104" s="489">
        <v>50806</v>
      </c>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c r="D106" s="489"/>
      <c r="E106" s="467"/>
      <c r="F106" s="467"/>
      <c r="G106" s="467"/>
      <c r="H106" s="467"/>
      <c r="I106" s="521"/>
      <c r="J106" s="467"/>
      <c r="K106" s="467"/>
    </row>
    <row r="107" spans="1:12" ht="12.75" customHeight="1">
      <c r="A107" s="463" t="s">
        <v>80</v>
      </c>
      <c r="B107" s="470">
        <v>1999</v>
      </c>
      <c r="C107" s="551">
        <v>3709</v>
      </c>
      <c r="D107" s="466">
        <v>92148</v>
      </c>
      <c r="E107" s="466"/>
      <c r="F107" s="466">
        <v>20347</v>
      </c>
      <c r="G107" s="466">
        <v>127</v>
      </c>
      <c r="H107" s="466">
        <v>321766</v>
      </c>
      <c r="I107" s="466"/>
      <c r="J107" s="467"/>
      <c r="K107" s="466"/>
    </row>
    <row r="108" spans="1:12" ht="12.75" customHeight="1" thickBot="1">
      <c r="A108" s="1728" t="s">
        <v>508</v>
      </c>
      <c r="B108" s="1732"/>
      <c r="C108" s="1727">
        <f>SUM(C95:C107)</f>
        <v>871999</v>
      </c>
      <c r="D108" s="1727">
        <f t="shared" ref="D108:K108" si="3">SUM(D95:D107)</f>
        <v>133382</v>
      </c>
      <c r="E108" s="1727">
        <f t="shared" si="3"/>
        <v>1071308</v>
      </c>
      <c r="F108" s="1727">
        <f t="shared" si="3"/>
        <v>23240</v>
      </c>
      <c r="G108" s="1727">
        <f t="shared" si="3"/>
        <v>127</v>
      </c>
      <c r="H108" s="1727">
        <f t="shared" si="3"/>
        <v>321766</v>
      </c>
      <c r="I108" s="1727">
        <f t="shared" si="3"/>
        <v>0</v>
      </c>
      <c r="J108" s="1727">
        <f t="shared" si="3"/>
        <v>0</v>
      </c>
      <c r="K108" s="1708">
        <f t="shared" si="3"/>
        <v>0</v>
      </c>
    </row>
    <row r="109" spans="1:12" ht="14.25" thickTop="1" thickBot="1">
      <c r="A109" s="1733" t="s">
        <v>266</v>
      </c>
      <c r="B109" s="1734" t="s">
        <v>591</v>
      </c>
      <c r="C109" s="1735">
        <f t="shared" ref="C109:K109" si="4">SUM(C12,C18,C40,C63,C67,C75,C82,C93,C108,)</f>
        <v>10212442</v>
      </c>
      <c r="D109" s="1735">
        <f t="shared" si="4"/>
        <v>1822787</v>
      </c>
      <c r="E109" s="1735">
        <f t="shared" si="4"/>
        <v>3552096</v>
      </c>
      <c r="F109" s="1735">
        <f t="shared" si="4"/>
        <v>668515</v>
      </c>
      <c r="G109" s="1735">
        <f t="shared" si="4"/>
        <v>1308623</v>
      </c>
      <c r="H109" s="1735">
        <f t="shared" si="4"/>
        <v>342883</v>
      </c>
      <c r="I109" s="1735">
        <f t="shared" si="4"/>
        <v>212230</v>
      </c>
      <c r="J109" s="1735">
        <f t="shared" si="4"/>
        <v>938148</v>
      </c>
      <c r="K109" s="1722">
        <f t="shared" si="4"/>
        <v>2471</v>
      </c>
    </row>
    <row r="110" spans="1:12" ht="30" customHeight="1" thickTop="1">
      <c r="A110" s="1605" t="s">
        <v>364</v>
      </c>
      <c r="B110" s="1606"/>
      <c r="C110" s="1591"/>
      <c r="D110" s="1591"/>
      <c r="E110" s="1591"/>
      <c r="F110" s="1591"/>
      <c r="G110" s="1591"/>
      <c r="H110" s="1591"/>
      <c r="I110" s="1591"/>
      <c r="J110" s="1591"/>
      <c r="K110" s="1592"/>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c r="A115" s="1607" t="s">
        <v>836</v>
      </c>
      <c r="B115" s="1608"/>
      <c r="C115" s="1590"/>
      <c r="D115" s="1591"/>
      <c r="E115" s="1591"/>
      <c r="F115" s="1591"/>
      <c r="G115" s="1591"/>
      <c r="H115" s="1591"/>
      <c r="I115" s="1591"/>
      <c r="J115" s="1591"/>
      <c r="K115" s="1592"/>
    </row>
    <row r="116" spans="1:11" ht="18" customHeight="1">
      <c r="A116" s="1615" t="s">
        <v>1571</v>
      </c>
      <c r="B116" s="1616"/>
      <c r="C116" s="522"/>
      <c r="D116" s="521"/>
      <c r="E116" s="561"/>
      <c r="F116" s="521"/>
      <c r="G116" s="521"/>
      <c r="H116" s="561"/>
      <c r="I116" s="468"/>
      <c r="J116" s="521"/>
      <c r="K116" s="521"/>
    </row>
    <row r="117" spans="1:11" ht="12.75" customHeight="1">
      <c r="A117" s="463" t="s">
        <v>1766</v>
      </c>
      <c r="B117" s="562">
        <v>3001</v>
      </c>
      <c r="C117" s="516">
        <v>11284916</v>
      </c>
      <c r="D117" s="481"/>
      <c r="E117" s="466"/>
      <c r="F117" s="481"/>
      <c r="G117" s="481"/>
      <c r="H117" s="466"/>
      <c r="I117" s="468"/>
      <c r="J117" s="467"/>
      <c r="K117" s="466"/>
    </row>
    <row r="118" spans="1:11" ht="12.75" customHeight="1">
      <c r="A118" s="463" t="s">
        <v>1899</v>
      </c>
      <c r="B118" s="562">
        <v>3002</v>
      </c>
      <c r="C118" s="551"/>
      <c r="D118" s="466"/>
      <c r="E118" s="466"/>
      <c r="F118" s="466"/>
      <c r="G118" s="466"/>
      <c r="H118" s="466"/>
      <c r="I118" s="468"/>
      <c r="J118" s="467"/>
      <c r="K118" s="466"/>
    </row>
    <row r="119" spans="1:11" ht="12.75" customHeight="1">
      <c r="A119" s="463" t="s">
        <v>1900</v>
      </c>
      <c r="B119" s="562">
        <v>3005</v>
      </c>
      <c r="C119" s="551"/>
      <c r="D119" s="466"/>
      <c r="E119" s="466"/>
      <c r="F119" s="466"/>
      <c r="G119" s="466"/>
      <c r="H119" s="466"/>
      <c r="I119" s="468"/>
      <c r="J119" s="467"/>
      <c r="K119" s="466"/>
    </row>
    <row r="120" spans="1:11">
      <c r="A120" s="1516" t="s">
        <v>1901</v>
      </c>
      <c r="B120" s="564">
        <v>3099</v>
      </c>
      <c r="C120" s="551"/>
      <c r="D120" s="466"/>
      <c r="E120" s="466"/>
      <c r="F120" s="466"/>
      <c r="G120" s="466"/>
      <c r="H120" s="466"/>
      <c r="I120" s="468"/>
      <c r="J120" s="467"/>
      <c r="K120" s="466"/>
    </row>
    <row r="121" spans="1:11" ht="12.6" customHeight="1" thickBot="1">
      <c r="A121" s="1728" t="s">
        <v>509</v>
      </c>
      <c r="B121" s="1739"/>
      <c r="C121" s="1727">
        <f t="shared" ref="C121:H121" si="5">SUM(C117:C120)</f>
        <v>11284916</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c r="A122" s="1612" t="s">
        <v>1570</v>
      </c>
      <c r="B122" s="1617"/>
      <c r="C122" s="565"/>
      <c r="D122" s="509"/>
      <c r="E122" s="468"/>
      <c r="F122" s="566"/>
      <c r="G122" s="468"/>
      <c r="H122" s="468"/>
      <c r="I122" s="468"/>
      <c r="J122" s="468"/>
      <c r="K122" s="468"/>
    </row>
    <row r="123" spans="1:11" ht="15" customHeight="1">
      <c r="A123" s="1618" t="s">
        <v>688</v>
      </c>
      <c r="B123" s="1619"/>
      <c r="C123" s="521"/>
      <c r="D123" s="509"/>
      <c r="E123" s="468"/>
      <c r="F123" s="521"/>
      <c r="G123" s="468"/>
      <c r="H123" s="468"/>
      <c r="I123" s="468"/>
      <c r="J123" s="468"/>
      <c r="K123" s="468"/>
    </row>
    <row r="124" spans="1:11" ht="12.75" customHeight="1">
      <c r="A124" s="463" t="s">
        <v>921</v>
      </c>
      <c r="B124" s="567">
        <v>3100</v>
      </c>
      <c r="C124" s="481">
        <v>41277</v>
      </c>
      <c r="D124" s="561"/>
      <c r="E124" s="468"/>
      <c r="F124" s="548"/>
      <c r="G124" s="468"/>
      <c r="H124" s="468"/>
      <c r="I124" s="468"/>
      <c r="J124" s="468"/>
      <c r="K124" s="468"/>
    </row>
    <row r="125" spans="1:11" ht="12.75" customHeight="1">
      <c r="A125" s="463" t="s">
        <v>1521</v>
      </c>
      <c r="B125" s="562">
        <v>3105</v>
      </c>
      <c r="C125" s="466">
        <v>198122</v>
      </c>
      <c r="D125" s="561"/>
      <c r="E125" s="468"/>
      <c r="F125" s="466"/>
      <c r="G125" s="468"/>
      <c r="H125" s="468"/>
      <c r="I125" s="468"/>
      <c r="J125" s="468"/>
      <c r="K125" s="468"/>
    </row>
    <row r="126" spans="1:11" ht="12.75" customHeight="1">
      <c r="A126" s="463" t="s">
        <v>922</v>
      </c>
      <c r="B126" s="562">
        <v>3110</v>
      </c>
      <c r="C126" s="551">
        <v>212160</v>
      </c>
      <c r="D126" s="466"/>
      <c r="E126" s="468"/>
      <c r="F126" s="466"/>
      <c r="G126" s="468"/>
      <c r="H126" s="468"/>
      <c r="I126" s="468"/>
      <c r="J126" s="468"/>
      <c r="K126" s="468"/>
    </row>
    <row r="127" spans="1:11" ht="12.75" customHeight="1">
      <c r="A127" s="463" t="s">
        <v>107</v>
      </c>
      <c r="B127" s="562">
        <v>3120</v>
      </c>
      <c r="C127" s="466">
        <v>19740</v>
      </c>
      <c r="D127" s="561"/>
      <c r="E127" s="468"/>
      <c r="F127" s="466"/>
      <c r="G127" s="468"/>
      <c r="H127" s="468"/>
      <c r="I127" s="468"/>
      <c r="J127" s="468"/>
      <c r="K127" s="468"/>
    </row>
    <row r="128" spans="1:11" ht="12.75" customHeight="1">
      <c r="A128" s="463" t="s">
        <v>1522</v>
      </c>
      <c r="B128" s="562">
        <v>3130</v>
      </c>
      <c r="C128" s="466">
        <v>7334</v>
      </c>
      <c r="D128" s="561"/>
      <c r="E128" s="468"/>
      <c r="F128" s="466"/>
      <c r="G128" s="468"/>
      <c r="H128" s="468"/>
      <c r="I128" s="468"/>
      <c r="J128" s="468"/>
      <c r="K128" s="468"/>
    </row>
    <row r="129" spans="1:11" ht="12.75" customHeight="1">
      <c r="A129" s="463" t="s">
        <v>139</v>
      </c>
      <c r="B129" s="562">
        <v>3145</v>
      </c>
      <c r="C129" s="466"/>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28" t="s">
        <v>1092</v>
      </c>
      <c r="B131" s="1740"/>
      <c r="C131" s="1727">
        <f>SUM(C124:C130)</f>
        <v>478633</v>
      </c>
      <c r="D131" s="1727">
        <f>SUM(D124:D130)</f>
        <v>0</v>
      </c>
      <c r="E131" s="469" t="s">
        <v>1231</v>
      </c>
      <c r="F131" s="1727">
        <f>SUM(F124:F130)</f>
        <v>0</v>
      </c>
      <c r="G131" s="468" t="s">
        <v>1231</v>
      </c>
      <c r="H131" s="468" t="s">
        <v>1231</v>
      </c>
      <c r="I131" s="468" t="s">
        <v>1231</v>
      </c>
      <c r="J131" s="468" t="s">
        <v>1231</v>
      </c>
      <c r="K131" s="468" t="s">
        <v>1231</v>
      </c>
    </row>
    <row r="132" spans="1:11" ht="15.75" customHeight="1" thickTop="1">
      <c r="A132" s="1620" t="s">
        <v>268</v>
      </c>
      <c r="B132" s="1621"/>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c r="A141" s="1620" t="s">
        <v>691</v>
      </c>
      <c r="B141" s="1621"/>
      <c r="C141" s="553"/>
      <c r="D141" s="566"/>
      <c r="E141" s="561"/>
      <c r="F141" s="553"/>
      <c r="G141" s="553"/>
      <c r="H141" s="468"/>
      <c r="I141" s="468"/>
      <c r="J141" s="468"/>
      <c r="K141" s="468"/>
    </row>
    <row r="142" spans="1:11" ht="12.75" customHeight="1">
      <c r="A142" s="463" t="s">
        <v>625</v>
      </c>
      <c r="B142" s="562">
        <v>3305</v>
      </c>
      <c r="C142" s="466">
        <v>273753</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28" t="s">
        <v>414</v>
      </c>
      <c r="B144" s="1740"/>
      <c r="C144" s="1708">
        <f>SUM(C142:C143)</f>
        <v>273753</v>
      </c>
      <c r="D144" s="468"/>
      <c r="E144" s="509"/>
      <c r="F144" s="468"/>
      <c r="G144" s="1741">
        <f>SUM(G142:G143)</f>
        <v>0</v>
      </c>
      <c r="H144" s="468"/>
      <c r="I144" s="468"/>
      <c r="J144" s="468"/>
      <c r="K144" s="468"/>
    </row>
    <row r="145" spans="1:11" s="202" customFormat="1" ht="12.75" customHeight="1" thickTop="1">
      <c r="A145" s="1518" t="s">
        <v>1116</v>
      </c>
      <c r="B145" s="568">
        <v>3360</v>
      </c>
      <c r="C145" s="569">
        <v>29545</v>
      </c>
      <c r="D145" s="570"/>
      <c r="E145" s="509"/>
      <c r="F145" s="468"/>
      <c r="G145" s="571"/>
      <c r="H145" s="468"/>
      <c r="I145" s="468"/>
      <c r="J145" s="468"/>
      <c r="K145" s="468"/>
    </row>
    <row r="146" spans="1:11" ht="12.75" customHeight="1" thickBot="1">
      <c r="A146" s="1519" t="s">
        <v>979</v>
      </c>
      <c r="B146" s="572">
        <v>3365</v>
      </c>
      <c r="C146" s="573"/>
      <c r="D146" s="532"/>
      <c r="E146" s="561"/>
      <c r="F146" s="468"/>
      <c r="G146" s="532"/>
      <c r="H146" s="468"/>
      <c r="I146" s="468"/>
      <c r="J146" s="468"/>
      <c r="K146" s="468"/>
    </row>
    <row r="147" spans="1:11" ht="12.75" customHeight="1" thickTop="1" thickBot="1">
      <c r="A147" s="1520" t="s">
        <v>140</v>
      </c>
      <c r="B147" s="574">
        <v>3370</v>
      </c>
      <c r="C147" s="573"/>
      <c r="D147" s="573"/>
      <c r="E147" s="509"/>
      <c r="F147" s="468"/>
      <c r="G147" s="468"/>
      <c r="H147" s="468"/>
      <c r="I147" s="468"/>
      <c r="J147" s="468"/>
      <c r="K147" s="468"/>
    </row>
    <row r="148" spans="1:11" ht="12.75" customHeight="1" thickTop="1" thickBot="1">
      <c r="A148" s="1520" t="s">
        <v>791</v>
      </c>
      <c r="B148" s="574">
        <v>3410</v>
      </c>
      <c r="C148" s="575"/>
      <c r="D148" s="576"/>
      <c r="E148" s="577"/>
      <c r="F148" s="530"/>
      <c r="G148" s="530"/>
      <c r="H148" s="530"/>
      <c r="I148" s="530"/>
      <c r="J148" s="530"/>
      <c r="K148" s="530"/>
    </row>
    <row r="149" spans="1:11" ht="12.75" customHeight="1" thickTop="1" thickBot="1">
      <c r="A149" s="1520" t="s">
        <v>70</v>
      </c>
      <c r="B149" s="574">
        <v>3499</v>
      </c>
      <c r="C149" s="575"/>
      <c r="D149" s="576"/>
      <c r="E149" s="532"/>
      <c r="F149" s="532"/>
      <c r="G149" s="532"/>
      <c r="H149" s="532"/>
      <c r="I149" s="532"/>
      <c r="J149" s="532"/>
      <c r="K149" s="532"/>
    </row>
    <row r="150" spans="1:11" ht="15.75" customHeight="1" thickTop="1">
      <c r="A150" s="1620" t="s">
        <v>473</v>
      </c>
      <c r="B150" s="1622"/>
      <c r="C150" s="553"/>
      <c r="D150" s="468"/>
      <c r="E150" s="561"/>
      <c r="F150" s="468"/>
      <c r="G150" s="468"/>
      <c r="H150" s="468"/>
      <c r="I150" s="468"/>
      <c r="J150" s="468"/>
      <c r="K150" s="468"/>
    </row>
    <row r="151" spans="1:11" ht="12.75" customHeight="1">
      <c r="A151" s="463" t="s">
        <v>1523</v>
      </c>
      <c r="B151" s="562">
        <v>3500</v>
      </c>
      <c r="C151" s="551"/>
      <c r="D151" s="466"/>
      <c r="E151" s="561"/>
      <c r="F151" s="466">
        <v>494471</v>
      </c>
      <c r="G151" s="467"/>
      <c r="H151" s="468"/>
      <c r="I151" s="468"/>
      <c r="J151" s="468"/>
      <c r="K151" s="468"/>
    </row>
    <row r="152" spans="1:11" ht="12.75" customHeight="1">
      <c r="A152" s="463" t="s">
        <v>1117</v>
      </c>
      <c r="B152" s="562">
        <v>3510</v>
      </c>
      <c r="C152" s="551"/>
      <c r="D152" s="466"/>
      <c r="E152" s="561"/>
      <c r="F152" s="466">
        <v>306329</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8" t="s">
        <v>96</v>
      </c>
      <c r="B154" s="1740"/>
      <c r="C154" s="1727">
        <f>SUM(C151:C153)</f>
        <v>0</v>
      </c>
      <c r="D154" s="1727">
        <f>SUM(D151:D153)</f>
        <v>0</v>
      </c>
      <c r="E154" s="561"/>
      <c r="F154" s="1727">
        <f>SUM(F151:F153)</f>
        <v>800800</v>
      </c>
      <c r="G154" s="1727">
        <f>SUM(G151:G153)</f>
        <v>0</v>
      </c>
      <c r="H154" s="468"/>
      <c r="I154" s="468"/>
      <c r="J154" s="468"/>
      <c r="K154" s="468"/>
    </row>
    <row r="155" spans="1:11" ht="12.75" customHeight="1" thickTop="1" thickBot="1">
      <c r="A155" s="1520" t="s">
        <v>398</v>
      </c>
      <c r="B155" s="574">
        <v>3610</v>
      </c>
      <c r="C155" s="576"/>
      <c r="D155" s="468"/>
      <c r="E155" s="509"/>
      <c r="F155" s="468"/>
      <c r="G155" s="468"/>
      <c r="H155" s="468"/>
      <c r="I155" s="468"/>
      <c r="J155" s="468"/>
      <c r="K155" s="468"/>
    </row>
    <row r="156" spans="1:11" ht="12.75" customHeight="1" thickTop="1" thickBot="1">
      <c r="A156" s="1520" t="s">
        <v>52</v>
      </c>
      <c r="B156" s="574">
        <v>3660</v>
      </c>
      <c r="C156" s="573"/>
      <c r="D156" s="578"/>
      <c r="E156" s="561"/>
      <c r="F156" s="578"/>
      <c r="G156" s="578"/>
      <c r="H156" s="468"/>
      <c r="I156" s="468"/>
      <c r="J156" s="468"/>
      <c r="K156" s="468"/>
    </row>
    <row r="157" spans="1:11" ht="12.75" customHeight="1" thickTop="1" thickBot="1">
      <c r="A157" s="1520" t="s">
        <v>1057</v>
      </c>
      <c r="B157" s="574">
        <v>3695</v>
      </c>
      <c r="C157" s="576"/>
      <c r="D157" s="468"/>
      <c r="E157" s="561"/>
      <c r="F157" s="576"/>
      <c r="G157" s="576"/>
      <c r="H157" s="468"/>
      <c r="I157" s="468"/>
      <c r="J157" s="468"/>
      <c r="K157" s="468"/>
    </row>
    <row r="158" spans="1:11" ht="12.75" customHeight="1" thickTop="1" thickBot="1">
      <c r="A158" s="1520" t="s">
        <v>1111</v>
      </c>
      <c r="B158" s="574">
        <v>3705</v>
      </c>
      <c r="C158" s="576">
        <v>290744</v>
      </c>
      <c r="D158" s="578"/>
      <c r="E158" s="561"/>
      <c r="F158" s="576">
        <v>84202</v>
      </c>
      <c r="G158" s="576"/>
      <c r="H158" s="468"/>
      <c r="I158" s="468"/>
      <c r="J158" s="468"/>
      <c r="K158" s="468"/>
    </row>
    <row r="159" spans="1:11" ht="12.75" customHeight="1" thickTop="1" thickBot="1">
      <c r="A159" s="1520" t="s">
        <v>39</v>
      </c>
      <c r="B159" s="574">
        <v>3715</v>
      </c>
      <c r="C159" s="576"/>
      <c r="D159" s="468"/>
      <c r="E159" s="561"/>
      <c r="F159" s="576"/>
      <c r="G159" s="576"/>
      <c r="H159" s="468"/>
      <c r="I159" s="468"/>
      <c r="J159" s="468"/>
      <c r="K159" s="468"/>
    </row>
    <row r="160" spans="1:11" ht="12.75" customHeight="1" thickTop="1" thickBot="1">
      <c r="A160" s="1520" t="s">
        <v>40</v>
      </c>
      <c r="B160" s="574">
        <v>3720</v>
      </c>
      <c r="C160" s="576"/>
      <c r="D160" s="468"/>
      <c r="E160" s="561"/>
      <c r="F160" s="576"/>
      <c r="G160" s="576"/>
      <c r="H160" s="468"/>
      <c r="I160" s="468"/>
      <c r="J160" s="468"/>
      <c r="K160" s="468"/>
    </row>
    <row r="161" spans="1:11" ht="12.75" customHeight="1" thickTop="1" thickBot="1">
      <c r="A161" s="1520" t="s">
        <v>415</v>
      </c>
      <c r="B161" s="574">
        <v>3725</v>
      </c>
      <c r="C161" s="531"/>
      <c r="D161" s="468"/>
      <c r="E161" s="561"/>
      <c r="F161" s="531"/>
      <c r="G161" s="531"/>
      <c r="H161" s="468"/>
      <c r="I161" s="468"/>
      <c r="J161" s="468"/>
      <c r="K161" s="468"/>
    </row>
    <row r="162" spans="1:11" ht="12.75" customHeight="1" thickTop="1" thickBot="1">
      <c r="A162" s="1520" t="s">
        <v>416</v>
      </c>
      <c r="B162" s="574">
        <v>3726</v>
      </c>
      <c r="C162" s="531"/>
      <c r="D162" s="468"/>
      <c r="E162" s="561"/>
      <c r="F162" s="531"/>
      <c r="G162" s="531"/>
      <c r="H162" s="468"/>
      <c r="I162" s="468"/>
      <c r="J162" s="468"/>
      <c r="K162" s="468"/>
    </row>
    <row r="163" spans="1:11" ht="12.75" customHeight="1" thickTop="1" thickBot="1">
      <c r="A163" s="1520" t="s">
        <v>41</v>
      </c>
      <c r="B163" s="574">
        <v>3766</v>
      </c>
      <c r="C163" s="576"/>
      <c r="D163" s="578"/>
      <c r="E163" s="561"/>
      <c r="F163" s="576"/>
      <c r="G163" s="531"/>
      <c r="H163" s="468"/>
      <c r="I163" s="468"/>
      <c r="J163" s="468"/>
      <c r="K163" s="468"/>
    </row>
    <row r="164" spans="1:11" ht="12.75" customHeight="1" thickTop="1" thickBot="1">
      <c r="A164" s="1520" t="s">
        <v>1042</v>
      </c>
      <c r="B164" s="574">
        <v>3767</v>
      </c>
      <c r="C164" s="576"/>
      <c r="D164" s="531"/>
      <c r="E164" s="561"/>
      <c r="F164" s="531"/>
      <c r="G164" s="531"/>
      <c r="H164" s="468"/>
      <c r="I164" s="468"/>
      <c r="J164" s="468"/>
      <c r="K164" s="468"/>
    </row>
    <row r="165" spans="1:11" ht="12.75" customHeight="1" thickTop="1" thickBot="1">
      <c r="A165" s="1520" t="s">
        <v>1043</v>
      </c>
      <c r="B165" s="574">
        <v>3775</v>
      </c>
      <c r="C165" s="576"/>
      <c r="D165" s="573"/>
      <c r="E165" s="530"/>
      <c r="F165" s="573"/>
      <c r="G165" s="532"/>
      <c r="H165" s="530"/>
      <c r="I165" s="468"/>
      <c r="J165" s="468"/>
      <c r="K165" s="530"/>
    </row>
    <row r="166" spans="1:11" ht="12.75" customHeight="1" thickTop="1" thickBot="1">
      <c r="A166" s="1520" t="s">
        <v>1524</v>
      </c>
      <c r="B166" s="574">
        <v>3780</v>
      </c>
      <c r="C166" s="531"/>
      <c r="D166" s="530"/>
      <c r="E166" s="531"/>
      <c r="F166" s="531"/>
      <c r="G166" s="531"/>
      <c r="H166" s="531"/>
      <c r="I166" s="468"/>
      <c r="J166" s="468"/>
      <c r="K166" s="531"/>
    </row>
    <row r="167" spans="1:11" ht="12.75" customHeight="1" thickTop="1" thickBot="1">
      <c r="A167" s="1520" t="s">
        <v>913</v>
      </c>
      <c r="B167" s="574">
        <v>3815</v>
      </c>
      <c r="C167" s="576"/>
      <c r="D167" s="468"/>
      <c r="E167" s="561"/>
      <c r="F167" s="576"/>
      <c r="G167" s="468"/>
      <c r="H167" s="468"/>
      <c r="I167" s="468"/>
      <c r="J167" s="468"/>
      <c r="K167" s="468"/>
    </row>
    <row r="168" spans="1:11" ht="12.75" customHeight="1" thickTop="1" thickBot="1">
      <c r="A168" s="1520" t="s">
        <v>417</v>
      </c>
      <c r="B168" s="574">
        <v>3825</v>
      </c>
      <c r="C168" s="576"/>
      <c r="D168" s="468"/>
      <c r="E168" s="561"/>
      <c r="F168" s="576"/>
      <c r="G168" s="468"/>
      <c r="H168" s="468"/>
      <c r="I168" s="468"/>
      <c r="J168" s="468"/>
      <c r="K168" s="468"/>
    </row>
    <row r="169" spans="1:11" ht="12.75" customHeight="1" thickTop="1" thickBot="1">
      <c r="A169" s="1520" t="s">
        <v>366</v>
      </c>
      <c r="B169" s="574">
        <v>3920</v>
      </c>
      <c r="C169" s="566"/>
      <c r="D169" s="578"/>
      <c r="E169" s="468"/>
      <c r="F169" s="566"/>
      <c r="G169" s="468"/>
      <c r="H169" s="530"/>
      <c r="I169" s="468"/>
      <c r="J169" s="468"/>
      <c r="K169" s="468"/>
    </row>
    <row r="170" spans="1:11" ht="12.75" customHeight="1" thickTop="1" thickBot="1">
      <c r="A170" s="1520" t="s">
        <v>367</v>
      </c>
      <c r="B170" s="574">
        <v>3925</v>
      </c>
      <c r="C170" s="521"/>
      <c r="D170" s="576"/>
      <c r="E170" s="521"/>
      <c r="F170" s="521"/>
      <c r="G170" s="468"/>
      <c r="H170" s="531"/>
      <c r="I170" s="468"/>
      <c r="J170" s="468"/>
      <c r="K170" s="530"/>
    </row>
    <row r="171" spans="1:11" ht="14.25" thickTop="1" thickBot="1">
      <c r="A171" s="1520" t="s">
        <v>72</v>
      </c>
      <c r="B171" s="574">
        <v>3999</v>
      </c>
      <c r="C171" s="579">
        <v>3683</v>
      </c>
      <c r="D171" s="580"/>
      <c r="E171" s="580"/>
      <c r="F171" s="580"/>
      <c r="G171" s="581"/>
      <c r="H171" s="582"/>
      <c r="I171" s="581"/>
      <c r="J171" s="581"/>
      <c r="K171" s="582"/>
    </row>
    <row r="172" spans="1:11" ht="12.75" customHeight="1" thickTop="1" thickBot="1">
      <c r="A172" s="2222" t="s">
        <v>418</v>
      </c>
      <c r="B172" s="2223"/>
      <c r="C172" s="1742">
        <f t="shared" ref="C172:K172" si="6">SUM(C131,C140,C144,C145:C149,C154,C155:C170,C171)</f>
        <v>1076358</v>
      </c>
      <c r="D172" s="1742">
        <f t="shared" si="6"/>
        <v>0</v>
      </c>
      <c r="E172" s="1742">
        <f t="shared" si="6"/>
        <v>0</v>
      </c>
      <c r="F172" s="1742">
        <f t="shared" si="6"/>
        <v>885002</v>
      </c>
      <c r="G172" s="1742">
        <f t="shared" si="6"/>
        <v>0</v>
      </c>
      <c r="H172" s="1742">
        <f t="shared" si="6"/>
        <v>0</v>
      </c>
      <c r="I172" s="1742">
        <f t="shared" si="6"/>
        <v>0</v>
      </c>
      <c r="J172" s="1742">
        <f t="shared" si="6"/>
        <v>0</v>
      </c>
      <c r="K172" s="1723">
        <f t="shared" si="6"/>
        <v>0</v>
      </c>
    </row>
    <row r="173" spans="1:11" ht="12.75" customHeight="1" thickTop="1" thickBot="1">
      <c r="A173" s="1728" t="s">
        <v>419</v>
      </c>
      <c r="B173" s="1734" t="s">
        <v>596</v>
      </c>
      <c r="C173" s="1735">
        <f>SUM(C121,C172)</f>
        <v>12361274</v>
      </c>
      <c r="D173" s="1735">
        <f>SUM(D121,D172)</f>
        <v>0</v>
      </c>
      <c r="E173" s="1735">
        <f>SUM(E121,E172)</f>
        <v>0</v>
      </c>
      <c r="F173" s="1735">
        <f t="shared" ref="F173:K173" si="7">SUM(F121,F172)</f>
        <v>885002</v>
      </c>
      <c r="G173" s="1735">
        <f t="shared" si="7"/>
        <v>0</v>
      </c>
      <c r="H173" s="1735">
        <f t="shared" si="7"/>
        <v>0</v>
      </c>
      <c r="I173" s="1735">
        <f t="shared" si="7"/>
        <v>0</v>
      </c>
      <c r="J173" s="1735">
        <f t="shared" si="7"/>
        <v>0</v>
      </c>
      <c r="K173" s="1722">
        <f t="shared" si="7"/>
        <v>0</v>
      </c>
    </row>
    <row r="174" spans="1:11" ht="16.7" customHeight="1" thickTop="1">
      <c r="A174" s="1609" t="s">
        <v>837</v>
      </c>
      <c r="B174" s="1587"/>
      <c r="C174" s="1590"/>
      <c r="D174" s="1591"/>
      <c r="E174" s="1591"/>
      <c r="F174" s="1591"/>
      <c r="G174" s="1591"/>
      <c r="H174" s="1591"/>
      <c r="I174" s="1591"/>
      <c r="J174" s="1591"/>
      <c r="K174" s="1592"/>
    </row>
    <row r="175" spans="1:11" ht="15.75" customHeight="1">
      <c r="A175" s="2224" t="s">
        <v>1572</v>
      </c>
      <c r="B175" s="2225"/>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228" t="s">
        <v>1764</v>
      </c>
      <c r="B178" s="2229"/>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c r="A179" s="2232" t="s">
        <v>1763</v>
      </c>
      <c r="B179" s="2233"/>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230" t="s">
        <v>818</v>
      </c>
      <c r="B184" s="2231"/>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c r="A185" s="2226" t="s">
        <v>1903</v>
      </c>
      <c r="B185" s="2227"/>
      <c r="C185" s="584"/>
      <c r="D185" s="566"/>
      <c r="E185" s="509"/>
      <c r="F185" s="566"/>
      <c r="G185" s="566"/>
      <c r="H185" s="468"/>
      <c r="I185" s="468"/>
      <c r="J185" s="468"/>
      <c r="K185" s="468"/>
    </row>
    <row r="186" spans="1:11" ht="15.75" customHeight="1">
      <c r="A186" s="1623" t="s">
        <v>1692</v>
      </c>
      <c r="B186" s="1624"/>
      <c r="C186" s="522"/>
      <c r="D186" s="521"/>
      <c r="E186" s="509"/>
      <c r="F186" s="521"/>
      <c r="G186" s="521"/>
      <c r="H186" s="468"/>
      <c r="I186" s="468"/>
      <c r="J186" s="468"/>
      <c r="K186" s="468"/>
    </row>
    <row r="187" spans="1:11" ht="12.75" customHeight="1">
      <c r="A187" s="463" t="s">
        <v>1693</v>
      </c>
      <c r="B187" s="470">
        <v>4100</v>
      </c>
      <c r="C187" s="516"/>
      <c r="D187" s="481"/>
      <c r="E187" s="561"/>
      <c r="F187" s="481"/>
      <c r="G187" s="481"/>
      <c r="H187" s="468"/>
      <c r="I187" s="468"/>
      <c r="J187" s="468"/>
      <c r="K187" s="468"/>
    </row>
    <row r="188" spans="1:11" ht="12.75" customHeight="1">
      <c r="A188" s="463" t="s">
        <v>1694</v>
      </c>
      <c r="B188" s="470">
        <v>4105</v>
      </c>
      <c r="C188" s="551"/>
      <c r="D188" s="466"/>
      <c r="E188" s="561"/>
      <c r="F188" s="466"/>
      <c r="G188" s="466"/>
      <c r="H188" s="468"/>
      <c r="I188" s="468"/>
      <c r="J188" s="468"/>
      <c r="K188" s="468"/>
    </row>
    <row r="189" spans="1:11" ht="12.75" customHeight="1">
      <c r="A189" s="463" t="s">
        <v>1696</v>
      </c>
      <c r="B189" s="470">
        <v>4107</v>
      </c>
      <c r="C189" s="551"/>
      <c r="D189" s="466"/>
      <c r="E189" s="561"/>
      <c r="F189" s="466"/>
      <c r="G189" s="466"/>
      <c r="H189" s="468"/>
      <c r="I189" s="468"/>
      <c r="J189" s="468"/>
      <c r="K189" s="468"/>
    </row>
    <row r="190" spans="1:11" ht="12.75" customHeight="1">
      <c r="A190" s="463" t="s">
        <v>1695</v>
      </c>
      <c r="B190" s="470">
        <v>4199</v>
      </c>
      <c r="C190" s="551"/>
      <c r="D190" s="466"/>
      <c r="E190" s="561"/>
      <c r="F190" s="466"/>
      <c r="G190" s="466"/>
      <c r="H190" s="468"/>
      <c r="I190" s="468"/>
      <c r="J190" s="468"/>
      <c r="K190" s="468"/>
    </row>
    <row r="191" spans="1:11" ht="12.75" customHeight="1" thickBot="1">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c r="A192" s="1620" t="s">
        <v>475</v>
      </c>
      <c r="B192" s="1625"/>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v>1253962</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394683</v>
      </c>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v>25264</v>
      </c>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8" t="s">
        <v>569</v>
      </c>
      <c r="B201" s="1729"/>
      <c r="C201" s="1708">
        <f>SUM(C193:C200)</f>
        <v>1673909</v>
      </c>
      <c r="D201" s="468"/>
      <c r="E201" s="468"/>
      <c r="F201" s="468"/>
      <c r="G201" s="1708">
        <f>SUM(G193:G200)</f>
        <v>0</v>
      </c>
      <c r="H201" s="468"/>
      <c r="I201" s="468"/>
      <c r="J201" s="468"/>
      <c r="K201" s="468"/>
    </row>
    <row r="202" spans="1:11" ht="15.75" customHeight="1" thickTop="1">
      <c r="A202" s="1620" t="s">
        <v>1200</v>
      </c>
      <c r="B202" s="1625"/>
      <c r="C202" s="553"/>
      <c r="D202" s="468"/>
      <c r="E202" s="468"/>
      <c r="F202" s="468"/>
      <c r="G202" s="468"/>
      <c r="H202" s="468"/>
      <c r="I202" s="468"/>
      <c r="J202" s="468"/>
      <c r="K202" s="468"/>
    </row>
    <row r="203" spans="1:11" ht="12.75" customHeight="1">
      <c r="A203" s="463" t="s">
        <v>974</v>
      </c>
      <c r="B203" s="470">
        <v>4300</v>
      </c>
      <c r="C203" s="466">
        <v>1062798</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8" t="s">
        <v>420</v>
      </c>
      <c r="B211" s="1729"/>
      <c r="C211" s="1727">
        <f>SUM(C203:C210)</f>
        <v>1062798</v>
      </c>
      <c r="D211" s="1727">
        <f>SUM(D203:D210)</f>
        <v>0</v>
      </c>
      <c r="E211" s="468"/>
      <c r="F211" s="1727">
        <f>SUM(F203:F210)</f>
        <v>0</v>
      </c>
      <c r="G211" s="1727">
        <f>SUM(G203:G210)</f>
        <v>0</v>
      </c>
      <c r="H211" s="468"/>
      <c r="I211" s="468"/>
      <c r="J211" s="468"/>
      <c r="K211" s="468"/>
    </row>
    <row r="212" spans="1:11" ht="15.75" customHeight="1" thickTop="1">
      <c r="A212" s="1620" t="s">
        <v>1201</v>
      </c>
      <c r="B212" s="1625"/>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1528</v>
      </c>
      <c r="B214" s="470">
        <v>4421</v>
      </c>
      <c r="C214" s="551">
        <v>95881</v>
      </c>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28" t="s">
        <v>944</v>
      </c>
      <c r="B216" s="1729"/>
      <c r="C216" s="1727">
        <f>SUM(C213:C215)</f>
        <v>95881</v>
      </c>
      <c r="D216" s="1727">
        <f>SUM(D213:D215)</f>
        <v>0</v>
      </c>
      <c r="E216" s="468" t="s">
        <v>1231</v>
      </c>
      <c r="F216" s="1727">
        <f>SUM(F213:F215)</f>
        <v>0</v>
      </c>
      <c r="G216" s="1727">
        <f>SUM(G213:G215)</f>
        <v>0</v>
      </c>
      <c r="H216" s="468"/>
      <c r="I216" s="468"/>
      <c r="J216" s="468"/>
      <c r="K216" s="468"/>
    </row>
    <row r="217" spans="1:11" ht="15.75" customHeight="1" thickTop="1">
      <c r="A217" s="1620" t="s">
        <v>1154</v>
      </c>
      <c r="B217" s="1625"/>
      <c r="C217" s="553"/>
      <c r="D217" s="553"/>
      <c r="E217" s="468"/>
      <c r="F217" s="553"/>
      <c r="G217" s="553"/>
      <c r="H217" s="468"/>
      <c r="I217" s="468"/>
      <c r="J217" s="468"/>
      <c r="K217" s="468"/>
    </row>
    <row r="218" spans="1:11" ht="12.75" customHeight="1">
      <c r="A218" s="463" t="s">
        <v>1112</v>
      </c>
      <c r="B218" s="470">
        <v>4600</v>
      </c>
      <c r="C218" s="551"/>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496237</v>
      </c>
      <c r="D220" s="466"/>
      <c r="E220" s="468"/>
      <c r="F220" s="466"/>
      <c r="G220" s="466"/>
      <c r="H220" s="468"/>
      <c r="I220" s="468"/>
      <c r="J220" s="468"/>
      <c r="K220" s="468"/>
    </row>
    <row r="221" spans="1:11" ht="12.75" customHeight="1">
      <c r="A221" s="463" t="s">
        <v>1114</v>
      </c>
      <c r="B221" s="470">
        <v>4625</v>
      </c>
      <c r="C221" s="551">
        <v>3887</v>
      </c>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21" t="s">
        <v>76</v>
      </c>
      <c r="B223" s="557">
        <v>4699</v>
      </c>
      <c r="C223" s="551"/>
      <c r="D223" s="466"/>
      <c r="E223" s="468"/>
      <c r="F223" s="466"/>
      <c r="G223" s="466"/>
      <c r="H223" s="468"/>
      <c r="I223" s="468"/>
      <c r="J223" s="468"/>
      <c r="K223" s="468"/>
    </row>
    <row r="224" spans="1:11" ht="12.75" customHeight="1" thickBot="1">
      <c r="A224" s="1728" t="s">
        <v>467</v>
      </c>
      <c r="B224" s="1729"/>
      <c r="C224" s="1727">
        <f>SUM(C218:C223)</f>
        <v>500124</v>
      </c>
      <c r="D224" s="1727">
        <f>SUM(D218:D223)</f>
        <v>0</v>
      </c>
      <c r="E224" s="468"/>
      <c r="F224" s="1727">
        <f>SUM(F218:F223)</f>
        <v>0</v>
      </c>
      <c r="G224" s="1727">
        <f>SUM(G218:G223)</f>
        <v>0</v>
      </c>
      <c r="H224" s="468"/>
      <c r="I224" s="468"/>
      <c r="J224" s="468"/>
      <c r="K224" s="468"/>
    </row>
    <row r="225" spans="1:11" ht="15.75" customHeight="1" thickTop="1">
      <c r="A225" s="1620" t="s">
        <v>1155</v>
      </c>
      <c r="B225" s="1625"/>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c r="A260" s="1522" t="s">
        <v>1493</v>
      </c>
      <c r="B260" s="588">
        <v>4901</v>
      </c>
      <c r="C260" s="589"/>
      <c r="D260" s="469"/>
      <c r="E260" s="468"/>
      <c r="F260" s="468"/>
      <c r="G260" s="468"/>
      <c r="H260" s="468"/>
      <c r="I260" s="468"/>
      <c r="J260" s="468"/>
      <c r="K260" s="468"/>
    </row>
    <row r="261" spans="1:11" ht="12.75" customHeight="1" thickTop="1" thickBot="1">
      <c r="A261" s="1523"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v>2516</v>
      </c>
      <c r="D263" s="468"/>
      <c r="E263" s="468"/>
      <c r="F263" s="578"/>
      <c r="G263" s="573"/>
      <c r="H263" s="468"/>
      <c r="I263" s="468"/>
      <c r="J263" s="468"/>
      <c r="K263" s="468"/>
    </row>
    <row r="264" spans="1:11" ht="12.75" customHeight="1" thickTop="1" thickBot="1">
      <c r="A264" s="463" t="s">
        <v>1532</v>
      </c>
      <c r="B264" s="470">
        <v>4909</v>
      </c>
      <c r="C264" s="576">
        <v>96637</v>
      </c>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26593</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88388</v>
      </c>
      <c r="D270" s="576"/>
      <c r="E270" s="468"/>
      <c r="F270" s="576"/>
      <c r="G270" s="576"/>
      <c r="H270" s="468"/>
      <c r="I270" s="468"/>
      <c r="J270" s="468"/>
      <c r="K270" s="468"/>
    </row>
    <row r="271" spans="1:11" ht="12.75" customHeight="1" thickTop="1" thickBot="1">
      <c r="A271" s="463" t="s">
        <v>395</v>
      </c>
      <c r="B271" s="470">
        <v>4992</v>
      </c>
      <c r="C271" s="575">
        <v>139605</v>
      </c>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728" t="s">
        <v>1765</v>
      </c>
      <c r="B273" s="1747"/>
      <c r="C273" s="1735">
        <f t="shared" ref="C273:H273" si="10">SUM(C191,C201,C211,C216,C224,C228,C229,C259:C272)</f>
        <v>3686451</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c r="A274" s="1748" t="s">
        <v>1147</v>
      </c>
      <c r="B274" s="1749" t="s">
        <v>915</v>
      </c>
      <c r="C274" s="1735">
        <f>SUM(C178,C184,C273)</f>
        <v>3686451</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c r="A275" s="1750" t="s">
        <v>269</v>
      </c>
      <c r="B275" s="1751"/>
      <c r="C275" s="1735">
        <f t="shared" ref="C275:K275" si="12">SUM(C109,C114,C173,C274)</f>
        <v>26260167</v>
      </c>
      <c r="D275" s="1735">
        <f t="shared" si="12"/>
        <v>1822787</v>
      </c>
      <c r="E275" s="1735">
        <f t="shared" si="12"/>
        <v>3552096</v>
      </c>
      <c r="F275" s="1735">
        <f t="shared" si="12"/>
        <v>1553517</v>
      </c>
      <c r="G275" s="1735">
        <f t="shared" si="12"/>
        <v>1308623</v>
      </c>
      <c r="H275" s="1735">
        <f t="shared" si="12"/>
        <v>342883</v>
      </c>
      <c r="I275" s="1735">
        <f t="shared" si="12"/>
        <v>212230</v>
      </c>
      <c r="J275" s="1735">
        <f t="shared" si="12"/>
        <v>938148</v>
      </c>
      <c r="K275" s="1722">
        <f t="shared" si="12"/>
        <v>2471</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6" activePane="bottomLeft" state="frozen"/>
      <selection sqref="A1:F1"/>
      <selection pane="bottomLeft" sqref="A1:F1"/>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202"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23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242" t="s">
        <v>315</v>
      </c>
      <c r="B3" s="2243"/>
      <c r="C3" s="1568"/>
      <c r="D3" s="1568"/>
      <c r="E3" s="1568"/>
      <c r="F3" s="1568"/>
      <c r="G3" s="1568"/>
      <c r="H3" s="1568"/>
      <c r="I3" s="1568"/>
      <c r="J3" s="1568"/>
      <c r="K3" s="1569"/>
      <c r="L3" s="1570"/>
      <c r="M3" s="610"/>
      <c r="N3" s="610"/>
    </row>
    <row r="4" spans="1:14" s="259" customFormat="1" ht="15.75" customHeight="1">
      <c r="A4" s="1626" t="s">
        <v>46</v>
      </c>
      <c r="B4" s="1627" t="s">
        <v>591</v>
      </c>
      <c r="C4" s="611"/>
      <c r="D4" s="611"/>
      <c r="E4" s="611"/>
      <c r="F4" s="611"/>
      <c r="G4" s="611"/>
      <c r="H4" s="611"/>
      <c r="I4" s="612"/>
      <c r="J4" s="611"/>
      <c r="K4" s="613"/>
      <c r="L4" s="611"/>
      <c r="M4" s="614"/>
      <c r="N4" s="614"/>
    </row>
    <row r="5" spans="1:14">
      <c r="A5" s="1524" t="s">
        <v>1018</v>
      </c>
      <c r="B5" s="615">
        <v>1100</v>
      </c>
      <c r="C5" s="466">
        <v>8925962</v>
      </c>
      <c r="D5" s="466">
        <v>891204</v>
      </c>
      <c r="E5" s="466">
        <v>61650</v>
      </c>
      <c r="F5" s="466">
        <v>128111</v>
      </c>
      <c r="G5" s="466"/>
      <c r="H5" s="466">
        <v>3151</v>
      </c>
      <c r="I5" s="467"/>
      <c r="J5" s="467"/>
      <c r="K5" s="1691">
        <f>SUM(C5:J5)</f>
        <v>10010078</v>
      </c>
      <c r="L5" s="466">
        <v>10256749</v>
      </c>
    </row>
    <row r="6" spans="1:14">
      <c r="A6" s="1524" t="s">
        <v>1508</v>
      </c>
      <c r="B6" s="615" t="s">
        <v>1506</v>
      </c>
      <c r="C6" s="477"/>
      <c r="D6" s="477"/>
      <c r="E6" s="466"/>
      <c r="F6" s="477"/>
      <c r="G6" s="477"/>
      <c r="H6" s="477"/>
      <c r="I6" s="477"/>
      <c r="J6" s="477"/>
      <c r="K6" s="1691">
        <f>SUM(C6,E6)</f>
        <v>0</v>
      </c>
      <c r="L6" s="466">
        <v>0</v>
      </c>
    </row>
    <row r="7" spans="1:14">
      <c r="A7" s="1524" t="s">
        <v>165</v>
      </c>
      <c r="B7" s="615" t="s">
        <v>1024</v>
      </c>
      <c r="C7" s="467">
        <v>213169</v>
      </c>
      <c r="D7" s="467">
        <v>16236</v>
      </c>
      <c r="E7" s="467">
        <v>4718</v>
      </c>
      <c r="F7" s="467">
        <v>11303</v>
      </c>
      <c r="G7" s="467"/>
      <c r="H7" s="467"/>
      <c r="I7" s="467"/>
      <c r="J7" s="467"/>
      <c r="K7" s="1691">
        <f t="shared" ref="K7:K32" si="0">SUM(C7:J7)</f>
        <v>245426</v>
      </c>
      <c r="L7" s="466">
        <v>288242</v>
      </c>
    </row>
    <row r="8" spans="1:14">
      <c r="A8" s="1524" t="s">
        <v>166</v>
      </c>
      <c r="B8" s="615">
        <v>1200</v>
      </c>
      <c r="C8" s="466">
        <v>2678604</v>
      </c>
      <c r="D8" s="466">
        <v>309479</v>
      </c>
      <c r="E8" s="466">
        <v>15316</v>
      </c>
      <c r="F8" s="466">
        <v>16432</v>
      </c>
      <c r="G8" s="466"/>
      <c r="H8" s="466"/>
      <c r="I8" s="467"/>
      <c r="J8" s="467"/>
      <c r="K8" s="1691">
        <f t="shared" si="0"/>
        <v>3019831</v>
      </c>
      <c r="L8" s="466">
        <v>3119247</v>
      </c>
    </row>
    <row r="9" spans="1:14">
      <c r="A9" s="1524" t="s">
        <v>745</v>
      </c>
      <c r="B9" s="615" t="s">
        <v>1025</v>
      </c>
      <c r="C9" s="467"/>
      <c r="D9" s="467"/>
      <c r="E9" s="467"/>
      <c r="F9" s="467"/>
      <c r="G9" s="467"/>
      <c r="H9" s="467"/>
      <c r="I9" s="467"/>
      <c r="J9" s="467"/>
      <c r="K9" s="1691">
        <f t="shared" si="0"/>
        <v>0</v>
      </c>
      <c r="L9" s="466">
        <v>0</v>
      </c>
    </row>
    <row r="10" spans="1:14">
      <c r="A10" s="1524" t="s">
        <v>746</v>
      </c>
      <c r="B10" s="615">
        <v>1250</v>
      </c>
      <c r="C10" s="466">
        <v>423519</v>
      </c>
      <c r="D10" s="466">
        <v>86358</v>
      </c>
      <c r="E10" s="466">
        <v>48050</v>
      </c>
      <c r="F10" s="466">
        <v>294710</v>
      </c>
      <c r="G10" s="466"/>
      <c r="H10" s="466"/>
      <c r="I10" s="467"/>
      <c r="J10" s="467"/>
      <c r="K10" s="1691">
        <f t="shared" si="0"/>
        <v>852637</v>
      </c>
      <c r="L10" s="466">
        <v>1053630</v>
      </c>
    </row>
    <row r="11" spans="1:14">
      <c r="A11" s="1524" t="s">
        <v>1192</v>
      </c>
      <c r="B11" s="615" t="s">
        <v>163</v>
      </c>
      <c r="C11" s="467"/>
      <c r="D11" s="467"/>
      <c r="E11" s="467"/>
      <c r="F11" s="467"/>
      <c r="G11" s="467"/>
      <c r="H11" s="467"/>
      <c r="I11" s="467"/>
      <c r="J11" s="467"/>
      <c r="K11" s="1691">
        <f t="shared" si="0"/>
        <v>0</v>
      </c>
      <c r="L11" s="466">
        <v>0</v>
      </c>
    </row>
    <row r="12" spans="1:14">
      <c r="A12" s="1524" t="s">
        <v>1019</v>
      </c>
      <c r="B12" s="615">
        <v>1300</v>
      </c>
      <c r="C12" s="466"/>
      <c r="D12" s="466"/>
      <c r="E12" s="466"/>
      <c r="F12" s="466"/>
      <c r="G12" s="466"/>
      <c r="H12" s="466"/>
      <c r="I12" s="467"/>
      <c r="J12" s="467"/>
      <c r="K12" s="1691">
        <f t="shared" si="0"/>
        <v>0</v>
      </c>
      <c r="L12" s="466">
        <v>0</v>
      </c>
    </row>
    <row r="13" spans="1:14">
      <c r="A13" s="1524" t="s">
        <v>747</v>
      </c>
      <c r="B13" s="615">
        <v>1400</v>
      </c>
      <c r="C13" s="466"/>
      <c r="D13" s="466"/>
      <c r="E13" s="466"/>
      <c r="F13" s="466"/>
      <c r="G13" s="466"/>
      <c r="H13" s="466"/>
      <c r="I13" s="467"/>
      <c r="J13" s="467"/>
      <c r="K13" s="1691">
        <f t="shared" si="0"/>
        <v>0</v>
      </c>
      <c r="L13" s="466">
        <v>0</v>
      </c>
    </row>
    <row r="14" spans="1:14">
      <c r="A14" s="1524" t="s">
        <v>1020</v>
      </c>
      <c r="B14" s="615">
        <v>1500</v>
      </c>
      <c r="C14" s="466">
        <v>97433</v>
      </c>
      <c r="D14" s="466">
        <v>2272</v>
      </c>
      <c r="E14" s="466">
        <v>3912</v>
      </c>
      <c r="F14" s="466">
        <v>10749</v>
      </c>
      <c r="G14" s="466"/>
      <c r="H14" s="466">
        <v>1200</v>
      </c>
      <c r="I14" s="467"/>
      <c r="J14" s="467"/>
      <c r="K14" s="1691">
        <f t="shared" si="0"/>
        <v>115566</v>
      </c>
      <c r="L14" s="466">
        <v>120245</v>
      </c>
    </row>
    <row r="15" spans="1:14">
      <c r="A15" s="1524" t="s">
        <v>1021</v>
      </c>
      <c r="B15" s="615">
        <v>1600</v>
      </c>
      <c r="C15" s="466"/>
      <c r="D15" s="466"/>
      <c r="E15" s="466"/>
      <c r="F15" s="466"/>
      <c r="G15" s="466"/>
      <c r="H15" s="466"/>
      <c r="I15" s="467"/>
      <c r="J15" s="467"/>
      <c r="K15" s="1691">
        <f t="shared" si="0"/>
        <v>0</v>
      </c>
      <c r="L15" s="466">
        <v>0</v>
      </c>
    </row>
    <row r="16" spans="1:14">
      <c r="A16" s="1524" t="s">
        <v>1044</v>
      </c>
      <c r="B16" s="615" t="s">
        <v>444</v>
      </c>
      <c r="C16" s="466"/>
      <c r="D16" s="466"/>
      <c r="E16" s="466">
        <v>1148</v>
      </c>
      <c r="F16" s="466"/>
      <c r="G16" s="466"/>
      <c r="H16" s="466">
        <v>3400</v>
      </c>
      <c r="I16" s="467"/>
      <c r="J16" s="467"/>
      <c r="K16" s="1691">
        <f t="shared" si="0"/>
        <v>4548</v>
      </c>
      <c r="L16" s="466">
        <v>11952</v>
      </c>
    </row>
    <row r="17" spans="1:12">
      <c r="A17" s="1524" t="s">
        <v>748</v>
      </c>
      <c r="B17" s="615" t="s">
        <v>164</v>
      </c>
      <c r="C17" s="467"/>
      <c r="D17" s="467"/>
      <c r="E17" s="467"/>
      <c r="F17" s="467"/>
      <c r="G17" s="467"/>
      <c r="H17" s="467"/>
      <c r="I17" s="467"/>
      <c r="J17" s="467"/>
      <c r="K17" s="1691">
        <f t="shared" si="0"/>
        <v>0</v>
      </c>
      <c r="L17" s="466">
        <v>0</v>
      </c>
    </row>
    <row r="18" spans="1:12">
      <c r="A18" s="1524" t="s">
        <v>1148</v>
      </c>
      <c r="B18" s="615">
        <v>1800</v>
      </c>
      <c r="C18" s="466">
        <v>797634</v>
      </c>
      <c r="D18" s="466">
        <v>82040</v>
      </c>
      <c r="E18" s="466">
        <v>8505</v>
      </c>
      <c r="F18" s="466">
        <v>13904</v>
      </c>
      <c r="G18" s="466"/>
      <c r="H18" s="466"/>
      <c r="I18" s="467"/>
      <c r="J18" s="467"/>
      <c r="K18" s="1691">
        <f t="shared" si="0"/>
        <v>902083</v>
      </c>
      <c r="L18" s="466">
        <v>958608</v>
      </c>
    </row>
    <row r="19" spans="1:12">
      <c r="A19" s="1524" t="s">
        <v>136</v>
      </c>
      <c r="B19" s="615">
        <v>1900</v>
      </c>
      <c r="C19" s="466"/>
      <c r="D19" s="466"/>
      <c r="E19" s="466"/>
      <c r="F19" s="466"/>
      <c r="G19" s="466"/>
      <c r="H19" s="466"/>
      <c r="I19" s="467"/>
      <c r="J19" s="467"/>
      <c r="K19" s="1691">
        <f t="shared" si="0"/>
        <v>0</v>
      </c>
      <c r="L19" s="466">
        <v>0</v>
      </c>
    </row>
    <row r="20" spans="1:12">
      <c r="A20" s="1525" t="s">
        <v>762</v>
      </c>
      <c r="B20" s="603" t="s">
        <v>749</v>
      </c>
      <c r="C20" s="477"/>
      <c r="D20" s="477"/>
      <c r="E20" s="477"/>
      <c r="F20" s="477"/>
      <c r="G20" s="477"/>
      <c r="H20" s="474"/>
      <c r="I20" s="617"/>
      <c r="J20" s="475"/>
      <c r="K20" s="1691">
        <f t="shared" si="0"/>
        <v>0</v>
      </c>
      <c r="L20" s="471">
        <v>0</v>
      </c>
    </row>
    <row r="21" spans="1:12">
      <c r="A21" s="1525" t="s">
        <v>763</v>
      </c>
      <c r="B21" s="603" t="s">
        <v>750</v>
      </c>
      <c r="C21" s="477"/>
      <c r="D21" s="477"/>
      <c r="E21" s="477"/>
      <c r="F21" s="477"/>
      <c r="G21" s="477"/>
      <c r="H21" s="474"/>
      <c r="I21" s="617"/>
      <c r="J21" s="477"/>
      <c r="K21" s="1691">
        <f t="shared" si="0"/>
        <v>0</v>
      </c>
      <c r="L21" s="471">
        <v>0</v>
      </c>
    </row>
    <row r="22" spans="1:12">
      <c r="A22" s="1525" t="s">
        <v>764</v>
      </c>
      <c r="B22" s="603" t="s">
        <v>751</v>
      </c>
      <c r="C22" s="477"/>
      <c r="D22" s="477"/>
      <c r="E22" s="477"/>
      <c r="F22" s="477"/>
      <c r="G22" s="477"/>
      <c r="H22" s="474"/>
      <c r="I22" s="617"/>
      <c r="J22" s="477"/>
      <c r="K22" s="1691">
        <f t="shared" si="0"/>
        <v>0</v>
      </c>
      <c r="L22" s="471">
        <v>0</v>
      </c>
    </row>
    <row r="23" spans="1:12">
      <c r="A23" s="1525" t="s">
        <v>765</v>
      </c>
      <c r="B23" s="603" t="s">
        <v>752</v>
      </c>
      <c r="C23" s="477"/>
      <c r="D23" s="477"/>
      <c r="E23" s="477"/>
      <c r="F23" s="477"/>
      <c r="G23" s="477"/>
      <c r="H23" s="474"/>
      <c r="I23" s="617"/>
      <c r="J23" s="477"/>
      <c r="K23" s="1691">
        <f t="shared" si="0"/>
        <v>0</v>
      </c>
      <c r="L23" s="471">
        <v>0</v>
      </c>
    </row>
    <row r="24" spans="1:12" ht="12.75" customHeight="1">
      <c r="A24" s="1525" t="s">
        <v>766</v>
      </c>
      <c r="B24" s="603" t="s">
        <v>753</v>
      </c>
      <c r="C24" s="477"/>
      <c r="D24" s="477"/>
      <c r="E24" s="477"/>
      <c r="F24" s="477"/>
      <c r="G24" s="477"/>
      <c r="H24" s="474"/>
      <c r="I24" s="617"/>
      <c r="J24" s="477"/>
      <c r="K24" s="1691">
        <f t="shared" si="0"/>
        <v>0</v>
      </c>
      <c r="L24" s="471">
        <v>0</v>
      </c>
    </row>
    <row r="25" spans="1:12" ht="12.75" customHeight="1">
      <c r="A25" s="1525" t="s">
        <v>835</v>
      </c>
      <c r="B25" s="603" t="s">
        <v>754</v>
      </c>
      <c r="C25" s="477"/>
      <c r="D25" s="477"/>
      <c r="E25" s="477"/>
      <c r="F25" s="477"/>
      <c r="G25" s="477"/>
      <c r="H25" s="474"/>
      <c r="I25" s="617"/>
      <c r="J25" s="477"/>
      <c r="K25" s="1691">
        <f t="shared" si="0"/>
        <v>0</v>
      </c>
      <c r="L25" s="471">
        <v>0</v>
      </c>
    </row>
    <row r="26" spans="1:12">
      <c r="A26" s="1525" t="s">
        <v>643</v>
      </c>
      <c r="B26" s="603" t="s">
        <v>755</v>
      </c>
      <c r="C26" s="477"/>
      <c r="D26" s="477"/>
      <c r="E26" s="477"/>
      <c r="F26" s="477"/>
      <c r="G26" s="477"/>
      <c r="H26" s="474"/>
      <c r="I26" s="617"/>
      <c r="J26" s="477"/>
      <c r="K26" s="1691">
        <f t="shared" si="0"/>
        <v>0</v>
      </c>
      <c r="L26" s="471">
        <v>0</v>
      </c>
    </row>
    <row r="27" spans="1:12">
      <c r="A27" s="1525" t="s">
        <v>644</v>
      </c>
      <c r="B27" s="603" t="s">
        <v>756</v>
      </c>
      <c r="C27" s="477"/>
      <c r="D27" s="477"/>
      <c r="E27" s="477"/>
      <c r="F27" s="477"/>
      <c r="G27" s="477"/>
      <c r="H27" s="474"/>
      <c r="I27" s="617"/>
      <c r="J27" s="477"/>
      <c r="K27" s="1691">
        <f t="shared" si="0"/>
        <v>0</v>
      </c>
      <c r="L27" s="471">
        <v>0</v>
      </c>
    </row>
    <row r="28" spans="1:12">
      <c r="A28" s="1525" t="s">
        <v>152</v>
      </c>
      <c r="B28" s="603" t="s">
        <v>757</v>
      </c>
      <c r="C28" s="477"/>
      <c r="D28" s="477"/>
      <c r="E28" s="477"/>
      <c r="F28" s="477"/>
      <c r="G28" s="477"/>
      <c r="H28" s="474"/>
      <c r="I28" s="617"/>
      <c r="J28" s="477"/>
      <c r="K28" s="1691">
        <f t="shared" si="0"/>
        <v>0</v>
      </c>
      <c r="L28" s="471">
        <v>0</v>
      </c>
    </row>
    <row r="29" spans="1:12">
      <c r="A29" s="1525" t="s">
        <v>153</v>
      </c>
      <c r="B29" s="603" t="s">
        <v>758</v>
      </c>
      <c r="C29" s="477"/>
      <c r="D29" s="477"/>
      <c r="E29" s="477"/>
      <c r="F29" s="477"/>
      <c r="G29" s="477"/>
      <c r="H29" s="474"/>
      <c r="I29" s="617"/>
      <c r="J29" s="477"/>
      <c r="K29" s="1691">
        <f t="shared" si="0"/>
        <v>0</v>
      </c>
      <c r="L29" s="471">
        <v>0</v>
      </c>
    </row>
    <row r="30" spans="1:12">
      <c r="A30" s="1525" t="s">
        <v>154</v>
      </c>
      <c r="B30" s="603" t="s">
        <v>759</v>
      </c>
      <c r="C30" s="477"/>
      <c r="D30" s="477"/>
      <c r="E30" s="477"/>
      <c r="F30" s="477"/>
      <c r="G30" s="477"/>
      <c r="H30" s="474"/>
      <c r="I30" s="617"/>
      <c r="J30" s="477"/>
      <c r="K30" s="1691">
        <f t="shared" si="0"/>
        <v>0</v>
      </c>
      <c r="L30" s="471">
        <v>0</v>
      </c>
    </row>
    <row r="31" spans="1:12">
      <c r="A31" s="1525" t="s">
        <v>155</v>
      </c>
      <c r="B31" s="603" t="s">
        <v>760</v>
      </c>
      <c r="C31" s="477"/>
      <c r="D31" s="477"/>
      <c r="E31" s="477"/>
      <c r="F31" s="477"/>
      <c r="G31" s="477"/>
      <c r="H31" s="474"/>
      <c r="I31" s="617"/>
      <c r="J31" s="477"/>
      <c r="K31" s="1691">
        <f t="shared" si="0"/>
        <v>0</v>
      </c>
      <c r="L31" s="471">
        <v>0</v>
      </c>
    </row>
    <row r="32" spans="1:12">
      <c r="A32" s="1526" t="s">
        <v>1191</v>
      </c>
      <c r="B32" s="615" t="s">
        <v>761</v>
      </c>
      <c r="C32" s="477"/>
      <c r="D32" s="477"/>
      <c r="E32" s="477"/>
      <c r="F32" s="477"/>
      <c r="G32" s="477"/>
      <c r="H32" s="474"/>
      <c r="I32" s="617"/>
      <c r="J32" s="480"/>
      <c r="K32" s="1691">
        <f t="shared" si="0"/>
        <v>0</v>
      </c>
      <c r="L32" s="471">
        <v>0</v>
      </c>
    </row>
    <row r="33" spans="1:14" ht="12.75" customHeight="1" thickBot="1">
      <c r="A33" s="1688" t="s">
        <v>1767</v>
      </c>
      <c r="B33" s="1689" t="s">
        <v>591</v>
      </c>
      <c r="C33" s="1690">
        <f>SUM(C5:C32)</f>
        <v>13136321</v>
      </c>
      <c r="D33" s="1690">
        <f t="shared" ref="D33:L33" si="1">SUM(D5:D32)</f>
        <v>1387589</v>
      </c>
      <c r="E33" s="1690">
        <f t="shared" si="1"/>
        <v>143299</v>
      </c>
      <c r="F33" s="1690">
        <f t="shared" si="1"/>
        <v>475209</v>
      </c>
      <c r="G33" s="1690">
        <f t="shared" si="1"/>
        <v>0</v>
      </c>
      <c r="H33" s="1690">
        <f t="shared" si="1"/>
        <v>7751</v>
      </c>
      <c r="I33" s="1690">
        <f t="shared" si="1"/>
        <v>0</v>
      </c>
      <c r="J33" s="1690">
        <f t="shared" si="1"/>
        <v>0</v>
      </c>
      <c r="K33" s="1690">
        <f t="shared" si="1"/>
        <v>15150169</v>
      </c>
      <c r="L33" s="1690">
        <f t="shared" si="1"/>
        <v>15808673</v>
      </c>
    </row>
    <row r="34" spans="1:14" s="621" customFormat="1" ht="15.75" customHeight="1" thickTop="1">
      <c r="A34" s="1628" t="s">
        <v>48</v>
      </c>
      <c r="B34" s="1629"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4" t="s">
        <v>1150</v>
      </c>
      <c r="B36" s="615">
        <v>2110</v>
      </c>
      <c r="C36" s="481">
        <v>211417</v>
      </c>
      <c r="D36" s="481">
        <v>27182</v>
      </c>
      <c r="E36" s="481">
        <v>353</v>
      </c>
      <c r="F36" s="481">
        <v>492</v>
      </c>
      <c r="G36" s="481"/>
      <c r="H36" s="481"/>
      <c r="I36" s="467"/>
      <c r="J36" s="467"/>
      <c r="K36" s="1691">
        <f t="shared" ref="K36:K41" si="2">SUM(C36:J36)</f>
        <v>239444</v>
      </c>
      <c r="L36" s="466">
        <v>267636</v>
      </c>
    </row>
    <row r="37" spans="1:14">
      <c r="A37" s="1524" t="s">
        <v>1151</v>
      </c>
      <c r="B37" s="615">
        <v>2120</v>
      </c>
      <c r="C37" s="466">
        <v>637610</v>
      </c>
      <c r="D37" s="466">
        <v>60044</v>
      </c>
      <c r="E37" s="466">
        <v>362</v>
      </c>
      <c r="F37" s="466">
        <v>138</v>
      </c>
      <c r="G37" s="466"/>
      <c r="H37" s="466"/>
      <c r="I37" s="467"/>
      <c r="J37" s="467"/>
      <c r="K37" s="1691">
        <f t="shared" si="2"/>
        <v>698154</v>
      </c>
      <c r="L37" s="466">
        <v>712172</v>
      </c>
    </row>
    <row r="38" spans="1:14">
      <c r="A38" s="1524" t="s">
        <v>207</v>
      </c>
      <c r="B38" s="615">
        <v>2130</v>
      </c>
      <c r="C38" s="466">
        <v>178759</v>
      </c>
      <c r="D38" s="466">
        <v>25961</v>
      </c>
      <c r="E38" s="466">
        <v>271</v>
      </c>
      <c r="F38" s="466">
        <v>5380</v>
      </c>
      <c r="G38" s="466"/>
      <c r="H38" s="466"/>
      <c r="I38" s="467"/>
      <c r="J38" s="467"/>
      <c r="K38" s="1691">
        <f t="shared" si="2"/>
        <v>210371</v>
      </c>
      <c r="L38" s="466">
        <v>212331</v>
      </c>
    </row>
    <row r="39" spans="1:14">
      <c r="A39" s="1524" t="s">
        <v>208</v>
      </c>
      <c r="B39" s="615">
        <v>2140</v>
      </c>
      <c r="C39" s="466">
        <v>118197</v>
      </c>
      <c r="D39" s="466">
        <v>12943</v>
      </c>
      <c r="E39" s="466">
        <v>442</v>
      </c>
      <c r="F39" s="466">
        <v>177</v>
      </c>
      <c r="G39" s="466"/>
      <c r="H39" s="466"/>
      <c r="I39" s="467"/>
      <c r="J39" s="467"/>
      <c r="K39" s="1691">
        <f t="shared" si="2"/>
        <v>131759</v>
      </c>
      <c r="L39" s="466">
        <v>119717</v>
      </c>
    </row>
    <row r="40" spans="1:14">
      <c r="A40" s="1524" t="s">
        <v>209</v>
      </c>
      <c r="B40" s="615">
        <v>2150</v>
      </c>
      <c r="C40" s="466">
        <v>373959</v>
      </c>
      <c r="D40" s="466">
        <v>42509</v>
      </c>
      <c r="E40" s="466">
        <v>12435</v>
      </c>
      <c r="F40" s="466">
        <v>523</v>
      </c>
      <c r="G40" s="466"/>
      <c r="H40" s="466"/>
      <c r="I40" s="467"/>
      <c r="J40" s="467"/>
      <c r="K40" s="1691">
        <f t="shared" si="2"/>
        <v>429426</v>
      </c>
      <c r="L40" s="466">
        <v>477262</v>
      </c>
    </row>
    <row r="41" spans="1:14">
      <c r="A41" s="1524" t="s">
        <v>1768</v>
      </c>
      <c r="B41" s="615">
        <v>2190</v>
      </c>
      <c r="C41" s="466">
        <v>180671</v>
      </c>
      <c r="D41" s="466">
        <v>1313</v>
      </c>
      <c r="E41" s="466"/>
      <c r="F41" s="466"/>
      <c r="G41" s="466"/>
      <c r="H41" s="466"/>
      <c r="I41" s="467"/>
      <c r="J41" s="467"/>
      <c r="K41" s="1691">
        <f t="shared" si="2"/>
        <v>181984</v>
      </c>
      <c r="L41" s="466">
        <v>183460</v>
      </c>
    </row>
    <row r="42" spans="1:14" ht="12.75" customHeight="1" thickBot="1">
      <c r="A42" s="1688" t="s">
        <v>581</v>
      </c>
      <c r="B42" s="1689" t="s">
        <v>740</v>
      </c>
      <c r="C42" s="1690">
        <f>SUM(C36:C41)</f>
        <v>1700613</v>
      </c>
      <c r="D42" s="1690">
        <f t="shared" ref="D42:L42" si="3">SUM(D36:D41)</f>
        <v>169952</v>
      </c>
      <c r="E42" s="1690">
        <f t="shared" si="3"/>
        <v>13863</v>
      </c>
      <c r="F42" s="1690">
        <f t="shared" si="3"/>
        <v>6710</v>
      </c>
      <c r="G42" s="1690">
        <f t="shared" si="3"/>
        <v>0</v>
      </c>
      <c r="H42" s="1690">
        <f t="shared" si="3"/>
        <v>0</v>
      </c>
      <c r="I42" s="1690">
        <f t="shared" si="3"/>
        <v>0</v>
      </c>
      <c r="J42" s="1690">
        <f t="shared" si="3"/>
        <v>0</v>
      </c>
      <c r="K42" s="1690">
        <f t="shared" si="3"/>
        <v>1891138</v>
      </c>
      <c r="L42" s="1690">
        <f t="shared" si="3"/>
        <v>1972578</v>
      </c>
    </row>
    <row r="43" spans="1:14" ht="15.75" customHeight="1" thickTop="1">
      <c r="A43" s="625" t="s">
        <v>613</v>
      </c>
      <c r="B43" s="626"/>
      <c r="C43" s="627"/>
      <c r="D43" s="627"/>
      <c r="E43" s="627"/>
      <c r="F43" s="627"/>
      <c r="G43" s="627"/>
      <c r="H43" s="627"/>
      <c r="I43" s="617"/>
      <c r="J43" s="617"/>
      <c r="K43" s="627"/>
      <c r="L43" s="627"/>
    </row>
    <row r="44" spans="1:14">
      <c r="A44" s="1524" t="s">
        <v>868</v>
      </c>
      <c r="B44" s="615">
        <v>2210</v>
      </c>
      <c r="C44" s="481">
        <v>355402</v>
      </c>
      <c r="D44" s="481">
        <v>40530</v>
      </c>
      <c r="E44" s="481">
        <v>268440</v>
      </c>
      <c r="F44" s="481">
        <v>12552</v>
      </c>
      <c r="G44" s="481"/>
      <c r="H44" s="481">
        <v>185</v>
      </c>
      <c r="I44" s="467"/>
      <c r="J44" s="467"/>
      <c r="K44" s="1692">
        <f>SUM(C44:J44)</f>
        <v>677109</v>
      </c>
      <c r="L44" s="481">
        <v>870089</v>
      </c>
    </row>
    <row r="45" spans="1:14">
      <c r="A45" s="1524" t="s">
        <v>869</v>
      </c>
      <c r="B45" s="615">
        <v>2220</v>
      </c>
      <c r="C45" s="466">
        <v>15013</v>
      </c>
      <c r="D45" s="466">
        <v>25</v>
      </c>
      <c r="E45" s="466"/>
      <c r="F45" s="466">
        <v>52060</v>
      </c>
      <c r="G45" s="466"/>
      <c r="H45" s="466"/>
      <c r="I45" s="467"/>
      <c r="J45" s="467"/>
      <c r="K45" s="1692">
        <f>SUM(C45:J45)</f>
        <v>67098</v>
      </c>
      <c r="L45" s="466">
        <v>78643</v>
      </c>
    </row>
    <row r="46" spans="1:14">
      <c r="A46" s="1524" t="s">
        <v>870</v>
      </c>
      <c r="B46" s="615">
        <v>2230</v>
      </c>
      <c r="C46" s="466">
        <v>41188</v>
      </c>
      <c r="D46" s="466">
        <v>106</v>
      </c>
      <c r="E46" s="466">
        <v>51856</v>
      </c>
      <c r="F46" s="466">
        <v>1914</v>
      </c>
      <c r="G46" s="466"/>
      <c r="H46" s="466"/>
      <c r="I46" s="467"/>
      <c r="J46" s="467"/>
      <c r="K46" s="1692">
        <f>SUM(C46:J46)</f>
        <v>95064</v>
      </c>
      <c r="L46" s="466">
        <v>79612</v>
      </c>
    </row>
    <row r="47" spans="1:14" ht="12.75" customHeight="1" thickBot="1">
      <c r="A47" s="1688" t="s">
        <v>582</v>
      </c>
      <c r="B47" s="1689" t="s">
        <v>32</v>
      </c>
      <c r="C47" s="1690">
        <f>SUM(C44:C46)</f>
        <v>411603</v>
      </c>
      <c r="D47" s="1690">
        <f t="shared" ref="D47:K47" si="4">SUM(D44:D46)</f>
        <v>40661</v>
      </c>
      <c r="E47" s="1690">
        <f t="shared" si="4"/>
        <v>320296</v>
      </c>
      <c r="F47" s="1690">
        <f t="shared" si="4"/>
        <v>66526</v>
      </c>
      <c r="G47" s="1690">
        <f t="shared" si="4"/>
        <v>0</v>
      </c>
      <c r="H47" s="1690">
        <f t="shared" si="4"/>
        <v>185</v>
      </c>
      <c r="I47" s="1690">
        <f t="shared" si="4"/>
        <v>0</v>
      </c>
      <c r="J47" s="1690">
        <f t="shared" si="4"/>
        <v>0</v>
      </c>
      <c r="K47" s="1690">
        <f t="shared" si="4"/>
        <v>839271</v>
      </c>
      <c r="L47" s="1690">
        <f>SUM(L44:L46)</f>
        <v>1028344</v>
      </c>
    </row>
    <row r="48" spans="1:14" ht="15.75" customHeight="1" thickTop="1">
      <c r="A48" s="625" t="s">
        <v>631</v>
      </c>
      <c r="B48" s="626"/>
      <c r="C48" s="627"/>
      <c r="D48" s="627"/>
      <c r="E48" s="627"/>
      <c r="F48" s="627"/>
      <c r="G48" s="627"/>
      <c r="H48" s="627"/>
      <c r="I48" s="617"/>
      <c r="J48" s="617"/>
      <c r="K48" s="627"/>
      <c r="L48" s="627"/>
    </row>
    <row r="49" spans="1:14">
      <c r="A49" s="1524" t="s">
        <v>871</v>
      </c>
      <c r="B49" s="615">
        <v>2310</v>
      </c>
      <c r="C49" s="481">
        <v>69698</v>
      </c>
      <c r="D49" s="481">
        <v>6596</v>
      </c>
      <c r="E49" s="481">
        <v>181721</v>
      </c>
      <c r="F49" s="481">
        <v>15891</v>
      </c>
      <c r="G49" s="481"/>
      <c r="H49" s="481">
        <v>14809</v>
      </c>
      <c r="I49" s="467"/>
      <c r="J49" s="467"/>
      <c r="K49" s="1692">
        <f>SUM(C49:J49)</f>
        <v>288715</v>
      </c>
      <c r="L49" s="481">
        <v>306990</v>
      </c>
    </row>
    <row r="50" spans="1:14">
      <c r="A50" s="1524" t="s">
        <v>872</v>
      </c>
      <c r="B50" s="615">
        <v>2320</v>
      </c>
      <c r="C50" s="466">
        <v>144830</v>
      </c>
      <c r="D50" s="466">
        <v>44191</v>
      </c>
      <c r="E50" s="466">
        <v>4896</v>
      </c>
      <c r="F50" s="466">
        <v>3189</v>
      </c>
      <c r="G50" s="466"/>
      <c r="H50" s="466">
        <v>3534</v>
      </c>
      <c r="I50" s="467"/>
      <c r="J50" s="467"/>
      <c r="K50" s="1692">
        <f>SUM(C50:J50)</f>
        <v>200640</v>
      </c>
      <c r="L50" s="466">
        <v>200649</v>
      </c>
    </row>
    <row r="51" spans="1:14">
      <c r="A51" s="1524" t="s">
        <v>44</v>
      </c>
      <c r="B51" s="615">
        <v>2330</v>
      </c>
      <c r="C51" s="466">
        <v>211178</v>
      </c>
      <c r="D51" s="466">
        <v>28896</v>
      </c>
      <c r="E51" s="466">
        <v>465</v>
      </c>
      <c r="F51" s="466">
        <v>629</v>
      </c>
      <c r="G51" s="466"/>
      <c r="H51" s="466"/>
      <c r="I51" s="467"/>
      <c r="J51" s="467"/>
      <c r="K51" s="1692">
        <f>SUM(C51:J51)</f>
        <v>241168</v>
      </c>
      <c r="L51" s="466">
        <v>246655</v>
      </c>
    </row>
    <row r="52" spans="1:14" ht="22.5">
      <c r="A52" s="1525" t="s">
        <v>316</v>
      </c>
      <c r="B52" s="628" t="s">
        <v>384</v>
      </c>
      <c r="C52" s="474"/>
      <c r="D52" s="474"/>
      <c r="E52" s="474"/>
      <c r="F52" s="474"/>
      <c r="G52" s="474"/>
      <c r="H52" s="474"/>
      <c r="I52" s="474"/>
      <c r="J52" s="474"/>
      <c r="K52" s="1692">
        <f>SUM(C52:J52)</f>
        <v>0</v>
      </c>
      <c r="L52" s="474">
        <v>0</v>
      </c>
    </row>
    <row r="53" spans="1:14" ht="12.75" customHeight="1" thickBot="1">
      <c r="A53" s="1688" t="s">
        <v>741</v>
      </c>
      <c r="B53" s="1689" t="s">
        <v>33</v>
      </c>
      <c r="C53" s="1690">
        <f>SUM(C49:C52)</f>
        <v>425706</v>
      </c>
      <c r="D53" s="1690">
        <f t="shared" ref="D53:L53" si="5">SUM(D49:D52)</f>
        <v>79683</v>
      </c>
      <c r="E53" s="1690">
        <f t="shared" si="5"/>
        <v>187082</v>
      </c>
      <c r="F53" s="1690">
        <f t="shared" si="5"/>
        <v>19709</v>
      </c>
      <c r="G53" s="1690">
        <f t="shared" si="5"/>
        <v>0</v>
      </c>
      <c r="H53" s="1690">
        <f t="shared" si="5"/>
        <v>18343</v>
      </c>
      <c r="I53" s="1690">
        <f t="shared" si="5"/>
        <v>0</v>
      </c>
      <c r="J53" s="1690">
        <f t="shared" si="5"/>
        <v>0</v>
      </c>
      <c r="K53" s="1690">
        <f t="shared" si="5"/>
        <v>730523</v>
      </c>
      <c r="L53" s="1690">
        <f t="shared" si="5"/>
        <v>754294</v>
      </c>
    </row>
    <row r="54" spans="1:14" ht="15.75" customHeight="1" thickTop="1">
      <c r="A54" s="625" t="s">
        <v>632</v>
      </c>
      <c r="B54" s="626"/>
      <c r="C54" s="627"/>
      <c r="D54" s="627"/>
      <c r="E54" s="627"/>
      <c r="F54" s="627"/>
      <c r="G54" s="627"/>
      <c r="H54" s="627"/>
      <c r="I54" s="617"/>
      <c r="J54" s="617"/>
      <c r="K54" s="627"/>
      <c r="L54" s="627"/>
    </row>
    <row r="55" spans="1:14">
      <c r="A55" s="1524" t="s">
        <v>1127</v>
      </c>
      <c r="B55" s="615">
        <v>2410</v>
      </c>
      <c r="C55" s="481">
        <v>1216614</v>
      </c>
      <c r="D55" s="481">
        <v>201964</v>
      </c>
      <c r="E55" s="481">
        <v>5994</v>
      </c>
      <c r="F55" s="481">
        <v>14840</v>
      </c>
      <c r="G55" s="481"/>
      <c r="H55" s="481">
        <v>2539</v>
      </c>
      <c r="I55" s="467"/>
      <c r="J55" s="467"/>
      <c r="K55" s="1692">
        <f>SUM(C55:J55)</f>
        <v>1441951</v>
      </c>
      <c r="L55" s="481">
        <v>1491802</v>
      </c>
    </row>
    <row r="56" spans="1:14" ht="12.75" customHeight="1">
      <c r="A56" s="1528" t="s">
        <v>394</v>
      </c>
      <c r="B56" s="629">
        <v>2490</v>
      </c>
      <c r="C56" s="466"/>
      <c r="D56" s="466"/>
      <c r="E56" s="466"/>
      <c r="F56" s="466"/>
      <c r="G56" s="466"/>
      <c r="H56" s="466"/>
      <c r="I56" s="467"/>
      <c r="J56" s="467"/>
      <c r="K56" s="1692">
        <f>SUM(C56:J56)</f>
        <v>0</v>
      </c>
      <c r="L56" s="466">
        <v>0</v>
      </c>
    </row>
    <row r="57" spans="1:14" s="343" customFormat="1" ht="12.75" customHeight="1" thickBot="1">
      <c r="A57" s="1688" t="s">
        <v>281</v>
      </c>
      <c r="B57" s="1693" t="s">
        <v>34</v>
      </c>
      <c r="C57" s="1694">
        <f>SUM(C55:C56)</f>
        <v>1216614</v>
      </c>
      <c r="D57" s="1694">
        <f t="shared" ref="D57:K57" si="6">SUM(D55:D56)</f>
        <v>201964</v>
      </c>
      <c r="E57" s="1694">
        <f t="shared" si="6"/>
        <v>5994</v>
      </c>
      <c r="F57" s="1694">
        <f t="shared" si="6"/>
        <v>14840</v>
      </c>
      <c r="G57" s="1694">
        <f t="shared" si="6"/>
        <v>0</v>
      </c>
      <c r="H57" s="1694">
        <f t="shared" si="6"/>
        <v>2539</v>
      </c>
      <c r="I57" s="1694">
        <f t="shared" si="6"/>
        <v>0</v>
      </c>
      <c r="J57" s="1694">
        <f t="shared" si="6"/>
        <v>0</v>
      </c>
      <c r="K57" s="1694">
        <f t="shared" si="6"/>
        <v>1441951</v>
      </c>
      <c r="L57" s="1690">
        <f>SUM(L55:L56)</f>
        <v>1491802</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4" t="s">
        <v>1128</v>
      </c>
      <c r="B59" s="615">
        <v>2510</v>
      </c>
      <c r="C59" s="481">
        <v>124467</v>
      </c>
      <c r="D59" s="481">
        <v>10367</v>
      </c>
      <c r="E59" s="481">
        <v>1469</v>
      </c>
      <c r="F59" s="481">
        <v>689</v>
      </c>
      <c r="G59" s="481"/>
      <c r="H59" s="481"/>
      <c r="I59" s="467"/>
      <c r="J59" s="467"/>
      <c r="K59" s="1692">
        <f t="shared" ref="K59:K64" si="7">SUM(C59:J59)</f>
        <v>136992</v>
      </c>
      <c r="L59" s="481">
        <v>139747</v>
      </c>
      <c r="M59" s="610"/>
      <c r="N59" s="610"/>
    </row>
    <row r="60" spans="1:14" s="343" customFormat="1">
      <c r="A60" s="1524" t="s">
        <v>483</v>
      </c>
      <c r="B60" s="615">
        <v>2520</v>
      </c>
      <c r="C60" s="466">
        <v>111140</v>
      </c>
      <c r="D60" s="466">
        <v>15365</v>
      </c>
      <c r="E60" s="466"/>
      <c r="F60" s="466">
        <v>758</v>
      </c>
      <c r="G60" s="466"/>
      <c r="H60" s="466"/>
      <c r="I60" s="467"/>
      <c r="J60" s="467"/>
      <c r="K60" s="1692">
        <f t="shared" si="7"/>
        <v>127263</v>
      </c>
      <c r="L60" s="466">
        <v>129582</v>
      </c>
      <c r="M60" s="610"/>
      <c r="N60" s="610"/>
    </row>
    <row r="61" spans="1:14" s="343" customFormat="1">
      <c r="A61" s="1524" t="s">
        <v>206</v>
      </c>
      <c r="B61" s="615">
        <v>2540</v>
      </c>
      <c r="C61" s="466"/>
      <c r="D61" s="466"/>
      <c r="E61" s="466"/>
      <c r="F61" s="466"/>
      <c r="G61" s="466"/>
      <c r="H61" s="466"/>
      <c r="I61" s="467"/>
      <c r="J61" s="467"/>
      <c r="K61" s="1692">
        <f t="shared" si="7"/>
        <v>0</v>
      </c>
      <c r="L61" s="466">
        <v>35800</v>
      </c>
      <c r="M61" s="610"/>
      <c r="N61" s="610"/>
    </row>
    <row r="62" spans="1:14" s="343" customFormat="1">
      <c r="A62" s="1524" t="s">
        <v>1010</v>
      </c>
      <c r="B62" s="615">
        <v>2550</v>
      </c>
      <c r="C62" s="466">
        <v>16062</v>
      </c>
      <c r="D62" s="466"/>
      <c r="E62" s="466">
        <v>13449</v>
      </c>
      <c r="F62" s="466"/>
      <c r="G62" s="466"/>
      <c r="H62" s="466"/>
      <c r="I62" s="467"/>
      <c r="J62" s="467"/>
      <c r="K62" s="1692">
        <f t="shared" si="7"/>
        <v>29511</v>
      </c>
      <c r="L62" s="466">
        <v>43095</v>
      </c>
      <c r="M62" s="610"/>
      <c r="N62" s="610"/>
    </row>
    <row r="63" spans="1:14" s="610" customFormat="1">
      <c r="A63" s="1524" t="s">
        <v>102</v>
      </c>
      <c r="B63" s="615">
        <v>2560</v>
      </c>
      <c r="C63" s="466">
        <v>554711</v>
      </c>
      <c r="D63" s="466">
        <v>75779</v>
      </c>
      <c r="E63" s="466">
        <v>17944</v>
      </c>
      <c r="F63" s="466">
        <v>738660</v>
      </c>
      <c r="G63" s="466"/>
      <c r="H63" s="466">
        <v>138</v>
      </c>
      <c r="I63" s="467"/>
      <c r="J63" s="467"/>
      <c r="K63" s="1692">
        <f t="shared" si="7"/>
        <v>1387232</v>
      </c>
      <c r="L63" s="466">
        <v>1483441</v>
      </c>
    </row>
    <row r="64" spans="1:14" s="610" customFormat="1">
      <c r="A64" s="1529" t="s">
        <v>103</v>
      </c>
      <c r="B64" s="631">
        <v>2570</v>
      </c>
      <c r="C64" s="481">
        <v>22237</v>
      </c>
      <c r="D64" s="481"/>
      <c r="E64" s="481">
        <v>141381</v>
      </c>
      <c r="F64" s="481">
        <v>103664</v>
      </c>
      <c r="G64" s="481"/>
      <c r="H64" s="481"/>
      <c r="I64" s="467"/>
      <c r="J64" s="467"/>
      <c r="K64" s="1692">
        <f t="shared" si="7"/>
        <v>267282</v>
      </c>
      <c r="L64" s="481">
        <v>271392</v>
      </c>
    </row>
    <row r="65" spans="1:14" s="343" customFormat="1" ht="12.75" customHeight="1" thickBot="1">
      <c r="A65" s="1688" t="s">
        <v>743</v>
      </c>
      <c r="B65" s="1689" t="s">
        <v>35</v>
      </c>
      <c r="C65" s="1690">
        <f>SUM(C59:C64)</f>
        <v>828617</v>
      </c>
      <c r="D65" s="1690">
        <f t="shared" ref="D65:L65" si="8">SUM(D59:D64)</f>
        <v>101511</v>
      </c>
      <c r="E65" s="1690">
        <f t="shared" si="8"/>
        <v>174243</v>
      </c>
      <c r="F65" s="1690">
        <f t="shared" si="8"/>
        <v>843771</v>
      </c>
      <c r="G65" s="1690">
        <f t="shared" si="8"/>
        <v>0</v>
      </c>
      <c r="H65" s="1690">
        <f t="shared" si="8"/>
        <v>138</v>
      </c>
      <c r="I65" s="1690">
        <f t="shared" si="8"/>
        <v>0</v>
      </c>
      <c r="J65" s="1690">
        <f t="shared" si="8"/>
        <v>0</v>
      </c>
      <c r="K65" s="1690">
        <f t="shared" si="8"/>
        <v>1948280</v>
      </c>
      <c r="L65" s="1690">
        <f t="shared" si="8"/>
        <v>2103057</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4" t="s">
        <v>1120</v>
      </c>
      <c r="B67" s="615">
        <v>2610</v>
      </c>
      <c r="C67" s="466">
        <v>177835</v>
      </c>
      <c r="D67" s="466">
        <v>24606</v>
      </c>
      <c r="E67" s="466">
        <v>2362</v>
      </c>
      <c r="F67" s="466">
        <v>2723</v>
      </c>
      <c r="G67" s="466"/>
      <c r="H67" s="466">
        <v>49</v>
      </c>
      <c r="I67" s="467"/>
      <c r="J67" s="467"/>
      <c r="K67" s="1692">
        <f>SUM(C67:J67)</f>
        <v>207575</v>
      </c>
      <c r="L67" s="481">
        <v>213718</v>
      </c>
      <c r="M67" s="610"/>
      <c r="N67" s="610"/>
    </row>
    <row r="68" spans="1:14" s="343" customFormat="1">
      <c r="A68" s="1524" t="s">
        <v>628</v>
      </c>
      <c r="B68" s="615">
        <v>2620</v>
      </c>
      <c r="C68" s="466"/>
      <c r="D68" s="466"/>
      <c r="E68" s="466"/>
      <c r="F68" s="466"/>
      <c r="G68" s="466"/>
      <c r="H68" s="466"/>
      <c r="I68" s="467"/>
      <c r="J68" s="467"/>
      <c r="K68" s="1692">
        <f>SUM(C68:J68)</f>
        <v>0</v>
      </c>
      <c r="L68" s="466">
        <v>0</v>
      </c>
      <c r="M68" s="610"/>
      <c r="N68" s="610"/>
    </row>
    <row r="69" spans="1:14" s="343" customFormat="1">
      <c r="A69" s="1524" t="s">
        <v>1121</v>
      </c>
      <c r="B69" s="615">
        <v>2630</v>
      </c>
      <c r="C69" s="466">
        <v>418154</v>
      </c>
      <c r="D69" s="466">
        <v>56526</v>
      </c>
      <c r="E69" s="466">
        <v>136673</v>
      </c>
      <c r="F69" s="466">
        <v>25849</v>
      </c>
      <c r="G69" s="466"/>
      <c r="H69" s="466">
        <v>662</v>
      </c>
      <c r="I69" s="467">
        <v>64517</v>
      </c>
      <c r="J69" s="467"/>
      <c r="K69" s="1692">
        <f>SUM(C69:J69)</f>
        <v>702381</v>
      </c>
      <c r="L69" s="466">
        <v>831434</v>
      </c>
      <c r="M69" s="610"/>
      <c r="N69" s="610"/>
    </row>
    <row r="70" spans="1:14" s="343" customFormat="1">
      <c r="A70" s="1524" t="s">
        <v>423</v>
      </c>
      <c r="B70" s="615">
        <v>2640</v>
      </c>
      <c r="C70" s="466">
        <v>123990</v>
      </c>
      <c r="D70" s="466">
        <v>10225</v>
      </c>
      <c r="E70" s="466">
        <v>1675</v>
      </c>
      <c r="F70" s="466">
        <v>708</v>
      </c>
      <c r="G70" s="466"/>
      <c r="H70" s="466">
        <v>295</v>
      </c>
      <c r="I70" s="467"/>
      <c r="J70" s="467"/>
      <c r="K70" s="1692">
        <f>SUM(C70:J70)</f>
        <v>136893</v>
      </c>
      <c r="L70" s="466">
        <v>138919</v>
      </c>
      <c r="M70" s="610"/>
      <c r="N70" s="610"/>
    </row>
    <row r="71" spans="1:14" s="343" customFormat="1">
      <c r="A71" s="1524" t="s">
        <v>424</v>
      </c>
      <c r="B71" s="615">
        <v>2660</v>
      </c>
      <c r="C71" s="466"/>
      <c r="D71" s="466"/>
      <c r="E71" s="466"/>
      <c r="F71" s="466"/>
      <c r="G71" s="466"/>
      <c r="H71" s="466"/>
      <c r="I71" s="467"/>
      <c r="J71" s="467"/>
      <c r="K71" s="1692">
        <f>SUM(C71:J71)</f>
        <v>0</v>
      </c>
      <c r="L71" s="466">
        <v>0</v>
      </c>
      <c r="M71" s="610"/>
      <c r="N71" s="610"/>
    </row>
    <row r="72" spans="1:14" s="343" customFormat="1" ht="12.75" customHeight="1" thickBot="1">
      <c r="A72" s="1688" t="s">
        <v>37</v>
      </c>
      <c r="B72" s="1695" t="s">
        <v>36</v>
      </c>
      <c r="C72" s="1690">
        <f>SUM(C67:C71)</f>
        <v>719979</v>
      </c>
      <c r="D72" s="1690">
        <f t="shared" ref="D72:K72" si="9">SUM(D67:D71)</f>
        <v>91357</v>
      </c>
      <c r="E72" s="1690">
        <f t="shared" si="9"/>
        <v>140710</v>
      </c>
      <c r="F72" s="1690">
        <f t="shared" si="9"/>
        <v>29280</v>
      </c>
      <c r="G72" s="1690">
        <f t="shared" si="9"/>
        <v>0</v>
      </c>
      <c r="H72" s="1690">
        <f t="shared" si="9"/>
        <v>1006</v>
      </c>
      <c r="I72" s="1690">
        <f t="shared" si="9"/>
        <v>64517</v>
      </c>
      <c r="J72" s="1690">
        <f t="shared" si="9"/>
        <v>0</v>
      </c>
      <c r="K72" s="1690">
        <f t="shared" si="9"/>
        <v>1046849</v>
      </c>
      <c r="L72" s="1690">
        <f>SUM(L67:L71)</f>
        <v>1184071</v>
      </c>
      <c r="M72" s="610"/>
      <c r="N72" s="610"/>
    </row>
    <row r="73" spans="1:14" s="343" customFormat="1" ht="14.25" thickTop="1" thickBot="1">
      <c r="A73" s="1530" t="s">
        <v>1037</v>
      </c>
      <c r="B73" s="633" t="s">
        <v>595</v>
      </c>
      <c r="C73" s="573"/>
      <c r="D73" s="573"/>
      <c r="E73" s="573"/>
      <c r="F73" s="573"/>
      <c r="G73" s="573"/>
      <c r="H73" s="573"/>
      <c r="I73" s="531"/>
      <c r="J73" s="531"/>
      <c r="K73" s="1690">
        <f>SUM(C73:J73)</f>
        <v>0</v>
      </c>
      <c r="L73" s="576">
        <v>1400</v>
      </c>
      <c r="M73" s="610"/>
      <c r="N73" s="610"/>
    </row>
    <row r="74" spans="1:14" ht="12.75" customHeight="1" thickTop="1" thickBot="1">
      <c r="A74" s="1688" t="s">
        <v>865</v>
      </c>
      <c r="B74" s="1696">
        <v>2000</v>
      </c>
      <c r="C74" s="1697">
        <f>SUM(C42,C47,C53,C57,C65,C72,C73)</f>
        <v>5303132</v>
      </c>
      <c r="D74" s="1697">
        <f t="shared" ref="D74:K74" si="10">SUM(D42,D47,D53,D57,D65,D72,D73)</f>
        <v>685128</v>
      </c>
      <c r="E74" s="1697">
        <f t="shared" si="10"/>
        <v>842188</v>
      </c>
      <c r="F74" s="1697">
        <f t="shared" si="10"/>
        <v>980836</v>
      </c>
      <c r="G74" s="1697">
        <f t="shared" si="10"/>
        <v>0</v>
      </c>
      <c r="H74" s="1697">
        <f t="shared" si="10"/>
        <v>22211</v>
      </c>
      <c r="I74" s="1697">
        <f t="shared" si="10"/>
        <v>64517</v>
      </c>
      <c r="J74" s="1697">
        <f t="shared" si="10"/>
        <v>0</v>
      </c>
      <c r="K74" s="1697">
        <f t="shared" si="10"/>
        <v>7898012</v>
      </c>
      <c r="L74" s="1697">
        <f>SUM(L42,L47,L53,L57,L65,L72,L73)</f>
        <v>8535546</v>
      </c>
    </row>
    <row r="75" spans="1:14" s="259" customFormat="1" ht="15.75" customHeight="1" thickTop="1" thickBot="1">
      <c r="A75" s="1630" t="s">
        <v>49</v>
      </c>
      <c r="B75" s="1631" t="s">
        <v>596</v>
      </c>
      <c r="C75" s="573">
        <v>31587</v>
      </c>
      <c r="D75" s="573">
        <v>776</v>
      </c>
      <c r="E75" s="573">
        <v>20014</v>
      </c>
      <c r="F75" s="573">
        <v>3726</v>
      </c>
      <c r="G75" s="573"/>
      <c r="H75" s="573"/>
      <c r="I75" s="531"/>
      <c r="J75" s="531"/>
      <c r="K75" s="1690">
        <f>SUM(C75:J75)</f>
        <v>56103</v>
      </c>
      <c r="L75" s="576">
        <v>90233</v>
      </c>
      <c r="M75" s="614"/>
      <c r="N75" s="614"/>
    </row>
    <row r="76" spans="1:14" s="634" customFormat="1" ht="15.75" customHeight="1" thickTop="1">
      <c r="A76" s="1632" t="s">
        <v>383</v>
      </c>
      <c r="B76" s="1629"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4" t="s">
        <v>517</v>
      </c>
      <c r="B78" s="615">
        <v>4110</v>
      </c>
      <c r="C78" s="617"/>
      <c r="D78" s="617"/>
      <c r="E78" s="481"/>
      <c r="F78" s="617"/>
      <c r="G78" s="617"/>
      <c r="H78" s="635">
        <v>11680</v>
      </c>
      <c r="I78" s="477"/>
      <c r="J78" s="477"/>
      <c r="K78" s="1691">
        <f t="shared" ref="K78:K83" si="11">SUM(C78:J78)</f>
        <v>11680</v>
      </c>
      <c r="L78" s="481">
        <v>13171</v>
      </c>
    </row>
    <row r="79" spans="1:14">
      <c r="A79" s="1524" t="s">
        <v>322</v>
      </c>
      <c r="B79" s="615">
        <v>4120</v>
      </c>
      <c r="C79" s="617"/>
      <c r="D79" s="617"/>
      <c r="E79" s="466"/>
      <c r="F79" s="617"/>
      <c r="G79" s="617"/>
      <c r="H79" s="466">
        <v>197560</v>
      </c>
      <c r="I79" s="477"/>
      <c r="J79" s="477"/>
      <c r="K79" s="1691">
        <f t="shared" si="11"/>
        <v>197560</v>
      </c>
      <c r="L79" s="466">
        <v>161554</v>
      </c>
    </row>
    <row r="80" spans="1:14">
      <c r="A80" s="1524" t="s">
        <v>323</v>
      </c>
      <c r="B80" s="615">
        <v>4130</v>
      </c>
      <c r="C80" s="617"/>
      <c r="D80" s="617"/>
      <c r="E80" s="466"/>
      <c r="F80" s="617"/>
      <c r="G80" s="617"/>
      <c r="H80" s="466"/>
      <c r="I80" s="477"/>
      <c r="J80" s="477"/>
      <c r="K80" s="1691">
        <f t="shared" si="11"/>
        <v>0</v>
      </c>
      <c r="L80" s="466">
        <v>0</v>
      </c>
    </row>
    <row r="81" spans="1:12">
      <c r="A81" s="1524" t="s">
        <v>721</v>
      </c>
      <c r="B81" s="615">
        <v>4140</v>
      </c>
      <c r="C81" s="617"/>
      <c r="D81" s="617"/>
      <c r="E81" s="466"/>
      <c r="F81" s="617"/>
      <c r="G81" s="617"/>
      <c r="H81" s="466"/>
      <c r="I81" s="477"/>
      <c r="J81" s="477"/>
      <c r="K81" s="1691">
        <f t="shared" si="11"/>
        <v>0</v>
      </c>
      <c r="L81" s="466">
        <v>0</v>
      </c>
    </row>
    <row r="82" spans="1:12">
      <c r="A82" s="1524" t="s">
        <v>88</v>
      </c>
      <c r="B82" s="615">
        <v>4170</v>
      </c>
      <c r="C82" s="617"/>
      <c r="D82" s="617"/>
      <c r="E82" s="466"/>
      <c r="F82" s="617"/>
      <c r="G82" s="617"/>
      <c r="H82" s="466"/>
      <c r="I82" s="477"/>
      <c r="J82" s="477"/>
      <c r="K82" s="1691">
        <f t="shared" si="11"/>
        <v>0</v>
      </c>
      <c r="L82" s="466">
        <v>0</v>
      </c>
    </row>
    <row r="83" spans="1:12">
      <c r="A83" s="1528" t="s">
        <v>722</v>
      </c>
      <c r="B83" s="629">
        <v>4190</v>
      </c>
      <c r="C83" s="617"/>
      <c r="D83" s="617"/>
      <c r="E83" s="466"/>
      <c r="F83" s="617"/>
      <c r="G83" s="617"/>
      <c r="H83" s="466"/>
      <c r="I83" s="477"/>
      <c r="J83" s="477"/>
      <c r="K83" s="1691">
        <f t="shared" si="11"/>
        <v>0</v>
      </c>
      <c r="L83" s="466">
        <v>0</v>
      </c>
    </row>
    <row r="84" spans="1:12" ht="13.5" thickBot="1">
      <c r="A84" s="1688" t="s">
        <v>1565</v>
      </c>
      <c r="B84" s="1698">
        <v>4100</v>
      </c>
      <c r="C84" s="617"/>
      <c r="D84" s="617"/>
      <c r="E84" s="1690">
        <f>SUM(E78:E83)</f>
        <v>0</v>
      </c>
      <c r="F84" s="617"/>
      <c r="G84" s="617"/>
      <c r="H84" s="1690">
        <f>SUM(H78:H83)</f>
        <v>209240</v>
      </c>
      <c r="I84" s="477"/>
      <c r="J84" s="477"/>
      <c r="K84" s="1690">
        <f>SUM(K78:K83)</f>
        <v>209240</v>
      </c>
      <c r="L84" s="1690">
        <f>SUM(L78:L83)</f>
        <v>174725</v>
      </c>
    </row>
    <row r="85" spans="1:12" ht="12.75" customHeight="1" thickTop="1" thickBot="1">
      <c r="A85" s="1531" t="s">
        <v>273</v>
      </c>
      <c r="B85" s="636">
        <v>4210</v>
      </c>
      <c r="C85" s="617"/>
      <c r="D85" s="617"/>
      <c r="E85" s="637"/>
      <c r="F85" s="617"/>
      <c r="G85" s="617"/>
      <c r="H85" s="535"/>
      <c r="I85" s="477"/>
      <c r="J85" s="477"/>
      <c r="K85" s="1697">
        <f>H85</f>
        <v>0</v>
      </c>
      <c r="L85" s="530">
        <v>16000</v>
      </c>
    </row>
    <row r="86" spans="1:12" ht="12.75" customHeight="1" thickTop="1" thickBot="1">
      <c r="A86" s="1532" t="s">
        <v>723</v>
      </c>
      <c r="B86" s="638">
        <v>4220</v>
      </c>
      <c r="C86" s="617"/>
      <c r="D86" s="617"/>
      <c r="E86" s="639"/>
      <c r="F86" s="617"/>
      <c r="G86" s="617"/>
      <c r="H86" s="467">
        <v>900214</v>
      </c>
      <c r="I86" s="477"/>
      <c r="J86" s="477"/>
      <c r="K86" s="1697">
        <f t="shared" ref="K86:K98" si="12">H86</f>
        <v>900214</v>
      </c>
      <c r="L86" s="530">
        <v>849000</v>
      </c>
    </row>
    <row r="87" spans="1:12" ht="14.25" thickTop="1" thickBot="1">
      <c r="A87" s="1533" t="s">
        <v>724</v>
      </c>
      <c r="B87" s="640">
        <v>4230</v>
      </c>
      <c r="C87" s="617"/>
      <c r="D87" s="617"/>
      <c r="E87" s="639"/>
      <c r="F87" s="617"/>
      <c r="G87" s="617"/>
      <c r="H87" s="467"/>
      <c r="I87" s="477"/>
      <c r="J87" s="477"/>
      <c r="K87" s="1697">
        <f t="shared" si="12"/>
        <v>0</v>
      </c>
      <c r="L87" s="530">
        <v>0</v>
      </c>
    </row>
    <row r="88" spans="1:12" ht="12.75" customHeight="1" thickTop="1" thickBot="1">
      <c r="A88" s="1533" t="s">
        <v>789</v>
      </c>
      <c r="B88" s="640">
        <v>4240</v>
      </c>
      <c r="C88" s="617"/>
      <c r="D88" s="617"/>
      <c r="E88" s="639"/>
      <c r="F88" s="617"/>
      <c r="G88" s="617"/>
      <c r="H88" s="467"/>
      <c r="I88" s="477"/>
      <c r="J88" s="477"/>
      <c r="K88" s="1697">
        <f t="shared" si="12"/>
        <v>0</v>
      </c>
      <c r="L88" s="530">
        <v>0</v>
      </c>
    </row>
    <row r="89" spans="1:12" ht="12.75" customHeight="1" thickTop="1" thickBot="1">
      <c r="A89" s="1533" t="s">
        <v>725</v>
      </c>
      <c r="B89" s="640">
        <v>4270</v>
      </c>
      <c r="C89" s="617"/>
      <c r="D89" s="617"/>
      <c r="E89" s="639"/>
      <c r="F89" s="617"/>
      <c r="G89" s="617"/>
      <c r="H89" s="467"/>
      <c r="I89" s="477"/>
      <c r="J89" s="477"/>
      <c r="K89" s="1697">
        <f t="shared" si="12"/>
        <v>0</v>
      </c>
      <c r="L89" s="530">
        <v>0</v>
      </c>
    </row>
    <row r="90" spans="1:12" ht="12.75" customHeight="1" thickTop="1" thickBot="1">
      <c r="A90" s="1533" t="s">
        <v>710</v>
      </c>
      <c r="B90" s="640">
        <v>4280</v>
      </c>
      <c r="C90" s="617"/>
      <c r="D90" s="617"/>
      <c r="E90" s="639"/>
      <c r="F90" s="617"/>
      <c r="G90" s="617"/>
      <c r="H90" s="467"/>
      <c r="I90" s="477"/>
      <c r="J90" s="477"/>
      <c r="K90" s="1697">
        <f t="shared" si="12"/>
        <v>0</v>
      </c>
      <c r="L90" s="530">
        <v>0</v>
      </c>
    </row>
    <row r="91" spans="1:12" ht="12.75" customHeight="1" thickTop="1" thickBot="1">
      <c r="A91" s="1533" t="s">
        <v>711</v>
      </c>
      <c r="B91" s="640">
        <v>4290</v>
      </c>
      <c r="C91" s="617"/>
      <c r="D91" s="617"/>
      <c r="E91" s="639"/>
      <c r="F91" s="617"/>
      <c r="G91" s="617"/>
      <c r="H91" s="467"/>
      <c r="I91" s="477"/>
      <c r="J91" s="477"/>
      <c r="K91" s="1697">
        <f t="shared" si="12"/>
        <v>0</v>
      </c>
      <c r="L91" s="530">
        <v>0</v>
      </c>
    </row>
    <row r="92" spans="1:12" ht="14.25" thickTop="1" thickBot="1">
      <c r="A92" s="1700" t="s">
        <v>1641</v>
      </c>
      <c r="B92" s="1698">
        <v>4200</v>
      </c>
      <c r="C92" s="617"/>
      <c r="D92" s="617"/>
      <c r="E92" s="639"/>
      <c r="F92" s="617"/>
      <c r="G92" s="617"/>
      <c r="H92" s="1690">
        <f>SUM(H85:H91)</f>
        <v>900214</v>
      </c>
      <c r="I92" s="477"/>
      <c r="J92" s="477"/>
      <c r="K92" s="1697">
        <f t="shared" si="12"/>
        <v>900214</v>
      </c>
      <c r="L92" s="1690">
        <f>SUM(L85:L91)</f>
        <v>865000</v>
      </c>
    </row>
    <row r="93" spans="1:12" ht="14.25" thickTop="1" thickBot="1">
      <c r="A93" s="1532" t="s">
        <v>712</v>
      </c>
      <c r="B93" s="641">
        <v>4310</v>
      </c>
      <c r="C93" s="617"/>
      <c r="D93" s="617"/>
      <c r="E93" s="639"/>
      <c r="F93" s="617"/>
      <c r="G93" s="617"/>
      <c r="H93" s="642"/>
      <c r="I93" s="477"/>
      <c r="J93" s="477"/>
      <c r="K93" s="1697">
        <f t="shared" si="12"/>
        <v>0</v>
      </c>
      <c r="L93" s="532">
        <v>0</v>
      </c>
    </row>
    <row r="94" spans="1:12" ht="12.75" customHeight="1" thickTop="1" thickBot="1">
      <c r="A94" s="1533" t="s">
        <v>713</v>
      </c>
      <c r="B94" s="640">
        <v>4320</v>
      </c>
      <c r="C94" s="617"/>
      <c r="D94" s="617"/>
      <c r="E94" s="639"/>
      <c r="F94" s="617"/>
      <c r="G94" s="617"/>
      <c r="H94" s="467"/>
      <c r="I94" s="477"/>
      <c r="J94" s="477"/>
      <c r="K94" s="1697">
        <f t="shared" si="12"/>
        <v>0</v>
      </c>
      <c r="L94" s="530">
        <v>0</v>
      </c>
    </row>
    <row r="95" spans="1:12" ht="15" customHeight="1" thickTop="1" thickBot="1">
      <c r="A95" s="1533" t="s">
        <v>1568</v>
      </c>
      <c r="B95" s="640">
        <v>4330</v>
      </c>
      <c r="C95" s="617"/>
      <c r="D95" s="617"/>
      <c r="E95" s="639"/>
      <c r="F95" s="617"/>
      <c r="G95" s="617"/>
      <c r="H95" s="467"/>
      <c r="I95" s="477"/>
      <c r="J95" s="477"/>
      <c r="K95" s="1697">
        <f t="shared" si="12"/>
        <v>0</v>
      </c>
      <c r="L95" s="530">
        <v>0</v>
      </c>
    </row>
    <row r="96" spans="1:12" ht="14.25" thickTop="1" thickBot="1">
      <c r="A96" s="1533" t="s">
        <v>714</v>
      </c>
      <c r="B96" s="640">
        <v>4340</v>
      </c>
      <c r="C96" s="617"/>
      <c r="D96" s="617"/>
      <c r="E96" s="639"/>
      <c r="F96" s="617"/>
      <c r="G96" s="617"/>
      <c r="H96" s="467"/>
      <c r="I96" s="477"/>
      <c r="J96" s="477"/>
      <c r="K96" s="1697">
        <f t="shared" si="12"/>
        <v>0</v>
      </c>
      <c r="L96" s="530">
        <v>0</v>
      </c>
    </row>
    <row r="97" spans="1:14" ht="12.75" customHeight="1" thickTop="1" thickBot="1">
      <c r="A97" s="1533" t="s">
        <v>787</v>
      </c>
      <c r="B97" s="640">
        <v>4370</v>
      </c>
      <c r="C97" s="617"/>
      <c r="D97" s="617"/>
      <c r="E97" s="639"/>
      <c r="F97" s="617"/>
      <c r="G97" s="617"/>
      <c r="H97" s="467"/>
      <c r="I97" s="477"/>
      <c r="J97" s="477"/>
      <c r="K97" s="1697">
        <f t="shared" si="12"/>
        <v>0</v>
      </c>
      <c r="L97" s="530">
        <v>0</v>
      </c>
    </row>
    <row r="98" spans="1:14" ht="14.25" thickTop="1" thickBot="1">
      <c r="A98" s="1533" t="s">
        <v>788</v>
      </c>
      <c r="B98" s="640">
        <v>4380</v>
      </c>
      <c r="C98" s="617"/>
      <c r="D98" s="617"/>
      <c r="E98" s="643"/>
      <c r="F98" s="617"/>
      <c r="G98" s="617"/>
      <c r="H98" s="467"/>
      <c r="I98" s="477"/>
      <c r="J98" s="477"/>
      <c r="K98" s="1697">
        <f t="shared" si="12"/>
        <v>0</v>
      </c>
      <c r="L98" s="530">
        <v>0</v>
      </c>
    </row>
    <row r="99" spans="1:14" ht="14.25" thickTop="1" thickBot="1">
      <c r="A99" s="1533" t="s">
        <v>385</v>
      </c>
      <c r="B99" s="640">
        <v>4390</v>
      </c>
      <c r="C99" s="617"/>
      <c r="D99" s="617"/>
      <c r="E99" s="532"/>
      <c r="F99" s="617"/>
      <c r="G99" s="617"/>
      <c r="H99" s="467"/>
      <c r="I99" s="477"/>
      <c r="J99" s="477"/>
      <c r="K99" s="1697">
        <f>SUM(E99,H99)</f>
        <v>0</v>
      </c>
      <c r="L99" s="530">
        <v>0</v>
      </c>
    </row>
    <row r="100" spans="1:14" ht="14.25" thickTop="1" thickBot="1">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c r="A101" s="1530" t="s">
        <v>1569</v>
      </c>
      <c r="B101" s="644" t="s">
        <v>988</v>
      </c>
      <c r="C101" s="617"/>
      <c r="D101" s="617"/>
      <c r="E101" s="531"/>
      <c r="F101" s="617"/>
      <c r="G101" s="617"/>
      <c r="H101" s="531"/>
      <c r="I101" s="477"/>
      <c r="J101" s="477"/>
      <c r="K101" s="1699">
        <f>SUM(C101:J101)</f>
        <v>0</v>
      </c>
      <c r="L101" s="530">
        <v>0</v>
      </c>
    </row>
    <row r="102" spans="1:14" ht="12.75" customHeight="1" thickTop="1" thickBot="1">
      <c r="A102" s="1688" t="s">
        <v>1567</v>
      </c>
      <c r="B102" s="1698">
        <v>4000</v>
      </c>
      <c r="C102" s="617"/>
      <c r="D102" s="617"/>
      <c r="E102" s="1697">
        <f>SUM(E84,E92,E100,E101)</f>
        <v>0</v>
      </c>
      <c r="F102" s="617"/>
      <c r="G102" s="617"/>
      <c r="H102" s="1697">
        <f>SUM(H84,H92,H100,H101)</f>
        <v>1109454</v>
      </c>
      <c r="I102" s="477"/>
      <c r="J102" s="477"/>
      <c r="K102" s="1697">
        <f>SUM(K84,K92,K100,K101)</f>
        <v>1109454</v>
      </c>
      <c r="L102" s="1697">
        <f>SUM(L84,L92,L100,L101)</f>
        <v>1039725</v>
      </c>
    </row>
    <row r="103" spans="1:14" s="634" customFormat="1" ht="15.75" customHeight="1" thickTop="1">
      <c r="A103" s="1632" t="s">
        <v>534</v>
      </c>
      <c r="B103" s="1629"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4" t="s">
        <v>89</v>
      </c>
      <c r="B105" s="615">
        <v>5110</v>
      </c>
      <c r="C105" s="617"/>
      <c r="D105" s="617"/>
      <c r="E105" s="617"/>
      <c r="F105" s="617"/>
      <c r="G105" s="617"/>
      <c r="H105" s="481"/>
      <c r="I105" s="468"/>
      <c r="J105" s="468"/>
      <c r="K105" s="1691">
        <f>H105</f>
        <v>0</v>
      </c>
      <c r="L105" s="481">
        <v>0</v>
      </c>
      <c r="M105" s="210"/>
      <c r="N105" s="210"/>
    </row>
    <row r="106" spans="1:14" s="598" customFormat="1">
      <c r="A106" s="1524" t="s">
        <v>90</v>
      </c>
      <c r="B106" s="615">
        <v>5120</v>
      </c>
      <c r="C106" s="617"/>
      <c r="D106" s="617"/>
      <c r="E106" s="617"/>
      <c r="F106" s="617"/>
      <c r="G106" s="617"/>
      <c r="H106" s="466"/>
      <c r="I106" s="468"/>
      <c r="J106" s="468"/>
      <c r="K106" s="1691">
        <f>H106</f>
        <v>0</v>
      </c>
      <c r="L106" s="466">
        <v>0</v>
      </c>
      <c r="M106" s="210"/>
      <c r="N106" s="210"/>
    </row>
    <row r="107" spans="1:14" s="598" customFormat="1" ht="12.75" customHeight="1">
      <c r="A107" s="1524" t="s">
        <v>1232</v>
      </c>
      <c r="B107" s="615">
        <v>5130</v>
      </c>
      <c r="C107" s="617"/>
      <c r="D107" s="617"/>
      <c r="E107" s="617"/>
      <c r="F107" s="617"/>
      <c r="G107" s="617"/>
      <c r="H107" s="466"/>
      <c r="I107" s="468"/>
      <c r="J107" s="468"/>
      <c r="K107" s="1691">
        <f>H107</f>
        <v>0</v>
      </c>
      <c r="L107" s="466">
        <v>0</v>
      </c>
      <c r="M107" s="210"/>
      <c r="N107" s="210"/>
    </row>
    <row r="108" spans="1:14" s="598" customFormat="1">
      <c r="A108" s="1524" t="s">
        <v>91</v>
      </c>
      <c r="B108" s="615" t="s">
        <v>610</v>
      </c>
      <c r="C108" s="617"/>
      <c r="D108" s="617"/>
      <c r="E108" s="617"/>
      <c r="F108" s="617"/>
      <c r="G108" s="617"/>
      <c r="H108" s="466"/>
      <c r="I108" s="468"/>
      <c r="J108" s="468"/>
      <c r="K108" s="1691">
        <f>H108</f>
        <v>0</v>
      </c>
      <c r="L108" s="466">
        <v>0</v>
      </c>
      <c r="M108" s="210"/>
      <c r="N108" s="210"/>
    </row>
    <row r="109" spans="1:14" s="598" customFormat="1">
      <c r="A109" s="1524"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c r="A111" s="1534" t="s">
        <v>386</v>
      </c>
      <c r="B111" s="648" t="s">
        <v>38</v>
      </c>
      <c r="C111" s="617"/>
      <c r="D111" s="617"/>
      <c r="E111" s="617"/>
      <c r="F111" s="617"/>
      <c r="G111" s="617"/>
      <c r="H111" s="535">
        <v>5733</v>
      </c>
      <c r="I111" s="468"/>
      <c r="J111" s="468"/>
      <c r="K111" s="1703">
        <f>H111</f>
        <v>5733</v>
      </c>
      <c r="L111" s="532">
        <v>0</v>
      </c>
      <c r="M111" s="210"/>
      <c r="N111" s="210"/>
    </row>
    <row r="112" spans="1:14" s="598" customFormat="1" ht="12.75" customHeight="1" thickTop="1" thickBot="1">
      <c r="A112" s="1688" t="s">
        <v>659</v>
      </c>
      <c r="B112" s="1689" t="s">
        <v>513</v>
      </c>
      <c r="C112" s="617"/>
      <c r="D112" s="617"/>
      <c r="E112" s="617"/>
      <c r="F112" s="617"/>
      <c r="G112" s="617"/>
      <c r="H112" s="1690">
        <f>SUM(H110:H111)</f>
        <v>5733</v>
      </c>
      <c r="I112" s="468"/>
      <c r="J112" s="468"/>
      <c r="K112" s="1690">
        <f>SUM(K110:K111)</f>
        <v>5733</v>
      </c>
      <c r="L112" s="1697">
        <f>SUM(L110,L111)</f>
        <v>0</v>
      </c>
      <c r="M112" s="210"/>
      <c r="N112" s="210"/>
    </row>
    <row r="113" spans="1:14" s="259" customFormat="1" ht="15.75" customHeight="1" thickTop="1" thickBot="1">
      <c r="A113" s="1626" t="s">
        <v>535</v>
      </c>
      <c r="B113" s="1633" t="s">
        <v>916</v>
      </c>
      <c r="C113" s="624"/>
      <c r="D113" s="624"/>
      <c r="E113" s="617"/>
      <c r="F113" s="617"/>
      <c r="G113" s="617"/>
      <c r="H113" s="624"/>
      <c r="I113" s="468"/>
      <c r="J113" s="468"/>
      <c r="K113" s="624"/>
      <c r="L113" s="531">
        <v>0</v>
      </c>
      <c r="M113" s="614"/>
      <c r="N113" s="614"/>
    </row>
    <row r="114" spans="1:14" ht="12.75" customHeight="1" thickTop="1" thickBot="1">
      <c r="A114" s="1688" t="s">
        <v>50</v>
      </c>
      <c r="B114" s="1702"/>
      <c r="C114" s="1690">
        <f>SUM(C33,C74,C75,C102,C112,C113)</f>
        <v>18471040</v>
      </c>
      <c r="D114" s="1690">
        <f t="shared" ref="D114:K114" si="13">SUM(D33,D74,D75,D102,D112,D113)</f>
        <v>2073493</v>
      </c>
      <c r="E114" s="1690">
        <f t="shared" si="13"/>
        <v>1005501</v>
      </c>
      <c r="F114" s="1690">
        <f t="shared" si="13"/>
        <v>1459771</v>
      </c>
      <c r="G114" s="1690">
        <f t="shared" si="13"/>
        <v>0</v>
      </c>
      <c r="H114" s="1690">
        <f>SUM(H33,H74,H75,H102,H112,H113)</f>
        <v>1145149</v>
      </c>
      <c r="I114" s="1690">
        <f t="shared" si="13"/>
        <v>64517</v>
      </c>
      <c r="J114" s="1690">
        <f t="shared" si="13"/>
        <v>0</v>
      </c>
      <c r="K114" s="1690">
        <f t="shared" si="13"/>
        <v>24219471</v>
      </c>
      <c r="L114" s="1690">
        <f>SUM(L33,L74,L75,L102,L112,L113)</f>
        <v>25474177</v>
      </c>
    </row>
    <row r="115" spans="1:14" ht="13.5" thickTop="1">
      <c r="A115" s="2234" t="s">
        <v>1053</v>
      </c>
      <c r="B115" s="2235"/>
      <c r="C115" s="619"/>
      <c r="D115" s="619"/>
      <c r="E115" s="619"/>
      <c r="F115" s="619"/>
      <c r="G115" s="619"/>
      <c r="H115" s="619"/>
      <c r="I115" s="619"/>
      <c r="J115" s="619"/>
      <c r="K115" s="1704">
        <f>'Revenues 9-14'!C275-'Expenditures 15-22'!K114</f>
        <v>2040696</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239" t="s">
        <v>314</v>
      </c>
      <c r="B117" s="2240"/>
      <c r="C117" s="1646"/>
      <c r="D117" s="1647"/>
      <c r="E117" s="1647"/>
      <c r="F117" s="1647"/>
      <c r="G117" s="1647"/>
      <c r="H117" s="1647"/>
      <c r="I117" s="1647"/>
      <c r="J117" s="1647"/>
      <c r="K117" s="1647"/>
      <c r="L117" s="1648"/>
      <c r="M117" s="175"/>
      <c r="N117" s="175"/>
    </row>
    <row r="118" spans="1:14" ht="15.75" customHeight="1">
      <c r="A118" s="1634" t="s">
        <v>1095</v>
      </c>
      <c r="B118" s="1635"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28" t="s">
        <v>167</v>
      </c>
      <c r="B120" s="629">
        <v>2190</v>
      </c>
      <c r="C120" s="466"/>
      <c r="D120" s="466"/>
      <c r="E120" s="466"/>
      <c r="F120" s="466"/>
      <c r="G120" s="466"/>
      <c r="H120" s="466"/>
      <c r="I120" s="467"/>
      <c r="J120" s="467"/>
      <c r="K120" s="1691">
        <f>SUM(C120:J120)</f>
        <v>0</v>
      </c>
      <c r="L120" s="466">
        <v>0</v>
      </c>
    </row>
    <row r="121" spans="1:14" ht="15.75" customHeight="1">
      <c r="A121" s="654" t="s">
        <v>633</v>
      </c>
      <c r="B121" s="623"/>
      <c r="C121" s="521"/>
      <c r="D121" s="521"/>
      <c r="E121" s="521"/>
      <c r="F121" s="521"/>
      <c r="G121" s="521"/>
      <c r="H121" s="521"/>
      <c r="I121" s="617"/>
      <c r="J121" s="617"/>
      <c r="K121" s="624"/>
      <c r="L121" s="521"/>
    </row>
    <row r="122" spans="1:14" ht="13.5" thickBot="1">
      <c r="A122" s="1524" t="s">
        <v>1128</v>
      </c>
      <c r="B122" s="615">
        <v>2510</v>
      </c>
      <c r="C122" s="466"/>
      <c r="D122" s="466"/>
      <c r="E122" s="466"/>
      <c r="F122" s="466"/>
      <c r="G122" s="466"/>
      <c r="H122" s="466"/>
      <c r="I122" s="467"/>
      <c r="J122" s="467"/>
      <c r="K122" s="1690">
        <f>SUM(C122:J122)</f>
        <v>0</v>
      </c>
      <c r="L122" s="466">
        <v>0</v>
      </c>
    </row>
    <row r="123" spans="1:14" ht="14.25" thickTop="1" thickBot="1">
      <c r="A123" s="1524" t="s">
        <v>4</v>
      </c>
      <c r="B123" s="615">
        <v>2530</v>
      </c>
      <c r="C123" s="466"/>
      <c r="D123" s="466"/>
      <c r="E123" s="466"/>
      <c r="F123" s="466"/>
      <c r="G123" s="466"/>
      <c r="H123" s="466"/>
      <c r="I123" s="467"/>
      <c r="J123" s="467"/>
      <c r="K123" s="1690">
        <f>SUM(C123:J123)</f>
        <v>0</v>
      </c>
      <c r="L123" s="466">
        <v>0</v>
      </c>
    </row>
    <row r="124" spans="1:14" ht="14.25" thickTop="1" thickBot="1">
      <c r="A124" s="1524" t="s">
        <v>206</v>
      </c>
      <c r="B124" s="615">
        <v>2540</v>
      </c>
      <c r="C124" s="466">
        <v>1281185</v>
      </c>
      <c r="D124" s="466">
        <v>159030</v>
      </c>
      <c r="E124" s="466">
        <v>200395</v>
      </c>
      <c r="F124" s="466">
        <v>491460</v>
      </c>
      <c r="G124" s="466">
        <v>7137</v>
      </c>
      <c r="H124" s="466"/>
      <c r="I124" s="467"/>
      <c r="J124" s="467"/>
      <c r="K124" s="1690">
        <f>SUM(C124:J124)</f>
        <v>2139207</v>
      </c>
      <c r="L124" s="466">
        <v>2278081</v>
      </c>
    </row>
    <row r="125" spans="1:14" ht="14.25" thickTop="1" thickBot="1">
      <c r="A125" s="1524" t="s">
        <v>1010</v>
      </c>
      <c r="B125" s="615">
        <v>2550</v>
      </c>
      <c r="C125" s="466"/>
      <c r="D125" s="466"/>
      <c r="E125" s="466"/>
      <c r="F125" s="466"/>
      <c r="G125" s="466"/>
      <c r="H125" s="466"/>
      <c r="I125" s="467"/>
      <c r="J125" s="467"/>
      <c r="K125" s="1690">
        <f>SUM(C125:J125)</f>
        <v>0</v>
      </c>
      <c r="L125" s="466">
        <v>0</v>
      </c>
    </row>
    <row r="126" spans="1:14" ht="14.25" thickTop="1" thickBot="1">
      <c r="A126" s="1524" t="s">
        <v>102</v>
      </c>
      <c r="B126" s="615">
        <v>2560</v>
      </c>
      <c r="C126" s="655"/>
      <c r="D126" s="655"/>
      <c r="E126" s="655"/>
      <c r="F126" s="655"/>
      <c r="G126" s="466"/>
      <c r="H126" s="655"/>
      <c r="I126" s="474"/>
      <c r="J126" s="617"/>
      <c r="K126" s="1690">
        <f>SUM(C126:J126)</f>
        <v>0</v>
      </c>
      <c r="L126" s="466">
        <v>0</v>
      </c>
    </row>
    <row r="127" spans="1:14" ht="12.75" customHeight="1" thickTop="1" thickBot="1">
      <c r="A127" s="1688" t="s">
        <v>743</v>
      </c>
      <c r="B127" s="1689" t="s">
        <v>35</v>
      </c>
      <c r="C127" s="1690">
        <f>SUM(C122:C126)</f>
        <v>1281185</v>
      </c>
      <c r="D127" s="1690">
        <f t="shared" ref="D127:L127" si="14">SUM(D122:D126)</f>
        <v>159030</v>
      </c>
      <c r="E127" s="1690">
        <f t="shared" si="14"/>
        <v>200395</v>
      </c>
      <c r="F127" s="1690">
        <f t="shared" si="14"/>
        <v>491460</v>
      </c>
      <c r="G127" s="1690">
        <f t="shared" si="14"/>
        <v>7137</v>
      </c>
      <c r="H127" s="1690">
        <f t="shared" si="14"/>
        <v>0</v>
      </c>
      <c r="I127" s="1690">
        <f t="shared" si="14"/>
        <v>0</v>
      </c>
      <c r="J127" s="1690">
        <f t="shared" si="14"/>
        <v>0</v>
      </c>
      <c r="K127" s="1690">
        <f t="shared" si="14"/>
        <v>2139207</v>
      </c>
      <c r="L127" s="1690">
        <f t="shared" si="14"/>
        <v>2278081</v>
      </c>
    </row>
    <row r="128" spans="1:14" ht="12.75" customHeight="1" thickTop="1">
      <c r="A128" s="1531" t="s">
        <v>1037</v>
      </c>
      <c r="B128" s="656" t="s">
        <v>595</v>
      </c>
      <c r="C128" s="657"/>
      <c r="D128" s="657"/>
      <c r="E128" s="657"/>
      <c r="F128" s="657"/>
      <c r="G128" s="657"/>
      <c r="H128" s="657"/>
      <c r="I128" s="535"/>
      <c r="J128" s="535"/>
      <c r="K128" s="1705">
        <f>SUM(C128:J128)</f>
        <v>0</v>
      </c>
      <c r="L128" s="657">
        <v>0</v>
      </c>
    </row>
    <row r="129" spans="1:14" ht="12.75" customHeight="1" thickBot="1">
      <c r="A129" s="1706" t="s">
        <v>865</v>
      </c>
      <c r="B129" s="1707" t="s">
        <v>590</v>
      </c>
      <c r="C129" s="1697">
        <f>SUM(C120,C127,C128)</f>
        <v>1281185</v>
      </c>
      <c r="D129" s="1697">
        <f t="shared" ref="D129:L129" si="15">SUM(D120,D127,D128)</f>
        <v>159030</v>
      </c>
      <c r="E129" s="1697">
        <f t="shared" si="15"/>
        <v>200395</v>
      </c>
      <c r="F129" s="1697">
        <f t="shared" si="15"/>
        <v>491460</v>
      </c>
      <c r="G129" s="1697">
        <f t="shared" si="15"/>
        <v>7137</v>
      </c>
      <c r="H129" s="1697">
        <f t="shared" si="15"/>
        <v>0</v>
      </c>
      <c r="I129" s="1697">
        <f t="shared" si="15"/>
        <v>0</v>
      </c>
      <c r="J129" s="1697">
        <f t="shared" si="15"/>
        <v>0</v>
      </c>
      <c r="K129" s="1697">
        <f t="shared" si="15"/>
        <v>2139207</v>
      </c>
      <c r="L129" s="1697">
        <f t="shared" si="15"/>
        <v>2278081</v>
      </c>
    </row>
    <row r="130" spans="1:14" ht="15.75" customHeight="1" thickTop="1" thickBot="1">
      <c r="A130" s="1630" t="s">
        <v>1096</v>
      </c>
      <c r="B130" s="1631" t="s">
        <v>596</v>
      </c>
      <c r="C130" s="576"/>
      <c r="D130" s="576"/>
      <c r="E130" s="576"/>
      <c r="F130" s="576"/>
      <c r="G130" s="576"/>
      <c r="H130" s="576"/>
      <c r="I130" s="531"/>
      <c r="J130" s="531"/>
      <c r="K130" s="1690">
        <f>SUM(C130:J130)</f>
        <v>0</v>
      </c>
      <c r="L130" s="576">
        <v>0</v>
      </c>
    </row>
    <row r="131" spans="1:14" ht="15.75" customHeight="1" thickTop="1">
      <c r="A131" s="1636" t="s">
        <v>637</v>
      </c>
      <c r="B131" s="1629"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0" t="s">
        <v>517</v>
      </c>
      <c r="B133" s="1862" t="s">
        <v>1954</v>
      </c>
      <c r="C133" s="468"/>
      <c r="D133" s="468"/>
      <c r="E133" s="642"/>
      <c r="F133" s="468"/>
      <c r="G133" s="468"/>
      <c r="H133" s="642"/>
      <c r="I133" s="468"/>
      <c r="J133" s="468"/>
      <c r="K133" s="1842">
        <f>SUM(E133,H133)</f>
        <v>0</v>
      </c>
      <c r="L133" s="642">
        <v>0</v>
      </c>
      <c r="M133" s="206"/>
      <c r="N133" s="206"/>
    </row>
    <row r="134" spans="1:14">
      <c r="A134" s="1524" t="s">
        <v>322</v>
      </c>
      <c r="B134" s="615">
        <v>4120</v>
      </c>
      <c r="C134" s="617"/>
      <c r="D134" s="617"/>
      <c r="E134" s="478"/>
      <c r="F134" s="617"/>
      <c r="G134" s="617"/>
      <c r="H134" s="481"/>
      <c r="I134" s="477"/>
      <c r="J134" s="617"/>
      <c r="K134" s="1692">
        <f>SUM(E134,H134)</f>
        <v>0</v>
      </c>
      <c r="L134" s="481">
        <v>0</v>
      </c>
    </row>
    <row r="135" spans="1:14">
      <c r="A135" s="1524" t="s">
        <v>721</v>
      </c>
      <c r="B135" s="615">
        <v>4140</v>
      </c>
      <c r="C135" s="617"/>
      <c r="D135" s="617"/>
      <c r="E135" s="467"/>
      <c r="F135" s="617"/>
      <c r="G135" s="617"/>
      <c r="H135" s="466"/>
      <c r="I135" s="477"/>
      <c r="J135" s="617"/>
      <c r="K135" s="1692">
        <f>SUM(E135,H135)</f>
        <v>0</v>
      </c>
      <c r="L135" s="466">
        <v>0</v>
      </c>
    </row>
    <row r="136" spans="1:14">
      <c r="A136" s="1528" t="s">
        <v>722</v>
      </c>
      <c r="B136" s="629">
        <v>4190</v>
      </c>
      <c r="C136" s="617"/>
      <c r="D136" s="617"/>
      <c r="E136" s="467"/>
      <c r="F136" s="617"/>
      <c r="G136" s="617"/>
      <c r="H136" s="466"/>
      <c r="I136" s="477"/>
      <c r="J136" s="617"/>
      <c r="K136" s="1692">
        <f>SUM(E136,H136)</f>
        <v>0</v>
      </c>
      <c r="L136" s="466">
        <v>0</v>
      </c>
    </row>
    <row r="137" spans="1:14" ht="12.75" customHeight="1" thickBot="1">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c r="A138" s="1530" t="s">
        <v>98</v>
      </c>
      <c r="B138" s="644" t="s">
        <v>988</v>
      </c>
      <c r="C138" s="617"/>
      <c r="D138" s="617"/>
      <c r="E138" s="479"/>
      <c r="F138" s="617"/>
      <c r="G138" s="617"/>
      <c r="H138" s="576"/>
      <c r="I138" s="477"/>
      <c r="J138" s="617"/>
      <c r="K138" s="1692">
        <f>SUM(E138,H138)</f>
        <v>0</v>
      </c>
      <c r="L138" s="576">
        <v>0</v>
      </c>
    </row>
    <row r="139" spans="1:14" ht="12.75" customHeight="1" thickTop="1" thickBot="1">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c r="A140" s="1632" t="s">
        <v>1097</v>
      </c>
      <c r="B140" s="1633"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4" t="s">
        <v>89</v>
      </c>
      <c r="B142" s="615">
        <v>5110</v>
      </c>
      <c r="C142" s="617"/>
      <c r="D142" s="617"/>
      <c r="E142" s="617"/>
      <c r="F142" s="617"/>
      <c r="G142" s="617"/>
      <c r="H142" s="481"/>
      <c r="I142" s="468"/>
      <c r="J142" s="617"/>
      <c r="K142" s="1692">
        <f>SUM(H142)</f>
        <v>0</v>
      </c>
      <c r="L142" s="481">
        <v>0</v>
      </c>
    </row>
    <row r="143" spans="1:14">
      <c r="A143" s="1524" t="s">
        <v>90</v>
      </c>
      <c r="B143" s="615">
        <v>5120</v>
      </c>
      <c r="C143" s="617"/>
      <c r="D143" s="617"/>
      <c r="E143" s="617"/>
      <c r="F143" s="617"/>
      <c r="G143" s="617"/>
      <c r="H143" s="466"/>
      <c r="I143" s="468"/>
      <c r="J143" s="617"/>
      <c r="K143" s="1692">
        <f>SUM(H143)</f>
        <v>0</v>
      </c>
      <c r="L143" s="466">
        <v>0</v>
      </c>
    </row>
    <row r="144" spans="1:14" ht="12.75" customHeight="1">
      <c r="A144" s="1524" t="s">
        <v>1232</v>
      </c>
      <c r="B144" s="629" t="s">
        <v>638</v>
      </c>
      <c r="C144" s="617"/>
      <c r="D144" s="617"/>
      <c r="E144" s="617"/>
      <c r="F144" s="617"/>
      <c r="G144" s="617"/>
      <c r="H144" s="466"/>
      <c r="I144" s="468"/>
      <c r="J144" s="617"/>
      <c r="K144" s="1692">
        <f>SUM(H144)</f>
        <v>0</v>
      </c>
      <c r="L144" s="466">
        <v>0</v>
      </c>
    </row>
    <row r="145" spans="1:14">
      <c r="A145" s="1524" t="s">
        <v>91</v>
      </c>
      <c r="B145" s="615" t="s">
        <v>610</v>
      </c>
      <c r="C145" s="617"/>
      <c r="D145" s="617"/>
      <c r="E145" s="617"/>
      <c r="F145" s="617"/>
      <c r="G145" s="617"/>
      <c r="H145" s="466"/>
      <c r="I145" s="468"/>
      <c r="J145" s="617"/>
      <c r="K145" s="1692">
        <f>SUM(H145)</f>
        <v>0</v>
      </c>
      <c r="L145" s="466">
        <v>0</v>
      </c>
    </row>
    <row r="146" spans="1:14" ht="12.75" customHeight="1">
      <c r="A146" s="1524" t="s">
        <v>640</v>
      </c>
      <c r="B146" s="615" t="s">
        <v>639</v>
      </c>
      <c r="C146" s="617"/>
      <c r="D146" s="617"/>
      <c r="E146" s="617"/>
      <c r="F146" s="617"/>
      <c r="G146" s="617"/>
      <c r="H146" s="466"/>
      <c r="I146" s="468"/>
      <c r="J146" s="617"/>
      <c r="K146" s="1692">
        <f>SUM(H146)</f>
        <v>0</v>
      </c>
      <c r="L146" s="466">
        <v>0</v>
      </c>
    </row>
    <row r="147" spans="1:14" ht="12.75" customHeight="1" thickBot="1">
      <c r="A147" s="1535"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c r="A148" s="661" t="s">
        <v>1165</v>
      </c>
      <c r="B148" s="662" t="s">
        <v>38</v>
      </c>
      <c r="C148" s="617"/>
      <c r="D148" s="617"/>
      <c r="E148" s="617"/>
      <c r="F148" s="617"/>
      <c r="G148" s="617"/>
      <c r="H148" s="479"/>
      <c r="I148" s="468"/>
      <c r="J148" s="617"/>
      <c r="K148" s="1692">
        <f>SUM(H148)</f>
        <v>0</v>
      </c>
      <c r="L148" s="492">
        <v>0</v>
      </c>
    </row>
    <row r="149" spans="1:14" ht="12.75" customHeight="1" thickBot="1">
      <c r="A149" s="1527"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c r="A150" s="1626" t="s">
        <v>1098</v>
      </c>
      <c r="B150" s="1633" t="s">
        <v>916</v>
      </c>
      <c r="C150" s="617"/>
      <c r="D150" s="617"/>
      <c r="E150" s="617"/>
      <c r="F150" s="617"/>
      <c r="G150" s="617"/>
      <c r="H150" s="663"/>
      <c r="I150" s="521"/>
      <c r="J150" s="617"/>
      <c r="K150" s="624"/>
      <c r="L150" s="573">
        <v>0</v>
      </c>
    </row>
    <row r="151" spans="1:14" ht="12.75" customHeight="1" thickTop="1" thickBot="1">
      <c r="A151" s="2251" t="s">
        <v>641</v>
      </c>
      <c r="B151" s="2231"/>
      <c r="C151" s="1690">
        <f>SUM(C129,C130,C139,C149,C150)</f>
        <v>1281185</v>
      </c>
      <c r="D151" s="1690">
        <f t="shared" ref="D151:K151" si="16">SUM(D129,D130,D139,D149,D150)</f>
        <v>159030</v>
      </c>
      <c r="E151" s="1690">
        <f t="shared" si="16"/>
        <v>200395</v>
      </c>
      <c r="F151" s="1690">
        <f t="shared" si="16"/>
        <v>491460</v>
      </c>
      <c r="G151" s="1690">
        <f t="shared" si="16"/>
        <v>7137</v>
      </c>
      <c r="H151" s="1690">
        <f t="shared" si="16"/>
        <v>0</v>
      </c>
      <c r="I151" s="1690">
        <f t="shared" si="16"/>
        <v>0</v>
      </c>
      <c r="J151" s="1690">
        <f t="shared" si="16"/>
        <v>0</v>
      </c>
      <c r="K151" s="1690">
        <f t="shared" si="16"/>
        <v>2139207</v>
      </c>
      <c r="L151" s="1690">
        <f>SUM(L129,L130,L139,L149,L150)</f>
        <v>2278081</v>
      </c>
    </row>
    <row r="152" spans="1:14" ht="12.75" customHeight="1" thickTop="1">
      <c r="A152" s="2254" t="s">
        <v>1240</v>
      </c>
      <c r="B152" s="2255"/>
      <c r="C152" s="619"/>
      <c r="D152" s="619"/>
      <c r="E152" s="619"/>
      <c r="F152" s="619"/>
      <c r="G152" s="619"/>
      <c r="H152" s="619"/>
      <c r="I152" s="619"/>
      <c r="J152" s="617"/>
      <c r="K152" s="1704">
        <f>'Revenues 9-14'!D275-'Expenditures 15-22'!K151</f>
        <v>-316420</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239" t="s">
        <v>642</v>
      </c>
      <c r="B154" s="2241"/>
      <c r="C154" s="1646"/>
      <c r="D154" s="1647"/>
      <c r="E154" s="1647"/>
      <c r="F154" s="1647"/>
      <c r="G154" s="1647"/>
      <c r="H154" s="1647"/>
      <c r="I154" s="1647"/>
      <c r="J154" s="1647"/>
      <c r="K154" s="1647"/>
      <c r="L154" s="1648"/>
      <c r="M154" s="668"/>
      <c r="N154" s="668"/>
    </row>
    <row r="155" spans="1:14" s="621" customFormat="1" ht="15.75" customHeight="1" thickBot="1">
      <c r="A155" s="1637" t="s">
        <v>83</v>
      </c>
      <c r="B155" s="1638" t="s">
        <v>915</v>
      </c>
      <c r="C155" s="617"/>
      <c r="D155" s="617"/>
      <c r="E155" s="617"/>
      <c r="F155" s="617"/>
      <c r="G155" s="617"/>
      <c r="H155" s="1863"/>
      <c r="I155" s="617"/>
      <c r="J155" s="617"/>
      <c r="K155" s="1846"/>
      <c r="L155" s="1863"/>
      <c r="M155" s="620"/>
      <c r="N155" s="620"/>
    </row>
    <row r="156" spans="1:14" s="621" customFormat="1" ht="15.75" customHeight="1" thickTop="1">
      <c r="A156" s="1843" t="s">
        <v>1955</v>
      </c>
      <c r="B156" s="1844"/>
      <c r="C156" s="617"/>
      <c r="D156" s="617"/>
      <c r="E156" s="617"/>
      <c r="F156" s="617"/>
      <c r="G156" s="617"/>
      <c r="H156" s="1864"/>
      <c r="I156" s="617"/>
      <c r="J156" s="617"/>
      <c r="K156" s="1845"/>
      <c r="L156" s="1864"/>
      <c r="M156" s="620"/>
      <c r="N156" s="620"/>
    </row>
    <row r="157" spans="1:14" s="621" customFormat="1" ht="12">
      <c r="A157" s="1847" t="s">
        <v>517</v>
      </c>
      <c r="B157" s="1848" t="s">
        <v>1954</v>
      </c>
      <c r="C157" s="617"/>
      <c r="D157" s="617"/>
      <c r="E157" s="617"/>
      <c r="F157" s="617"/>
      <c r="G157" s="617"/>
      <c r="H157" s="642"/>
      <c r="I157" s="617"/>
      <c r="J157" s="617"/>
      <c r="K157" s="1691">
        <f>H157</f>
        <v>0</v>
      </c>
      <c r="L157" s="467">
        <v>0</v>
      </c>
      <c r="M157" s="620"/>
      <c r="N157" s="620"/>
    </row>
    <row r="158" spans="1:14" s="621" customFormat="1" ht="12">
      <c r="A158" s="1847" t="s">
        <v>322</v>
      </c>
      <c r="B158" s="1848" t="s">
        <v>1956</v>
      </c>
      <c r="C158" s="617"/>
      <c r="D158" s="617"/>
      <c r="E158" s="617"/>
      <c r="F158" s="617"/>
      <c r="G158" s="617"/>
      <c r="H158" s="467"/>
      <c r="I158" s="617"/>
      <c r="J158" s="617"/>
      <c r="K158" s="1691">
        <f>H158</f>
        <v>0</v>
      </c>
      <c r="L158" s="467">
        <v>0</v>
      </c>
      <c r="M158" s="620"/>
      <c r="N158" s="620"/>
    </row>
    <row r="159" spans="1:14" s="621" customFormat="1" ht="12">
      <c r="A159" s="1847" t="s">
        <v>1957</v>
      </c>
      <c r="B159" s="1848" t="s">
        <v>579</v>
      </c>
      <c r="C159" s="617"/>
      <c r="D159" s="617"/>
      <c r="E159" s="617"/>
      <c r="F159" s="617"/>
      <c r="G159" s="617"/>
      <c r="H159" s="467"/>
      <c r="I159" s="617"/>
      <c r="J159" s="617"/>
      <c r="K159" s="1691">
        <f>H159</f>
        <v>0</v>
      </c>
      <c r="L159" s="467">
        <v>0</v>
      </c>
      <c r="M159" s="620"/>
      <c r="N159" s="620"/>
    </row>
    <row r="160" spans="1:14" s="621" customFormat="1" ht="15.75" customHeight="1" thickBot="1">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c r="A161" s="1632" t="s">
        <v>84</v>
      </c>
      <c r="B161" s="1633"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4" t="s">
        <v>89</v>
      </c>
      <c r="B163" s="615">
        <v>5110</v>
      </c>
      <c r="C163" s="617"/>
      <c r="D163" s="617"/>
      <c r="E163" s="617"/>
      <c r="F163" s="617"/>
      <c r="G163" s="617"/>
      <c r="H163" s="466"/>
      <c r="I163" s="617"/>
      <c r="J163" s="617"/>
      <c r="K163" s="1691">
        <f>SUM(C163:J163)</f>
        <v>0</v>
      </c>
      <c r="L163" s="466">
        <v>0</v>
      </c>
    </row>
    <row r="164" spans="1:14">
      <c r="A164" s="1524" t="s">
        <v>90</v>
      </c>
      <c r="B164" s="615">
        <v>5120</v>
      </c>
      <c r="C164" s="617"/>
      <c r="D164" s="617"/>
      <c r="E164" s="617"/>
      <c r="F164" s="617"/>
      <c r="G164" s="617"/>
      <c r="H164" s="466"/>
      <c r="I164" s="617"/>
      <c r="J164" s="617"/>
      <c r="K164" s="1691">
        <f>SUM(C164:J164)</f>
        <v>0</v>
      </c>
      <c r="L164" s="466">
        <v>0</v>
      </c>
    </row>
    <row r="165" spans="1:14" ht="12.75" customHeight="1">
      <c r="A165" s="1524" t="s">
        <v>1232</v>
      </c>
      <c r="B165" s="615" t="s">
        <v>638</v>
      </c>
      <c r="C165" s="617"/>
      <c r="D165" s="617"/>
      <c r="E165" s="617"/>
      <c r="F165" s="617"/>
      <c r="G165" s="617"/>
      <c r="H165" s="466"/>
      <c r="I165" s="617"/>
      <c r="J165" s="617"/>
      <c r="K165" s="1691">
        <f>SUM(C165:J165)</f>
        <v>0</v>
      </c>
      <c r="L165" s="466">
        <v>0</v>
      </c>
    </row>
    <row r="166" spans="1:14">
      <c r="A166" s="1524" t="s">
        <v>91</v>
      </c>
      <c r="B166" s="629" t="s">
        <v>610</v>
      </c>
      <c r="C166" s="617"/>
      <c r="D166" s="617"/>
      <c r="E166" s="617"/>
      <c r="F166" s="617"/>
      <c r="G166" s="617"/>
      <c r="H166" s="466"/>
      <c r="I166" s="617"/>
      <c r="J166" s="617"/>
      <c r="K166" s="1691">
        <f>SUM(C166:J166)</f>
        <v>0</v>
      </c>
      <c r="L166" s="466">
        <v>0</v>
      </c>
    </row>
    <row r="167" spans="1:14" ht="12.75" customHeight="1">
      <c r="A167" s="1524" t="s">
        <v>640</v>
      </c>
      <c r="B167" s="615" t="s">
        <v>639</v>
      </c>
      <c r="C167" s="617"/>
      <c r="D167" s="617"/>
      <c r="E167" s="617"/>
      <c r="F167" s="617"/>
      <c r="G167" s="617"/>
      <c r="H167" s="466"/>
      <c r="I167" s="617"/>
      <c r="J167" s="617"/>
      <c r="K167" s="1691">
        <f>SUM(C167:J167)</f>
        <v>0</v>
      </c>
      <c r="L167" s="466">
        <v>0</v>
      </c>
    </row>
    <row r="168" spans="1:14" ht="13.5" thickBot="1">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c r="A169" s="670" t="s">
        <v>85</v>
      </c>
      <c r="B169" s="671" t="s">
        <v>38</v>
      </c>
      <c r="C169" s="617"/>
      <c r="D169" s="617"/>
      <c r="E169" s="617"/>
      <c r="F169" s="617"/>
      <c r="G169" s="617"/>
      <c r="H169" s="657">
        <v>1001200</v>
      </c>
      <c r="I169" s="617"/>
      <c r="J169" s="617"/>
      <c r="K169" s="1691">
        <f>SUM(C169:H169)</f>
        <v>1001200</v>
      </c>
      <c r="L169" s="657">
        <v>1001200</v>
      </c>
    </row>
    <row r="170" spans="1:14" ht="33.75" customHeight="1">
      <c r="A170" s="670" t="s">
        <v>1769</v>
      </c>
      <c r="B170" s="672" t="s">
        <v>31</v>
      </c>
      <c r="C170" s="617"/>
      <c r="D170" s="617"/>
      <c r="E170" s="617"/>
      <c r="F170" s="617"/>
      <c r="G170" s="617"/>
      <c r="H170" s="569">
        <v>1855000</v>
      </c>
      <c r="I170" s="617"/>
      <c r="J170" s="617"/>
      <c r="K170" s="1691">
        <f>SUM(C170:J170)</f>
        <v>1855000</v>
      </c>
      <c r="L170" s="569">
        <v>1855000</v>
      </c>
    </row>
    <row r="171" spans="1:14" ht="15.75" customHeight="1">
      <c r="A171" s="622" t="s">
        <v>790</v>
      </c>
      <c r="B171" s="673" t="s">
        <v>86</v>
      </c>
      <c r="C171" s="617"/>
      <c r="D171" s="617"/>
      <c r="E171" s="466"/>
      <c r="F171" s="617"/>
      <c r="G171" s="617"/>
      <c r="H171" s="569">
        <v>1900</v>
      </c>
      <c r="I171" s="477"/>
      <c r="J171" s="617"/>
      <c r="K171" s="1691">
        <f>SUM(C171:J171)</f>
        <v>1900</v>
      </c>
      <c r="L171" s="569">
        <v>2000</v>
      </c>
    </row>
    <row r="172" spans="1:14" ht="12.75" customHeight="1" thickBot="1">
      <c r="A172" s="1688" t="s">
        <v>659</v>
      </c>
      <c r="B172" s="1689" t="s">
        <v>513</v>
      </c>
      <c r="C172" s="617"/>
      <c r="D172" s="617"/>
      <c r="E172" s="1697">
        <f>SUM(E168,E169,E170,E171)</f>
        <v>0</v>
      </c>
      <c r="F172" s="617"/>
      <c r="G172" s="617"/>
      <c r="H172" s="1697">
        <f>SUM(H168,H169,H170,H171)</f>
        <v>2858100</v>
      </c>
      <c r="I172" s="639"/>
      <c r="J172" s="617"/>
      <c r="K172" s="1697">
        <f>SUM(K168,K169,K170,K171)</f>
        <v>2858100</v>
      </c>
      <c r="L172" s="1697">
        <f>SUM(L168,L169,L170,L171)</f>
        <v>2858200</v>
      </c>
    </row>
    <row r="173" spans="1:14" ht="15.75" customHeight="1" thickTop="1" thickBot="1">
      <c r="A173" s="1639" t="s">
        <v>87</v>
      </c>
      <c r="B173" s="1631" t="s">
        <v>916</v>
      </c>
      <c r="C173" s="617"/>
      <c r="D173" s="617"/>
      <c r="E173" s="624"/>
      <c r="F173" s="617"/>
      <c r="G173" s="617"/>
      <c r="H173" s="627"/>
      <c r="I173" s="639"/>
      <c r="J173" s="617"/>
      <c r="K173" s="624"/>
      <c r="L173" s="576">
        <v>0</v>
      </c>
    </row>
    <row r="174" spans="1:14" ht="12.75" customHeight="1" thickTop="1" thickBot="1">
      <c r="A174" s="1709" t="s">
        <v>92</v>
      </c>
      <c r="B174" s="1710"/>
      <c r="C174" s="617"/>
      <c r="D174" s="617"/>
      <c r="E174" s="1697">
        <f>SUM(E155,E172,E173)</f>
        <v>0</v>
      </c>
      <c r="F174" s="617"/>
      <c r="G174" s="617"/>
      <c r="H174" s="1697">
        <f>SUM(H160,H172,H173)</f>
        <v>2858100</v>
      </c>
      <c r="I174" s="639"/>
      <c r="J174" s="617"/>
      <c r="K174" s="1697">
        <f>SUM(K160,K172,K173)</f>
        <v>2858100</v>
      </c>
      <c r="L174" s="1697">
        <f>SUM(L160,L172,L173)</f>
        <v>2858200</v>
      </c>
    </row>
    <row r="175" spans="1:14" ht="13.5" thickTop="1">
      <c r="A175" s="2234" t="s">
        <v>1053</v>
      </c>
      <c r="B175" s="2235"/>
      <c r="C175" s="617"/>
      <c r="D175" s="617"/>
      <c r="E175" s="617"/>
      <c r="F175" s="617"/>
      <c r="G175" s="617"/>
      <c r="H175" s="619"/>
      <c r="I175" s="617"/>
      <c r="J175" s="617"/>
      <c r="K175" s="1704">
        <f>'Revenues 9-14'!E275-'Expenditures 15-22'!K174</f>
        <v>693996</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4" t="s">
        <v>994</v>
      </c>
      <c r="B177" s="1575"/>
      <c r="C177" s="1571"/>
      <c r="D177" s="1572"/>
      <c r="E177" s="1572"/>
      <c r="F177" s="1572"/>
      <c r="G177" s="1572"/>
      <c r="H177" s="1572"/>
      <c r="I177" s="1572"/>
      <c r="J177" s="1572"/>
      <c r="K177" s="1572"/>
      <c r="L177" s="1573"/>
      <c r="M177" s="610"/>
      <c r="N177" s="610"/>
    </row>
    <row r="178" spans="1:14" s="675" customFormat="1" ht="15.75" customHeight="1">
      <c r="A178" s="1640" t="s">
        <v>995</v>
      </c>
      <c r="B178" s="1641"/>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4" t="s">
        <v>167</v>
      </c>
      <c r="B180" s="615">
        <v>2190</v>
      </c>
      <c r="C180" s="466"/>
      <c r="D180" s="466"/>
      <c r="E180" s="466"/>
      <c r="F180" s="466"/>
      <c r="G180" s="466"/>
      <c r="H180" s="466"/>
      <c r="I180" s="467"/>
      <c r="J180" s="467"/>
      <c r="K180" s="1691">
        <f>SUM(C180:J180)</f>
        <v>0</v>
      </c>
      <c r="L180" s="466">
        <v>0</v>
      </c>
    </row>
    <row r="181" spans="1:14" ht="15.75" customHeight="1">
      <c r="A181" s="625" t="s">
        <v>633</v>
      </c>
      <c r="B181" s="677"/>
      <c r="C181" s="570"/>
      <c r="D181" s="570"/>
      <c r="E181" s="570"/>
      <c r="F181" s="570"/>
      <c r="G181" s="570"/>
      <c r="H181" s="570"/>
      <c r="I181" s="468"/>
      <c r="J181" s="468"/>
      <c r="K181" s="570"/>
      <c r="L181" s="570"/>
    </row>
    <row r="182" spans="1:14" ht="12.75" customHeight="1">
      <c r="A182" s="1524" t="s">
        <v>1010</v>
      </c>
      <c r="B182" s="615">
        <v>2550</v>
      </c>
      <c r="C182" s="466">
        <v>919008</v>
      </c>
      <c r="D182" s="466">
        <v>71082</v>
      </c>
      <c r="E182" s="466">
        <v>364010</v>
      </c>
      <c r="F182" s="466">
        <v>120192</v>
      </c>
      <c r="G182" s="466"/>
      <c r="H182" s="466">
        <v>27056</v>
      </c>
      <c r="I182" s="467"/>
      <c r="J182" s="467"/>
      <c r="K182" s="1691">
        <f>SUM(C182:J182)</f>
        <v>1501348</v>
      </c>
      <c r="L182" s="466">
        <v>1539519</v>
      </c>
    </row>
    <row r="183" spans="1:14" ht="12.75" customHeight="1" thickBot="1">
      <c r="A183" s="1529" t="s">
        <v>1037</v>
      </c>
      <c r="B183" s="678">
        <v>2900</v>
      </c>
      <c r="C183" s="573"/>
      <c r="D183" s="573"/>
      <c r="E183" s="573"/>
      <c r="F183" s="573"/>
      <c r="G183" s="573"/>
      <c r="H183" s="573"/>
      <c r="I183" s="532"/>
      <c r="J183" s="532"/>
      <c r="K183" s="1697">
        <f>SUM(C183:J183)</f>
        <v>0</v>
      </c>
      <c r="L183" s="573">
        <v>0</v>
      </c>
    </row>
    <row r="184" spans="1:14" ht="12.75" customHeight="1" thickTop="1" thickBot="1">
      <c r="A184" s="1711" t="s">
        <v>865</v>
      </c>
      <c r="B184" s="1689" t="s">
        <v>590</v>
      </c>
      <c r="C184" s="1697">
        <f>SUM(C180,C182,C183)</f>
        <v>919008</v>
      </c>
      <c r="D184" s="1697">
        <f t="shared" ref="D184:J184" si="17">SUM(D180,D182,D183)</f>
        <v>71082</v>
      </c>
      <c r="E184" s="1697">
        <f t="shared" si="17"/>
        <v>364010</v>
      </c>
      <c r="F184" s="1697">
        <f t="shared" si="17"/>
        <v>120192</v>
      </c>
      <c r="G184" s="1697">
        <f t="shared" si="17"/>
        <v>0</v>
      </c>
      <c r="H184" s="1697">
        <f t="shared" si="17"/>
        <v>27056</v>
      </c>
      <c r="I184" s="1697">
        <f t="shared" si="17"/>
        <v>0</v>
      </c>
      <c r="J184" s="1697">
        <f t="shared" si="17"/>
        <v>0</v>
      </c>
      <c r="K184" s="1697">
        <f>SUM(K180,K182,K183)</f>
        <v>1501348</v>
      </c>
      <c r="L184" s="1697">
        <f>SUM(L180, L182:L183)</f>
        <v>1539519</v>
      </c>
    </row>
    <row r="185" spans="1:14" ht="15.75" customHeight="1" thickTop="1" thickBot="1">
      <c r="A185" s="1642" t="s">
        <v>996</v>
      </c>
      <c r="B185" s="1631">
        <v>3000</v>
      </c>
      <c r="C185" s="576"/>
      <c r="D185" s="576"/>
      <c r="E185" s="576"/>
      <c r="F185" s="576"/>
      <c r="G185" s="576"/>
      <c r="H185" s="576"/>
      <c r="I185" s="531"/>
      <c r="J185" s="531"/>
      <c r="K185" s="1690">
        <f>SUM(C185:J185)</f>
        <v>0</v>
      </c>
      <c r="L185" s="576">
        <v>0</v>
      </c>
    </row>
    <row r="186" spans="1:14" s="675" customFormat="1" ht="15.75" customHeight="1" thickTop="1">
      <c r="A186" s="1626" t="s">
        <v>93</v>
      </c>
      <c r="B186" s="1629"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4" t="s">
        <v>517</v>
      </c>
      <c r="B188" s="615">
        <v>4110</v>
      </c>
      <c r="C188" s="617"/>
      <c r="D188" s="617"/>
      <c r="E188" s="466"/>
      <c r="F188" s="617"/>
      <c r="G188" s="617"/>
      <c r="H188" s="466"/>
      <c r="I188" s="477"/>
      <c r="J188" s="617"/>
      <c r="K188" s="1691">
        <f t="shared" ref="K188:K193" si="18">SUM(E188,H188)</f>
        <v>0</v>
      </c>
      <c r="L188" s="466">
        <v>0</v>
      </c>
    </row>
    <row r="189" spans="1:14">
      <c r="A189" s="1524" t="s">
        <v>322</v>
      </c>
      <c r="B189" s="615">
        <v>4120</v>
      </c>
      <c r="C189" s="617"/>
      <c r="D189" s="617"/>
      <c r="E189" s="466"/>
      <c r="F189" s="617"/>
      <c r="G189" s="617"/>
      <c r="H189" s="466"/>
      <c r="I189" s="477"/>
      <c r="J189" s="617"/>
      <c r="K189" s="1691">
        <f t="shared" si="18"/>
        <v>0</v>
      </c>
      <c r="L189" s="466">
        <v>0</v>
      </c>
    </row>
    <row r="190" spans="1:14">
      <c r="A190" s="1524" t="s">
        <v>323</v>
      </c>
      <c r="B190" s="629">
        <v>4130</v>
      </c>
      <c r="C190" s="617"/>
      <c r="D190" s="617"/>
      <c r="E190" s="466"/>
      <c r="F190" s="617"/>
      <c r="G190" s="617"/>
      <c r="H190" s="466"/>
      <c r="I190" s="477"/>
      <c r="J190" s="617"/>
      <c r="K190" s="1691">
        <f t="shared" si="18"/>
        <v>0</v>
      </c>
      <c r="L190" s="466">
        <v>0</v>
      </c>
    </row>
    <row r="191" spans="1:14">
      <c r="A191" s="1524" t="s">
        <v>721</v>
      </c>
      <c r="B191" s="615">
        <v>4140</v>
      </c>
      <c r="C191" s="617"/>
      <c r="D191" s="617"/>
      <c r="E191" s="466"/>
      <c r="F191" s="617"/>
      <c r="G191" s="617"/>
      <c r="H191" s="466"/>
      <c r="I191" s="477"/>
      <c r="J191" s="617"/>
      <c r="K191" s="1691">
        <f t="shared" si="18"/>
        <v>0</v>
      </c>
      <c r="L191" s="466">
        <v>0</v>
      </c>
    </row>
    <row r="192" spans="1:14">
      <c r="A192" s="1524" t="s">
        <v>88</v>
      </c>
      <c r="B192" s="615">
        <v>4170</v>
      </c>
      <c r="C192" s="617"/>
      <c r="D192" s="617"/>
      <c r="E192" s="466"/>
      <c r="F192" s="617"/>
      <c r="G192" s="617"/>
      <c r="H192" s="466"/>
      <c r="I192" s="477"/>
      <c r="J192" s="617"/>
      <c r="K192" s="1691">
        <f t="shared" si="18"/>
        <v>0</v>
      </c>
      <c r="L192" s="466">
        <v>0</v>
      </c>
    </row>
    <row r="193" spans="1:14">
      <c r="A193" s="1528" t="s">
        <v>722</v>
      </c>
      <c r="B193" s="629">
        <v>4190</v>
      </c>
      <c r="C193" s="617"/>
      <c r="D193" s="617"/>
      <c r="E193" s="466"/>
      <c r="F193" s="617"/>
      <c r="G193" s="617"/>
      <c r="H193" s="466"/>
      <c r="I193" s="477"/>
      <c r="J193" s="617"/>
      <c r="K193" s="1691">
        <f t="shared" si="18"/>
        <v>0</v>
      </c>
      <c r="L193" s="466">
        <v>0</v>
      </c>
    </row>
    <row r="194" spans="1:14" ht="12.75" customHeight="1" thickBot="1">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c r="A195" s="670" t="s">
        <v>94</v>
      </c>
      <c r="B195" s="679" t="s">
        <v>988</v>
      </c>
      <c r="C195" s="617"/>
      <c r="D195" s="617"/>
      <c r="E195" s="657"/>
      <c r="F195" s="617"/>
      <c r="G195" s="617"/>
      <c r="H195" s="657"/>
      <c r="I195" s="477"/>
      <c r="J195" s="617"/>
      <c r="K195" s="1705">
        <f>SUM(E195,H195)</f>
        <v>0</v>
      </c>
      <c r="L195" s="657">
        <v>0</v>
      </c>
    </row>
    <row r="196" spans="1:14" ht="12.75" customHeight="1" thickBot="1">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c r="A197" s="1632" t="s">
        <v>997</v>
      </c>
      <c r="B197" s="1629"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4" t="s">
        <v>89</v>
      </c>
      <c r="B199" s="615">
        <v>5110</v>
      </c>
      <c r="C199" s="617"/>
      <c r="D199" s="617"/>
      <c r="E199" s="617"/>
      <c r="F199" s="617"/>
      <c r="G199" s="617"/>
      <c r="H199" s="466"/>
      <c r="I199" s="617"/>
      <c r="J199" s="617"/>
      <c r="K199" s="1691">
        <f>SUM(H199)</f>
        <v>0</v>
      </c>
      <c r="L199" s="466">
        <v>0</v>
      </c>
    </row>
    <row r="200" spans="1:14">
      <c r="A200" s="1524" t="s">
        <v>90</v>
      </c>
      <c r="B200" s="615">
        <v>5120</v>
      </c>
      <c r="C200" s="617"/>
      <c r="D200" s="617"/>
      <c r="E200" s="617"/>
      <c r="F200" s="617"/>
      <c r="G200" s="617"/>
      <c r="H200" s="466"/>
      <c r="I200" s="617"/>
      <c r="J200" s="617"/>
      <c r="K200" s="1691">
        <f>SUM(H200)</f>
        <v>0</v>
      </c>
      <c r="L200" s="466">
        <v>0</v>
      </c>
    </row>
    <row r="201" spans="1:14" ht="12.75" customHeight="1">
      <c r="A201" s="1524" t="s">
        <v>1232</v>
      </c>
      <c r="B201" s="629" t="s">
        <v>638</v>
      </c>
      <c r="C201" s="617"/>
      <c r="D201" s="617"/>
      <c r="E201" s="617"/>
      <c r="F201" s="617"/>
      <c r="G201" s="617"/>
      <c r="H201" s="466"/>
      <c r="I201" s="617"/>
      <c r="J201" s="617"/>
      <c r="K201" s="1691">
        <f>SUM(H201)</f>
        <v>0</v>
      </c>
      <c r="L201" s="466">
        <v>0</v>
      </c>
    </row>
    <row r="202" spans="1:14">
      <c r="A202" s="1524" t="s">
        <v>91</v>
      </c>
      <c r="B202" s="615" t="s">
        <v>610</v>
      </c>
      <c r="C202" s="617"/>
      <c r="D202" s="617"/>
      <c r="E202" s="617"/>
      <c r="F202" s="617"/>
      <c r="G202" s="617"/>
      <c r="H202" s="466"/>
      <c r="I202" s="617"/>
      <c r="J202" s="617"/>
      <c r="K202" s="1691">
        <f>SUM(H202)</f>
        <v>0</v>
      </c>
      <c r="L202" s="466">
        <v>0</v>
      </c>
    </row>
    <row r="203" spans="1:14">
      <c r="A203" s="1536" t="s">
        <v>640</v>
      </c>
      <c r="B203" s="615" t="s">
        <v>639</v>
      </c>
      <c r="C203" s="617"/>
      <c r="D203" s="617"/>
      <c r="E203" s="617"/>
      <c r="F203" s="617"/>
      <c r="G203" s="617"/>
      <c r="H203" s="471"/>
      <c r="I203" s="617"/>
      <c r="J203" s="617"/>
      <c r="K203" s="1691">
        <f>SUM(H203)</f>
        <v>0</v>
      </c>
      <c r="L203" s="471">
        <v>0</v>
      </c>
    </row>
    <row r="204" spans="1:14" ht="13.5" thickBot="1">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c r="A205" s="680" t="s">
        <v>85</v>
      </c>
      <c r="B205" s="681" t="s">
        <v>38</v>
      </c>
      <c r="C205" s="617"/>
      <c r="D205" s="617"/>
      <c r="E205" s="617"/>
      <c r="F205" s="617"/>
      <c r="G205" s="617"/>
      <c r="H205" s="535"/>
      <c r="I205" s="617"/>
      <c r="J205" s="617"/>
      <c r="K205" s="1705">
        <f>SUM(H205)</f>
        <v>0</v>
      </c>
      <c r="L205" s="535">
        <v>0</v>
      </c>
    </row>
    <row r="206" spans="1:14" ht="30" customHeight="1">
      <c r="A206" s="682" t="s">
        <v>1770</v>
      </c>
      <c r="B206" s="673" t="s">
        <v>31</v>
      </c>
      <c r="C206" s="617"/>
      <c r="D206" s="617"/>
      <c r="E206" s="617"/>
      <c r="F206" s="617"/>
      <c r="G206" s="617"/>
      <c r="H206" s="466"/>
      <c r="I206" s="617"/>
      <c r="J206" s="617"/>
      <c r="K206" s="1691">
        <f>SUM(H206)</f>
        <v>0</v>
      </c>
      <c r="L206" s="466">
        <v>0</v>
      </c>
    </row>
    <row r="207" spans="1:14" ht="15.75" customHeight="1">
      <c r="A207" s="622" t="s">
        <v>790</v>
      </c>
      <c r="B207" s="673" t="s">
        <v>86</v>
      </c>
      <c r="C207" s="617"/>
      <c r="D207" s="617"/>
      <c r="E207" s="617"/>
      <c r="F207" s="617"/>
      <c r="G207" s="617"/>
      <c r="H207" s="467"/>
      <c r="I207" s="617"/>
      <c r="J207" s="617"/>
      <c r="K207" s="1691">
        <f>H207</f>
        <v>0</v>
      </c>
      <c r="L207" s="466">
        <v>0</v>
      </c>
    </row>
    <row r="208" spans="1:14" ht="12.75" customHeight="1" thickBot="1">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c r="A209" s="1626" t="s">
        <v>927</v>
      </c>
      <c r="B209" s="1633" t="s">
        <v>916</v>
      </c>
      <c r="C209" s="624"/>
      <c r="D209" s="624"/>
      <c r="E209" s="624"/>
      <c r="F209" s="624"/>
      <c r="G209" s="624"/>
      <c r="H209" s="624"/>
      <c r="I209" s="617"/>
      <c r="J209" s="617"/>
      <c r="K209" s="624"/>
      <c r="L209" s="576">
        <v>0</v>
      </c>
    </row>
    <row r="210" spans="1:14" ht="12.75" customHeight="1" thickTop="1" thickBot="1">
      <c r="A210" s="1712" t="s">
        <v>295</v>
      </c>
      <c r="B210" s="1713"/>
      <c r="C210" s="1690">
        <f>SUM(C184,C185)</f>
        <v>919008</v>
      </c>
      <c r="D210" s="1690">
        <f>SUM(D184,D185)</f>
        <v>71082</v>
      </c>
      <c r="E210" s="1690">
        <f>SUM(E184,E185,E196)</f>
        <v>364010</v>
      </c>
      <c r="F210" s="1690">
        <f>SUM(F184,F185)</f>
        <v>120192</v>
      </c>
      <c r="G210" s="1690">
        <f>SUM(G184,G185)</f>
        <v>0</v>
      </c>
      <c r="H210" s="1690">
        <f>SUM(H184,H185,H196,H208,H209)</f>
        <v>27056</v>
      </c>
      <c r="I210" s="1690">
        <f>SUM(I184,I185)</f>
        <v>0</v>
      </c>
      <c r="J210" s="1690">
        <f>SUM(J184,J185)</f>
        <v>0</v>
      </c>
      <c r="K210" s="1691">
        <f>SUM(K184,K185,K196,K208,K209)</f>
        <v>1501348</v>
      </c>
      <c r="L210" s="1690">
        <f>SUM(L184,L185,L196,L208,L209)</f>
        <v>1539519</v>
      </c>
    </row>
    <row r="211" spans="1:14" ht="13.5" thickTop="1">
      <c r="A211" s="2234" t="s">
        <v>1053</v>
      </c>
      <c r="B211" s="2235"/>
      <c r="C211" s="619"/>
      <c r="D211" s="619"/>
      <c r="E211" s="619"/>
      <c r="F211" s="619"/>
      <c r="G211" s="619"/>
      <c r="H211" s="619"/>
      <c r="I211" s="617"/>
      <c r="J211" s="617"/>
      <c r="K211" s="1704">
        <f>'Revenues 9-14'!F275-'Expenditures 15-22'!K210</f>
        <v>52169</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256" t="s">
        <v>1022</v>
      </c>
      <c r="B213" s="2257"/>
      <c r="C213" s="1571"/>
      <c r="D213" s="1572"/>
      <c r="E213" s="1572"/>
      <c r="F213" s="1572"/>
      <c r="G213" s="1572"/>
      <c r="H213" s="1572"/>
      <c r="I213" s="1572"/>
      <c r="J213" s="1572"/>
      <c r="K213" s="1572"/>
      <c r="L213" s="1573"/>
      <c r="M213" s="610"/>
      <c r="N213" s="610"/>
    </row>
    <row r="214" spans="1:14" s="675" customFormat="1" ht="15.75" customHeight="1">
      <c r="A214" s="1643" t="s">
        <v>928</v>
      </c>
      <c r="B214" s="1635" t="s">
        <v>591</v>
      </c>
      <c r="C214" s="617"/>
      <c r="D214" s="624"/>
      <c r="E214" s="617"/>
      <c r="F214" s="617"/>
      <c r="G214" s="617"/>
      <c r="H214" s="617"/>
      <c r="I214" s="617"/>
      <c r="J214" s="617"/>
      <c r="K214" s="624"/>
      <c r="L214" s="624"/>
      <c r="M214" s="666"/>
      <c r="N214" s="666"/>
    </row>
    <row r="215" spans="1:14">
      <c r="A215" s="1524" t="s">
        <v>1018</v>
      </c>
      <c r="B215" s="615">
        <v>1100</v>
      </c>
      <c r="C215" s="617"/>
      <c r="D215" s="466">
        <v>153197</v>
      </c>
      <c r="E215" s="617"/>
      <c r="F215" s="617"/>
      <c r="G215" s="617"/>
      <c r="H215" s="617"/>
      <c r="I215" s="617"/>
      <c r="J215" s="617"/>
      <c r="K215" s="1691">
        <f>D215</f>
        <v>153197</v>
      </c>
      <c r="L215" s="466">
        <v>154748</v>
      </c>
    </row>
    <row r="216" spans="1:14">
      <c r="A216" s="1524" t="s">
        <v>165</v>
      </c>
      <c r="B216" s="615" t="s">
        <v>1024</v>
      </c>
      <c r="C216" s="617"/>
      <c r="D216" s="467">
        <v>11273</v>
      </c>
      <c r="E216" s="617"/>
      <c r="F216" s="617"/>
      <c r="G216" s="617"/>
      <c r="H216" s="617"/>
      <c r="I216" s="617"/>
      <c r="J216" s="617"/>
      <c r="K216" s="1691">
        <f t="shared" ref="K216:K228" si="19">D216</f>
        <v>11273</v>
      </c>
      <c r="L216" s="466">
        <v>11729</v>
      </c>
    </row>
    <row r="217" spans="1:14">
      <c r="A217" s="1524" t="s">
        <v>166</v>
      </c>
      <c r="B217" s="615">
        <v>1200</v>
      </c>
      <c r="C217" s="617"/>
      <c r="D217" s="466">
        <v>132462</v>
      </c>
      <c r="E217" s="617"/>
      <c r="F217" s="617"/>
      <c r="G217" s="617"/>
      <c r="H217" s="617"/>
      <c r="I217" s="617"/>
      <c r="J217" s="617"/>
      <c r="K217" s="1691">
        <f t="shared" si="19"/>
        <v>132462</v>
      </c>
      <c r="L217" s="466">
        <v>142420</v>
      </c>
    </row>
    <row r="218" spans="1:14">
      <c r="A218" s="1524" t="s">
        <v>296</v>
      </c>
      <c r="B218" s="615" t="s">
        <v>1025</v>
      </c>
      <c r="C218" s="617"/>
      <c r="D218" s="467"/>
      <c r="E218" s="617"/>
      <c r="F218" s="617"/>
      <c r="G218" s="617"/>
      <c r="H218" s="617"/>
      <c r="I218" s="617"/>
      <c r="J218" s="617"/>
      <c r="K218" s="1691">
        <f t="shared" si="19"/>
        <v>0</v>
      </c>
      <c r="L218" s="466">
        <v>0</v>
      </c>
    </row>
    <row r="219" spans="1:14">
      <c r="A219" s="1524" t="s">
        <v>297</v>
      </c>
      <c r="B219" s="615">
        <v>1250</v>
      </c>
      <c r="C219" s="617"/>
      <c r="D219" s="466">
        <v>52934</v>
      </c>
      <c r="E219" s="617"/>
      <c r="F219" s="617"/>
      <c r="G219" s="617"/>
      <c r="H219" s="617"/>
      <c r="I219" s="617"/>
      <c r="J219" s="617"/>
      <c r="K219" s="1691">
        <f t="shared" si="19"/>
        <v>52934</v>
      </c>
      <c r="L219" s="466">
        <v>49267</v>
      </c>
    </row>
    <row r="220" spans="1:14">
      <c r="A220" s="1524" t="s">
        <v>298</v>
      </c>
      <c r="B220" s="615" t="s">
        <v>163</v>
      </c>
      <c r="C220" s="617"/>
      <c r="D220" s="467"/>
      <c r="E220" s="617"/>
      <c r="F220" s="617"/>
      <c r="G220" s="617"/>
      <c r="H220" s="617"/>
      <c r="I220" s="617"/>
      <c r="J220" s="617"/>
      <c r="K220" s="1691">
        <f t="shared" si="19"/>
        <v>0</v>
      </c>
      <c r="L220" s="466">
        <v>0</v>
      </c>
    </row>
    <row r="221" spans="1:14">
      <c r="A221" s="1524" t="s">
        <v>1019</v>
      </c>
      <c r="B221" s="615">
        <v>1300</v>
      </c>
      <c r="C221" s="617"/>
      <c r="D221" s="466"/>
      <c r="E221" s="617"/>
      <c r="F221" s="617"/>
      <c r="G221" s="617"/>
      <c r="H221" s="617"/>
      <c r="I221" s="617"/>
      <c r="J221" s="617"/>
      <c r="K221" s="1691">
        <f t="shared" si="19"/>
        <v>0</v>
      </c>
      <c r="L221" s="466">
        <v>0</v>
      </c>
    </row>
    <row r="222" spans="1:14">
      <c r="A222" s="1524" t="s">
        <v>747</v>
      </c>
      <c r="B222" s="615">
        <v>1400</v>
      </c>
      <c r="C222" s="617"/>
      <c r="D222" s="466"/>
      <c r="E222" s="617"/>
      <c r="F222" s="617"/>
      <c r="G222" s="617"/>
      <c r="H222" s="617"/>
      <c r="I222" s="617"/>
      <c r="J222" s="617"/>
      <c r="K222" s="1691">
        <f t="shared" si="19"/>
        <v>0</v>
      </c>
      <c r="L222" s="466">
        <v>0</v>
      </c>
    </row>
    <row r="223" spans="1:14">
      <c r="A223" s="1524" t="s">
        <v>1020</v>
      </c>
      <c r="B223" s="615">
        <v>1500</v>
      </c>
      <c r="C223" s="617"/>
      <c r="D223" s="466">
        <v>3799</v>
      </c>
      <c r="E223" s="617"/>
      <c r="F223" s="617"/>
      <c r="G223" s="617"/>
      <c r="H223" s="617"/>
      <c r="I223" s="617"/>
      <c r="J223" s="617"/>
      <c r="K223" s="1691">
        <f t="shared" si="19"/>
        <v>3799</v>
      </c>
      <c r="L223" s="466">
        <v>4825</v>
      </c>
    </row>
    <row r="224" spans="1:14">
      <c r="A224" s="1524" t="s">
        <v>1021</v>
      </c>
      <c r="B224" s="615">
        <v>1600</v>
      </c>
      <c r="C224" s="617"/>
      <c r="D224" s="466"/>
      <c r="E224" s="617"/>
      <c r="F224" s="617"/>
      <c r="G224" s="617"/>
      <c r="H224" s="617"/>
      <c r="I224" s="617"/>
      <c r="J224" s="617"/>
      <c r="K224" s="1691">
        <f t="shared" si="19"/>
        <v>0</v>
      </c>
      <c r="L224" s="466">
        <v>0</v>
      </c>
    </row>
    <row r="225" spans="1:12">
      <c r="A225" s="1524" t="s">
        <v>1044</v>
      </c>
      <c r="B225" s="615">
        <v>1650</v>
      </c>
      <c r="C225" s="617"/>
      <c r="D225" s="466"/>
      <c r="E225" s="617"/>
      <c r="F225" s="617"/>
      <c r="G225" s="617"/>
      <c r="H225" s="617"/>
      <c r="I225" s="617"/>
      <c r="J225" s="617"/>
      <c r="K225" s="1691">
        <f t="shared" si="19"/>
        <v>0</v>
      </c>
      <c r="L225" s="466">
        <v>85</v>
      </c>
    </row>
    <row r="226" spans="1:12">
      <c r="A226" s="1524" t="s">
        <v>748</v>
      </c>
      <c r="B226" s="615" t="s">
        <v>164</v>
      </c>
      <c r="C226" s="617"/>
      <c r="D226" s="467"/>
      <c r="E226" s="617"/>
      <c r="F226" s="617"/>
      <c r="G226" s="617"/>
      <c r="H226" s="617"/>
      <c r="I226" s="617"/>
      <c r="J226" s="617"/>
      <c r="K226" s="1691">
        <f t="shared" si="19"/>
        <v>0</v>
      </c>
      <c r="L226" s="466">
        <v>0</v>
      </c>
    </row>
    <row r="227" spans="1:12">
      <c r="A227" s="1524" t="s">
        <v>1148</v>
      </c>
      <c r="B227" s="615">
        <v>1800</v>
      </c>
      <c r="C227" s="617"/>
      <c r="D227" s="466">
        <v>23889</v>
      </c>
      <c r="E227" s="617"/>
      <c r="F227" s="617"/>
      <c r="G227" s="617"/>
      <c r="H227" s="617"/>
      <c r="I227" s="617"/>
      <c r="J227" s="617"/>
      <c r="K227" s="1691">
        <f t="shared" si="19"/>
        <v>23889</v>
      </c>
      <c r="L227" s="466">
        <v>25277</v>
      </c>
    </row>
    <row r="228" spans="1:12">
      <c r="A228" s="1524" t="s">
        <v>1149</v>
      </c>
      <c r="B228" s="615">
        <v>1900</v>
      </c>
      <c r="C228" s="617"/>
      <c r="D228" s="466"/>
      <c r="E228" s="617"/>
      <c r="F228" s="617"/>
      <c r="G228" s="617"/>
      <c r="H228" s="617"/>
      <c r="I228" s="617"/>
      <c r="J228" s="617"/>
      <c r="K228" s="1691">
        <f t="shared" si="19"/>
        <v>0</v>
      </c>
      <c r="L228" s="466">
        <v>0</v>
      </c>
    </row>
    <row r="229" spans="1:12" ht="12.75" customHeight="1" thickBot="1">
      <c r="A229" s="1688" t="s">
        <v>739</v>
      </c>
      <c r="B229" s="1695" t="s">
        <v>591</v>
      </c>
      <c r="C229" s="617"/>
      <c r="D229" s="1690">
        <f>SUM(D215:D228)</f>
        <v>377554</v>
      </c>
      <c r="E229" s="617"/>
      <c r="F229" s="617"/>
      <c r="G229" s="617"/>
      <c r="H229" s="617"/>
      <c r="I229" s="617"/>
      <c r="J229" s="617"/>
      <c r="K229" s="1690">
        <f>SUM(K215:K228)</f>
        <v>377554</v>
      </c>
      <c r="L229" s="1690">
        <f>SUM(L215:L228)</f>
        <v>388351</v>
      </c>
    </row>
    <row r="230" spans="1:12" ht="15.75" customHeight="1" thickTop="1">
      <c r="A230" s="1632" t="s">
        <v>929</v>
      </c>
      <c r="B230" s="1633"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4" t="s">
        <v>1150</v>
      </c>
      <c r="B232" s="615">
        <v>2110</v>
      </c>
      <c r="C232" s="617"/>
      <c r="D232" s="466">
        <v>2878</v>
      </c>
      <c r="E232" s="617"/>
      <c r="F232" s="617"/>
      <c r="G232" s="617"/>
      <c r="H232" s="617"/>
      <c r="I232" s="617"/>
      <c r="J232" s="617"/>
      <c r="K232" s="1691">
        <f t="shared" ref="K232:K237" si="20">D232</f>
        <v>2878</v>
      </c>
      <c r="L232" s="466">
        <v>3344</v>
      </c>
    </row>
    <row r="233" spans="1:12">
      <c r="A233" s="1524" t="s">
        <v>1151</v>
      </c>
      <c r="B233" s="615">
        <v>2120</v>
      </c>
      <c r="C233" s="617"/>
      <c r="D233" s="466">
        <v>7383</v>
      </c>
      <c r="E233" s="617"/>
      <c r="F233" s="617"/>
      <c r="G233" s="617"/>
      <c r="H233" s="617"/>
      <c r="I233" s="617"/>
      <c r="J233" s="617"/>
      <c r="K233" s="1691">
        <f t="shared" si="20"/>
        <v>7383</v>
      </c>
      <c r="L233" s="466">
        <v>9176</v>
      </c>
    </row>
    <row r="234" spans="1:12">
      <c r="A234" s="1524" t="s">
        <v>207</v>
      </c>
      <c r="B234" s="615">
        <v>2130</v>
      </c>
      <c r="C234" s="617"/>
      <c r="D234" s="466">
        <v>16862</v>
      </c>
      <c r="E234" s="617"/>
      <c r="F234" s="617"/>
      <c r="G234" s="617"/>
      <c r="H234" s="617"/>
      <c r="I234" s="617"/>
      <c r="J234" s="617"/>
      <c r="K234" s="1691">
        <f t="shared" si="20"/>
        <v>16862</v>
      </c>
      <c r="L234" s="466">
        <v>17355</v>
      </c>
    </row>
    <row r="235" spans="1:12">
      <c r="A235" s="1524" t="s">
        <v>208</v>
      </c>
      <c r="B235" s="615">
        <v>2140</v>
      </c>
      <c r="C235" s="617"/>
      <c r="D235" s="466">
        <v>1561</v>
      </c>
      <c r="E235" s="617"/>
      <c r="F235" s="617"/>
      <c r="G235" s="617"/>
      <c r="H235" s="617"/>
      <c r="I235" s="617"/>
      <c r="J235" s="617"/>
      <c r="K235" s="1691">
        <f t="shared" si="20"/>
        <v>1561</v>
      </c>
      <c r="L235" s="466">
        <v>1530</v>
      </c>
    </row>
    <row r="236" spans="1:12">
      <c r="A236" s="1524" t="s">
        <v>209</v>
      </c>
      <c r="B236" s="615">
        <v>2150</v>
      </c>
      <c r="C236" s="617"/>
      <c r="D236" s="466">
        <v>5249</v>
      </c>
      <c r="E236" s="617"/>
      <c r="F236" s="617"/>
      <c r="G236" s="617"/>
      <c r="H236" s="617"/>
      <c r="I236" s="617"/>
      <c r="J236" s="617"/>
      <c r="K236" s="1691">
        <f t="shared" si="20"/>
        <v>5249</v>
      </c>
      <c r="L236" s="466">
        <v>5465</v>
      </c>
    </row>
    <row r="237" spans="1:12">
      <c r="A237" s="1524" t="s">
        <v>167</v>
      </c>
      <c r="B237" s="615">
        <v>2190</v>
      </c>
      <c r="C237" s="617"/>
      <c r="D237" s="466">
        <v>25373</v>
      </c>
      <c r="E237" s="617"/>
      <c r="F237" s="617"/>
      <c r="G237" s="617"/>
      <c r="H237" s="617"/>
      <c r="I237" s="617"/>
      <c r="J237" s="617"/>
      <c r="K237" s="1691">
        <f t="shared" si="20"/>
        <v>25373</v>
      </c>
      <c r="L237" s="466">
        <v>27895</v>
      </c>
    </row>
    <row r="238" spans="1:12" ht="12.75" customHeight="1" thickBot="1">
      <c r="A238" s="1688" t="s">
        <v>581</v>
      </c>
      <c r="B238" s="1695" t="s">
        <v>740</v>
      </c>
      <c r="C238" s="617"/>
      <c r="D238" s="1690">
        <f>SUM(D232:D237)</f>
        <v>59306</v>
      </c>
      <c r="E238" s="617"/>
      <c r="F238" s="617"/>
      <c r="G238" s="617"/>
      <c r="H238" s="617"/>
      <c r="I238" s="617"/>
      <c r="J238" s="617"/>
      <c r="K238" s="1690">
        <f>SUM(K232:K237)</f>
        <v>59306</v>
      </c>
      <c r="L238" s="1690">
        <f>SUM(L232:L237)</f>
        <v>64765</v>
      </c>
    </row>
    <row r="239" spans="1:12" ht="15.75" customHeight="1" thickTop="1">
      <c r="A239" s="625" t="s">
        <v>613</v>
      </c>
      <c r="B239" s="632"/>
      <c r="C239" s="617"/>
      <c r="D239" s="627"/>
      <c r="E239" s="617"/>
      <c r="F239" s="617"/>
      <c r="G239" s="617"/>
      <c r="H239" s="617"/>
      <c r="I239" s="617"/>
      <c r="J239" s="617"/>
      <c r="K239" s="627"/>
      <c r="L239" s="627"/>
    </row>
    <row r="240" spans="1:12">
      <c r="A240" s="1524" t="s">
        <v>868</v>
      </c>
      <c r="B240" s="615">
        <v>2210</v>
      </c>
      <c r="C240" s="617"/>
      <c r="D240" s="481">
        <v>5040</v>
      </c>
      <c r="E240" s="617"/>
      <c r="F240" s="617"/>
      <c r="G240" s="617"/>
      <c r="H240" s="617"/>
      <c r="I240" s="617"/>
      <c r="J240" s="617"/>
      <c r="K240" s="1692">
        <f>D240</f>
        <v>5040</v>
      </c>
      <c r="L240" s="481">
        <v>5016</v>
      </c>
    </row>
    <row r="241" spans="1:12">
      <c r="A241" s="1524" t="s">
        <v>869</v>
      </c>
      <c r="B241" s="615">
        <v>2220</v>
      </c>
      <c r="C241" s="617"/>
      <c r="D241" s="466">
        <v>3052</v>
      </c>
      <c r="E241" s="617"/>
      <c r="F241" s="617"/>
      <c r="G241" s="617"/>
      <c r="H241" s="617"/>
      <c r="I241" s="617"/>
      <c r="J241" s="617"/>
      <c r="K241" s="1692">
        <f>D241</f>
        <v>3052</v>
      </c>
      <c r="L241" s="466">
        <v>3375</v>
      </c>
    </row>
    <row r="242" spans="1:12">
      <c r="A242" s="1524" t="s">
        <v>870</v>
      </c>
      <c r="B242" s="615">
        <v>2230</v>
      </c>
      <c r="C242" s="617"/>
      <c r="D242" s="466">
        <v>596</v>
      </c>
      <c r="E242" s="617"/>
      <c r="F242" s="617"/>
      <c r="G242" s="617"/>
      <c r="H242" s="617"/>
      <c r="I242" s="617"/>
      <c r="J242" s="617"/>
      <c r="K242" s="1692">
        <f>D242</f>
        <v>596</v>
      </c>
      <c r="L242" s="466">
        <v>520</v>
      </c>
    </row>
    <row r="243" spans="1:12" ht="12.75" customHeight="1" thickBot="1">
      <c r="A243" s="1714" t="s">
        <v>582</v>
      </c>
      <c r="B243" s="1715">
        <v>2200</v>
      </c>
      <c r="C243" s="617"/>
      <c r="D243" s="1690">
        <f>SUM(D240:D242)</f>
        <v>8688</v>
      </c>
      <c r="E243" s="617"/>
      <c r="F243" s="617"/>
      <c r="G243" s="617"/>
      <c r="H243" s="617"/>
      <c r="I243" s="617"/>
      <c r="J243" s="617"/>
      <c r="K243" s="1690">
        <f>SUM(K240:K242)</f>
        <v>8688</v>
      </c>
      <c r="L243" s="1690">
        <f>SUM(L240:L242)</f>
        <v>8911</v>
      </c>
    </row>
    <row r="244" spans="1:12" ht="15.75" customHeight="1" thickTop="1">
      <c r="A244" s="625" t="s">
        <v>631</v>
      </c>
      <c r="B244" s="683"/>
      <c r="C244" s="617"/>
      <c r="D244" s="627"/>
      <c r="E244" s="617"/>
      <c r="F244" s="617"/>
      <c r="G244" s="617"/>
      <c r="H244" s="617"/>
      <c r="I244" s="617"/>
      <c r="J244" s="617"/>
      <c r="K244" s="627"/>
      <c r="L244" s="627"/>
    </row>
    <row r="245" spans="1:12">
      <c r="A245" s="1524" t="s">
        <v>871</v>
      </c>
      <c r="B245" s="615">
        <v>2310</v>
      </c>
      <c r="C245" s="617"/>
      <c r="D245" s="481">
        <v>13892</v>
      </c>
      <c r="E245" s="617"/>
      <c r="F245" s="617"/>
      <c r="G245" s="617"/>
      <c r="H245" s="617"/>
      <c r="I245" s="617"/>
      <c r="J245" s="617"/>
      <c r="K245" s="1692">
        <f>D245</f>
        <v>13892</v>
      </c>
      <c r="L245" s="481">
        <v>13608</v>
      </c>
    </row>
    <row r="246" spans="1:12">
      <c r="A246" s="1524" t="s">
        <v>872</v>
      </c>
      <c r="B246" s="615">
        <v>2320</v>
      </c>
      <c r="C246" s="617"/>
      <c r="D246" s="466">
        <v>2390</v>
      </c>
      <c r="E246" s="617"/>
      <c r="F246" s="617"/>
      <c r="G246" s="617"/>
      <c r="H246" s="617"/>
      <c r="I246" s="617"/>
      <c r="J246" s="617"/>
      <c r="K246" s="1692">
        <f t="shared" ref="K246:K256" si="21">D246</f>
        <v>2390</v>
      </c>
      <c r="L246" s="466">
        <v>2275</v>
      </c>
    </row>
    <row r="247" spans="1:12">
      <c r="A247" s="1524" t="s">
        <v>873</v>
      </c>
      <c r="B247" s="615">
        <v>2330</v>
      </c>
      <c r="C247" s="617"/>
      <c r="D247" s="466">
        <v>19887</v>
      </c>
      <c r="E247" s="617"/>
      <c r="F247" s="617"/>
      <c r="G247" s="617"/>
      <c r="H247" s="617"/>
      <c r="I247" s="617"/>
      <c r="J247" s="617"/>
      <c r="K247" s="1692">
        <f t="shared" si="21"/>
        <v>19887</v>
      </c>
      <c r="L247" s="466">
        <v>20044</v>
      </c>
    </row>
    <row r="248" spans="1:12">
      <c r="A248" s="1525" t="s">
        <v>317</v>
      </c>
      <c r="B248" s="603" t="s">
        <v>299</v>
      </c>
      <c r="C248" s="617"/>
      <c r="D248" s="474"/>
      <c r="E248" s="617"/>
      <c r="F248" s="617"/>
      <c r="G248" s="617"/>
      <c r="H248" s="617"/>
      <c r="I248" s="617"/>
      <c r="J248" s="617"/>
      <c r="K248" s="1692">
        <f t="shared" si="21"/>
        <v>0</v>
      </c>
      <c r="L248" s="466">
        <v>0</v>
      </c>
    </row>
    <row r="249" spans="1:12">
      <c r="A249" s="1526" t="s">
        <v>1905</v>
      </c>
      <c r="B249" s="684" t="s">
        <v>300</v>
      </c>
      <c r="C249" s="617"/>
      <c r="D249" s="474"/>
      <c r="E249" s="617"/>
      <c r="F249" s="617"/>
      <c r="G249" s="617"/>
      <c r="H249" s="617"/>
      <c r="I249" s="617"/>
      <c r="J249" s="617"/>
      <c r="K249" s="1692">
        <f t="shared" si="21"/>
        <v>0</v>
      </c>
      <c r="L249" s="466">
        <v>0</v>
      </c>
    </row>
    <row r="250" spans="1:12">
      <c r="A250" s="1525" t="s">
        <v>1906</v>
      </c>
      <c r="B250" s="603" t="s">
        <v>301</v>
      </c>
      <c r="C250" s="617"/>
      <c r="D250" s="474"/>
      <c r="E250" s="617"/>
      <c r="F250" s="617"/>
      <c r="G250" s="617"/>
      <c r="H250" s="617"/>
      <c r="I250" s="617"/>
      <c r="J250" s="617"/>
      <c r="K250" s="1692">
        <f t="shared" si="21"/>
        <v>0</v>
      </c>
      <c r="L250" s="466">
        <v>0</v>
      </c>
    </row>
    <row r="251" spans="1:12">
      <c r="A251" s="1525" t="s">
        <v>256</v>
      </c>
      <c r="B251" s="603" t="s">
        <v>302</v>
      </c>
      <c r="C251" s="617"/>
      <c r="D251" s="474"/>
      <c r="E251" s="617"/>
      <c r="F251" s="617"/>
      <c r="G251" s="617"/>
      <c r="H251" s="617"/>
      <c r="I251" s="617"/>
      <c r="J251" s="617"/>
      <c r="K251" s="1692">
        <f t="shared" si="21"/>
        <v>0</v>
      </c>
      <c r="L251" s="466">
        <v>0</v>
      </c>
    </row>
    <row r="252" spans="1:12">
      <c r="A252" s="1525" t="s">
        <v>726</v>
      </c>
      <c r="B252" s="603" t="s">
        <v>303</v>
      </c>
      <c r="C252" s="617"/>
      <c r="D252" s="474"/>
      <c r="E252" s="617"/>
      <c r="F252" s="617"/>
      <c r="G252" s="617"/>
      <c r="H252" s="617"/>
      <c r="I252" s="617"/>
      <c r="J252" s="617"/>
      <c r="K252" s="1692">
        <f t="shared" si="21"/>
        <v>0</v>
      </c>
      <c r="L252" s="466">
        <v>0</v>
      </c>
    </row>
    <row r="253" spans="1:12">
      <c r="A253" s="1525" t="s">
        <v>257</v>
      </c>
      <c r="B253" s="603" t="s">
        <v>304</v>
      </c>
      <c r="C253" s="617"/>
      <c r="D253" s="474"/>
      <c r="E253" s="617"/>
      <c r="F253" s="617"/>
      <c r="G253" s="617"/>
      <c r="H253" s="617"/>
      <c r="I253" s="617"/>
      <c r="J253" s="617"/>
      <c r="K253" s="1692">
        <f t="shared" si="21"/>
        <v>0</v>
      </c>
      <c r="L253" s="466">
        <v>0</v>
      </c>
    </row>
    <row r="254" spans="1:12" ht="22.5">
      <c r="A254" s="1525" t="s">
        <v>1087</v>
      </c>
      <c r="B254" s="684" t="s">
        <v>305</v>
      </c>
      <c r="C254" s="617"/>
      <c r="D254" s="474"/>
      <c r="E254" s="617"/>
      <c r="F254" s="617"/>
      <c r="G254" s="617"/>
      <c r="H254" s="617"/>
      <c r="I254" s="617"/>
      <c r="J254" s="617"/>
      <c r="K254" s="1692">
        <f t="shared" si="21"/>
        <v>0</v>
      </c>
      <c r="L254" s="466">
        <v>0</v>
      </c>
    </row>
    <row r="255" spans="1:12">
      <c r="A255" s="1525" t="s">
        <v>1088</v>
      </c>
      <c r="B255" s="603" t="s">
        <v>306</v>
      </c>
      <c r="C255" s="617"/>
      <c r="D255" s="474"/>
      <c r="E255" s="617"/>
      <c r="F255" s="617"/>
      <c r="G255" s="617"/>
      <c r="H255" s="617"/>
      <c r="I255" s="617"/>
      <c r="J255" s="617"/>
      <c r="K255" s="1692">
        <f t="shared" si="21"/>
        <v>0</v>
      </c>
      <c r="L255" s="466">
        <v>0</v>
      </c>
    </row>
    <row r="256" spans="1:12">
      <c r="A256" s="1525" t="s">
        <v>1028</v>
      </c>
      <c r="B256" s="615" t="s">
        <v>307</v>
      </c>
      <c r="C256" s="617"/>
      <c r="D256" s="474"/>
      <c r="E256" s="617"/>
      <c r="F256" s="617"/>
      <c r="G256" s="617"/>
      <c r="H256" s="617"/>
      <c r="I256" s="617"/>
      <c r="J256" s="617"/>
      <c r="K256" s="1692">
        <f t="shared" si="21"/>
        <v>0</v>
      </c>
      <c r="L256" s="466">
        <v>0</v>
      </c>
    </row>
    <row r="257" spans="1:14" ht="12.75" customHeight="1" thickBot="1">
      <c r="A257" s="1688" t="s">
        <v>741</v>
      </c>
      <c r="B257" s="1716">
        <v>2300</v>
      </c>
      <c r="C257" s="617"/>
      <c r="D257" s="1690">
        <f>SUM(D245:D256)</f>
        <v>36169</v>
      </c>
      <c r="E257" s="617"/>
      <c r="F257" s="617"/>
      <c r="G257" s="617"/>
      <c r="H257" s="617"/>
      <c r="I257" s="617"/>
      <c r="J257" s="617"/>
      <c r="K257" s="1690">
        <f>SUM(K245:K256)</f>
        <v>36169</v>
      </c>
      <c r="L257" s="1690">
        <f>SUM(L245:L256)</f>
        <v>35927</v>
      </c>
    </row>
    <row r="258" spans="1:14" ht="15.75" customHeight="1" thickTop="1">
      <c r="A258" s="625" t="s">
        <v>632</v>
      </c>
      <c r="B258" s="685"/>
      <c r="C258" s="617"/>
      <c r="D258" s="627"/>
      <c r="E258" s="617"/>
      <c r="F258" s="617"/>
      <c r="G258" s="617"/>
      <c r="H258" s="617"/>
      <c r="I258" s="617"/>
      <c r="J258" s="617"/>
      <c r="K258" s="627"/>
      <c r="L258" s="627"/>
    </row>
    <row r="259" spans="1:14">
      <c r="A259" s="1524" t="s">
        <v>1127</v>
      </c>
      <c r="B259" s="686">
        <v>2410</v>
      </c>
      <c r="C259" s="617"/>
      <c r="D259" s="481">
        <v>68531</v>
      </c>
      <c r="E259" s="617"/>
      <c r="F259" s="617"/>
      <c r="G259" s="617"/>
      <c r="H259" s="617"/>
      <c r="I259" s="617"/>
      <c r="J259" s="617"/>
      <c r="K259" s="1692">
        <f>D259</f>
        <v>68531</v>
      </c>
      <c r="L259" s="481">
        <v>69755</v>
      </c>
    </row>
    <row r="260" spans="1:14" s="598" customFormat="1">
      <c r="A260" s="1542" t="s">
        <v>1904</v>
      </c>
      <c r="B260" s="629">
        <v>2490</v>
      </c>
      <c r="C260" s="617"/>
      <c r="D260" s="466"/>
      <c r="E260" s="617"/>
      <c r="F260" s="617"/>
      <c r="G260" s="617"/>
      <c r="H260" s="617"/>
      <c r="I260" s="617"/>
      <c r="J260" s="617"/>
      <c r="K260" s="1692">
        <f>D260</f>
        <v>0</v>
      </c>
      <c r="L260" s="466">
        <v>0</v>
      </c>
      <c r="M260" s="210"/>
      <c r="N260" s="210"/>
    </row>
    <row r="261" spans="1:14" ht="12.75" customHeight="1" thickBot="1">
      <c r="A261" s="1712" t="s">
        <v>281</v>
      </c>
      <c r="B261" s="1717" t="s">
        <v>34</v>
      </c>
      <c r="C261" s="617"/>
      <c r="D261" s="1690">
        <f>SUM(D259:D260)</f>
        <v>68531</v>
      </c>
      <c r="E261" s="617"/>
      <c r="F261" s="617"/>
      <c r="G261" s="617"/>
      <c r="H261" s="617"/>
      <c r="I261" s="617"/>
      <c r="J261" s="617"/>
      <c r="K261" s="1690">
        <f>SUM(K259:K260)</f>
        <v>68531</v>
      </c>
      <c r="L261" s="1690">
        <f>SUM(L259:L260)</f>
        <v>69755</v>
      </c>
    </row>
    <row r="262" spans="1:14" ht="15.75" customHeight="1" thickTop="1">
      <c r="A262" s="625" t="s">
        <v>633</v>
      </c>
      <c r="B262" s="685"/>
      <c r="C262" s="617"/>
      <c r="D262" s="617"/>
      <c r="E262" s="617"/>
      <c r="F262" s="617"/>
      <c r="G262" s="617"/>
      <c r="H262" s="617"/>
      <c r="I262" s="617"/>
      <c r="J262" s="617"/>
      <c r="K262" s="627"/>
      <c r="L262" s="627"/>
    </row>
    <row r="263" spans="1:14">
      <c r="A263" s="1524" t="s">
        <v>1128</v>
      </c>
      <c r="B263" s="686">
        <v>2510</v>
      </c>
      <c r="C263" s="617"/>
      <c r="D263" s="466">
        <v>27507</v>
      </c>
      <c r="E263" s="617"/>
      <c r="F263" s="617"/>
      <c r="G263" s="617"/>
      <c r="H263" s="617"/>
      <c r="I263" s="617"/>
      <c r="J263" s="617"/>
      <c r="K263" s="1692">
        <f>D263</f>
        <v>27507</v>
      </c>
      <c r="L263" s="481">
        <v>27822</v>
      </c>
    </row>
    <row r="264" spans="1:14">
      <c r="A264" s="1524" t="s">
        <v>483</v>
      </c>
      <c r="B264" s="686">
        <v>2520</v>
      </c>
      <c r="C264" s="617"/>
      <c r="D264" s="466">
        <v>21480</v>
      </c>
      <c r="E264" s="617"/>
      <c r="F264" s="617"/>
      <c r="G264" s="617"/>
      <c r="H264" s="617"/>
      <c r="I264" s="617"/>
      <c r="J264" s="617"/>
      <c r="K264" s="1692">
        <f t="shared" ref="K264:K269" si="22">D264</f>
        <v>21480</v>
      </c>
      <c r="L264" s="466">
        <v>21739</v>
      </c>
    </row>
    <row r="265" spans="1:14">
      <c r="A265" s="1524" t="s">
        <v>4</v>
      </c>
      <c r="B265" s="615">
        <v>2530</v>
      </c>
      <c r="C265" s="617"/>
      <c r="D265" s="466"/>
      <c r="E265" s="617"/>
      <c r="F265" s="617"/>
      <c r="G265" s="617"/>
      <c r="H265" s="617"/>
      <c r="I265" s="617"/>
      <c r="J265" s="617"/>
      <c r="K265" s="1692">
        <f t="shared" si="22"/>
        <v>0</v>
      </c>
      <c r="L265" s="466">
        <v>0</v>
      </c>
    </row>
    <row r="266" spans="1:14">
      <c r="A266" s="1524" t="s">
        <v>206</v>
      </c>
      <c r="B266" s="615">
        <v>2540</v>
      </c>
      <c r="C266" s="617"/>
      <c r="D266" s="466">
        <v>250052</v>
      </c>
      <c r="E266" s="617"/>
      <c r="F266" s="617"/>
      <c r="G266" s="617"/>
      <c r="H266" s="617"/>
      <c r="I266" s="617"/>
      <c r="J266" s="617"/>
      <c r="K266" s="1692">
        <f t="shared" si="22"/>
        <v>250052</v>
      </c>
      <c r="L266" s="466">
        <v>255918</v>
      </c>
    </row>
    <row r="267" spans="1:14">
      <c r="A267" s="1524" t="s">
        <v>1010</v>
      </c>
      <c r="B267" s="615">
        <v>2550</v>
      </c>
      <c r="C267" s="617"/>
      <c r="D267" s="466">
        <v>192285</v>
      </c>
      <c r="E267" s="617"/>
      <c r="F267" s="617"/>
      <c r="G267" s="617"/>
      <c r="H267" s="617"/>
      <c r="I267" s="617"/>
      <c r="J267" s="617"/>
      <c r="K267" s="1692">
        <f t="shared" si="22"/>
        <v>192285</v>
      </c>
      <c r="L267" s="466">
        <v>189150</v>
      </c>
    </row>
    <row r="268" spans="1:14">
      <c r="A268" s="1524" t="s">
        <v>102</v>
      </c>
      <c r="B268" s="615">
        <v>2560</v>
      </c>
      <c r="C268" s="617"/>
      <c r="D268" s="466">
        <v>102933</v>
      </c>
      <c r="E268" s="617"/>
      <c r="F268" s="617"/>
      <c r="G268" s="617"/>
      <c r="H268" s="617"/>
      <c r="I268" s="617"/>
      <c r="J268" s="617"/>
      <c r="K268" s="1692">
        <f t="shared" si="22"/>
        <v>102933</v>
      </c>
      <c r="L268" s="466">
        <v>101456</v>
      </c>
    </row>
    <row r="269" spans="1:14">
      <c r="A269" s="1524" t="s">
        <v>103</v>
      </c>
      <c r="B269" s="615">
        <v>2570</v>
      </c>
      <c r="C269" s="617"/>
      <c r="D269" s="466">
        <v>4518</v>
      </c>
      <c r="E269" s="617"/>
      <c r="F269" s="617"/>
      <c r="G269" s="617"/>
      <c r="H269" s="617"/>
      <c r="I269" s="617"/>
      <c r="J269" s="617"/>
      <c r="K269" s="1692">
        <f t="shared" si="22"/>
        <v>4518</v>
      </c>
      <c r="L269" s="466">
        <v>4435</v>
      </c>
    </row>
    <row r="270" spans="1:14" ht="12.75" customHeight="1" thickBot="1">
      <c r="A270" s="1688" t="s">
        <v>743</v>
      </c>
      <c r="B270" s="1695" t="s">
        <v>35</v>
      </c>
      <c r="C270" s="617"/>
      <c r="D270" s="1690">
        <f>SUM(D263:D269)</f>
        <v>598775</v>
      </c>
      <c r="E270" s="617"/>
      <c r="F270" s="617"/>
      <c r="G270" s="617"/>
      <c r="H270" s="617"/>
      <c r="I270" s="617"/>
      <c r="J270" s="617"/>
      <c r="K270" s="1690">
        <f>SUM(K263:K269)</f>
        <v>598775</v>
      </c>
      <c r="L270" s="1690">
        <f>SUM(L263:L269)</f>
        <v>600520</v>
      </c>
    </row>
    <row r="271" spans="1:14" ht="15.75" customHeight="1" thickTop="1">
      <c r="A271" s="670" t="s">
        <v>634</v>
      </c>
      <c r="B271" s="626"/>
      <c r="C271" s="617"/>
      <c r="D271" s="627"/>
      <c r="E271" s="617"/>
      <c r="F271" s="617"/>
      <c r="G271" s="617"/>
      <c r="H271" s="617"/>
      <c r="I271" s="617"/>
      <c r="J271" s="617"/>
      <c r="K271" s="627"/>
      <c r="L271" s="627"/>
    </row>
    <row r="272" spans="1:14">
      <c r="A272" s="1524" t="s">
        <v>1120</v>
      </c>
      <c r="B272" s="615">
        <v>2610</v>
      </c>
      <c r="C272" s="617"/>
      <c r="D272" s="481">
        <v>11199</v>
      </c>
      <c r="E272" s="617"/>
      <c r="F272" s="617"/>
      <c r="G272" s="617"/>
      <c r="H272" s="617"/>
      <c r="I272" s="617"/>
      <c r="J272" s="617"/>
      <c r="K272" s="1692">
        <f>D272</f>
        <v>11199</v>
      </c>
      <c r="L272" s="481">
        <v>11221</v>
      </c>
    </row>
    <row r="273" spans="1:12">
      <c r="A273" s="1524" t="s">
        <v>628</v>
      </c>
      <c r="B273" s="629">
        <v>2620</v>
      </c>
      <c r="C273" s="617"/>
      <c r="D273" s="466"/>
      <c r="E273" s="617"/>
      <c r="F273" s="617"/>
      <c r="G273" s="617"/>
      <c r="H273" s="617"/>
      <c r="I273" s="617"/>
      <c r="J273" s="617"/>
      <c r="K273" s="1692">
        <f>D273</f>
        <v>0</v>
      </c>
      <c r="L273" s="466">
        <v>0</v>
      </c>
    </row>
    <row r="274" spans="1:12" ht="12" customHeight="1">
      <c r="A274" s="1524" t="s">
        <v>1121</v>
      </c>
      <c r="B274" s="615">
        <v>2630</v>
      </c>
      <c r="C274" s="617"/>
      <c r="D274" s="466">
        <v>82360</v>
      </c>
      <c r="E274" s="617"/>
      <c r="F274" s="617"/>
      <c r="G274" s="617"/>
      <c r="H274" s="617"/>
      <c r="I274" s="617"/>
      <c r="J274" s="617"/>
      <c r="K274" s="1692">
        <f>D274</f>
        <v>82360</v>
      </c>
      <c r="L274" s="466">
        <v>82824</v>
      </c>
    </row>
    <row r="275" spans="1:12">
      <c r="A275" s="1524" t="s">
        <v>423</v>
      </c>
      <c r="B275" s="615">
        <v>2640</v>
      </c>
      <c r="C275" s="617"/>
      <c r="D275" s="466">
        <v>25404</v>
      </c>
      <c r="E275" s="617"/>
      <c r="F275" s="617"/>
      <c r="G275" s="617"/>
      <c r="H275" s="617"/>
      <c r="I275" s="617"/>
      <c r="J275" s="617"/>
      <c r="K275" s="1692">
        <f>D275</f>
        <v>25404</v>
      </c>
      <c r="L275" s="466">
        <v>25094</v>
      </c>
    </row>
    <row r="276" spans="1:12">
      <c r="A276" s="1524" t="s">
        <v>424</v>
      </c>
      <c r="B276" s="615">
        <v>2660</v>
      </c>
      <c r="C276" s="617"/>
      <c r="D276" s="466"/>
      <c r="E276" s="617"/>
      <c r="F276" s="617"/>
      <c r="G276" s="617"/>
      <c r="H276" s="617"/>
      <c r="I276" s="617"/>
      <c r="J276" s="617"/>
      <c r="K276" s="1692">
        <f>D276</f>
        <v>0</v>
      </c>
      <c r="L276" s="466">
        <v>0</v>
      </c>
    </row>
    <row r="277" spans="1:12" ht="12.75" customHeight="1" thickBot="1">
      <c r="A277" s="1711" t="s">
        <v>37</v>
      </c>
      <c r="B277" s="1689" t="s">
        <v>36</v>
      </c>
      <c r="C277" s="617"/>
      <c r="D277" s="1690">
        <f>SUM(D272:D276)</f>
        <v>118963</v>
      </c>
      <c r="E277" s="617"/>
      <c r="F277" s="617"/>
      <c r="G277" s="617"/>
      <c r="H277" s="617"/>
      <c r="I277" s="617"/>
      <c r="J277" s="617"/>
      <c r="K277" s="1690">
        <f>SUM(K272:K276)</f>
        <v>118963</v>
      </c>
      <c r="L277" s="1690">
        <f>SUM(L272:L276)</f>
        <v>119139</v>
      </c>
    </row>
    <row r="278" spans="1:12" ht="13.5" customHeight="1" thickTop="1">
      <c r="A278" s="1530" t="s">
        <v>1037</v>
      </c>
      <c r="B278" s="656" t="s">
        <v>595</v>
      </c>
      <c r="C278" s="617"/>
      <c r="D278" s="657"/>
      <c r="E278" s="617"/>
      <c r="F278" s="617"/>
      <c r="G278" s="617"/>
      <c r="H278" s="617"/>
      <c r="I278" s="617"/>
      <c r="J278" s="617"/>
      <c r="K278" s="1705">
        <f>D278</f>
        <v>0</v>
      </c>
      <c r="L278" s="657">
        <v>0</v>
      </c>
    </row>
    <row r="279" spans="1:12" ht="12.75" customHeight="1" thickBot="1">
      <c r="A279" s="1718" t="s">
        <v>865</v>
      </c>
      <c r="B279" s="1701">
        <v>2000</v>
      </c>
      <c r="C279" s="617"/>
      <c r="D279" s="1697">
        <f>SUM(D238,D243,D257,D261,D270,D277,D278)</f>
        <v>890432</v>
      </c>
      <c r="E279" s="617"/>
      <c r="F279" s="617"/>
      <c r="G279" s="617"/>
      <c r="H279" s="617"/>
      <c r="I279" s="617"/>
      <c r="J279" s="617"/>
      <c r="K279" s="1697">
        <f>SUM(K238,K243,K257,K261,K270,K277,K278)</f>
        <v>890432</v>
      </c>
      <c r="L279" s="1697">
        <f>SUM(L238,L243,L257,L261,L270,L277,L278)</f>
        <v>899017</v>
      </c>
    </row>
    <row r="280" spans="1:12" ht="15.75" customHeight="1" thickTop="1" thickBot="1">
      <c r="A280" s="1644" t="s">
        <v>930</v>
      </c>
      <c r="B280" s="1633">
        <v>3000</v>
      </c>
      <c r="C280" s="617"/>
      <c r="D280" s="576">
        <v>3766</v>
      </c>
      <c r="E280" s="617"/>
      <c r="F280" s="617"/>
      <c r="G280" s="617"/>
      <c r="H280" s="617"/>
      <c r="I280" s="617"/>
      <c r="J280" s="617"/>
      <c r="K280" s="1699">
        <f>D280</f>
        <v>3766</v>
      </c>
      <c r="L280" s="576">
        <v>4685</v>
      </c>
    </row>
    <row r="281" spans="1:12" ht="15.75" customHeight="1" thickTop="1">
      <c r="A281" s="1634" t="s">
        <v>144</v>
      </c>
      <c r="B281" s="1635" t="s">
        <v>915</v>
      </c>
      <c r="C281" s="617"/>
      <c r="D281" s="566"/>
      <c r="E281" s="617"/>
      <c r="F281" s="617"/>
      <c r="G281" s="617"/>
      <c r="H281" s="617"/>
      <c r="I281" s="617"/>
      <c r="J281" s="617"/>
      <c r="K281" s="617"/>
      <c r="L281" s="617"/>
    </row>
    <row r="282" spans="1:12" ht="15.75" customHeight="1">
      <c r="A282" s="1851" t="s">
        <v>517</v>
      </c>
      <c r="B282" s="691" t="s">
        <v>1954</v>
      </c>
      <c r="C282" s="617"/>
      <c r="D282" s="467"/>
      <c r="E282" s="617"/>
      <c r="F282" s="617"/>
      <c r="G282" s="617"/>
      <c r="H282" s="617"/>
      <c r="I282" s="617"/>
      <c r="J282" s="617"/>
      <c r="K282" s="1691">
        <f>D282</f>
        <v>0</v>
      </c>
      <c r="L282" s="467">
        <v>0</v>
      </c>
    </row>
    <row r="283" spans="1:12">
      <c r="A283" s="1524" t="s">
        <v>322</v>
      </c>
      <c r="B283" s="615">
        <v>4120</v>
      </c>
      <c r="C283" s="617"/>
      <c r="D283" s="466"/>
      <c r="E283" s="617"/>
      <c r="F283" s="617"/>
      <c r="G283" s="617"/>
      <c r="H283" s="617"/>
      <c r="I283" s="617"/>
      <c r="J283" s="617"/>
      <c r="K283" s="1691">
        <f>D283</f>
        <v>0</v>
      </c>
      <c r="L283" s="466">
        <v>0</v>
      </c>
    </row>
    <row r="284" spans="1:12">
      <c r="A284" s="1524" t="s">
        <v>721</v>
      </c>
      <c r="B284" s="615">
        <v>4140</v>
      </c>
      <c r="C284" s="617"/>
      <c r="D284" s="467"/>
      <c r="E284" s="617"/>
      <c r="F284" s="617"/>
      <c r="G284" s="617"/>
      <c r="H284" s="617"/>
      <c r="I284" s="617"/>
      <c r="J284" s="617"/>
      <c r="K284" s="1691">
        <f>D284</f>
        <v>0</v>
      </c>
      <c r="L284" s="466">
        <v>0</v>
      </c>
    </row>
    <row r="285" spans="1:12" ht="12.75" customHeight="1" thickBot="1">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c r="A286" s="1632" t="s">
        <v>931</v>
      </c>
      <c r="B286" s="1629"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4" t="s">
        <v>89</v>
      </c>
      <c r="B288" s="615">
        <v>5110</v>
      </c>
      <c r="C288" s="617"/>
      <c r="D288" s="617"/>
      <c r="E288" s="617"/>
      <c r="F288" s="617"/>
      <c r="G288" s="617"/>
      <c r="H288" s="466"/>
      <c r="I288" s="617"/>
      <c r="J288" s="617"/>
      <c r="K288" s="1691">
        <f>H288</f>
        <v>0</v>
      </c>
      <c r="L288" s="466">
        <v>0</v>
      </c>
    </row>
    <row r="289" spans="1:14">
      <c r="A289" s="1524" t="s">
        <v>90</v>
      </c>
      <c r="B289" s="615">
        <v>5120</v>
      </c>
      <c r="C289" s="617"/>
      <c r="D289" s="617"/>
      <c r="E289" s="617"/>
      <c r="F289" s="617"/>
      <c r="G289" s="617"/>
      <c r="H289" s="466"/>
      <c r="I289" s="617"/>
      <c r="J289" s="617"/>
      <c r="K289" s="1691">
        <f>H289</f>
        <v>0</v>
      </c>
      <c r="L289" s="466">
        <v>0</v>
      </c>
    </row>
    <row r="290" spans="1:14" ht="12.75" customHeight="1">
      <c r="A290" s="1524" t="s">
        <v>1232</v>
      </c>
      <c r="B290" s="629" t="s">
        <v>638</v>
      </c>
      <c r="C290" s="617"/>
      <c r="D290" s="617"/>
      <c r="E290" s="617"/>
      <c r="F290" s="617"/>
      <c r="G290" s="617"/>
      <c r="H290" s="466"/>
      <c r="I290" s="617"/>
      <c r="J290" s="617"/>
      <c r="K290" s="1691">
        <f>H290</f>
        <v>0</v>
      </c>
      <c r="L290" s="466">
        <v>0</v>
      </c>
    </row>
    <row r="291" spans="1:14">
      <c r="A291" s="1524" t="s">
        <v>91</v>
      </c>
      <c r="B291" s="615" t="s">
        <v>610</v>
      </c>
      <c r="C291" s="617"/>
      <c r="D291" s="617"/>
      <c r="E291" s="617"/>
      <c r="F291" s="617"/>
      <c r="G291" s="617"/>
      <c r="H291" s="466"/>
      <c r="I291" s="617"/>
      <c r="J291" s="617"/>
      <c r="K291" s="1691">
        <f>H291</f>
        <v>0</v>
      </c>
      <c r="L291" s="466">
        <v>0</v>
      </c>
    </row>
    <row r="292" spans="1:14">
      <c r="A292" s="1524" t="s">
        <v>786</v>
      </c>
      <c r="B292" s="615" t="s">
        <v>639</v>
      </c>
      <c r="C292" s="617"/>
      <c r="D292" s="617"/>
      <c r="E292" s="617"/>
      <c r="F292" s="617"/>
      <c r="G292" s="617"/>
      <c r="H292" s="466"/>
      <c r="I292" s="617"/>
      <c r="J292" s="617"/>
      <c r="K292" s="1691">
        <f>H292</f>
        <v>0</v>
      </c>
      <c r="L292" s="466">
        <v>0</v>
      </c>
    </row>
    <row r="293" spans="1:14" ht="12.75" customHeight="1" thickBot="1">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c r="A294" s="1645" t="s">
        <v>932</v>
      </c>
      <c r="B294" s="1633" t="s">
        <v>916</v>
      </c>
      <c r="C294" s="617"/>
      <c r="D294" s="624"/>
      <c r="E294" s="617"/>
      <c r="F294" s="617"/>
      <c r="G294" s="617"/>
      <c r="H294" s="687"/>
      <c r="I294" s="617"/>
      <c r="J294" s="617"/>
      <c r="K294" s="687"/>
      <c r="L294" s="578">
        <v>0</v>
      </c>
    </row>
    <row r="295" spans="1:14" ht="12.75" customHeight="1" thickTop="1" thickBot="1">
      <c r="A295" s="2252" t="s">
        <v>526</v>
      </c>
      <c r="B295" s="2253"/>
      <c r="C295" s="617"/>
      <c r="D295" s="1690">
        <f>SUM(D229,D279,D280,D285)</f>
        <v>1271752</v>
      </c>
      <c r="E295" s="617"/>
      <c r="F295" s="617"/>
      <c r="G295" s="617"/>
      <c r="H295" s="1690">
        <f>H293</f>
        <v>0</v>
      </c>
      <c r="I295" s="617"/>
      <c r="J295" s="617"/>
      <c r="K295" s="1690">
        <f>SUM(K229,K279,K280,K285,K293,K294)</f>
        <v>1271752</v>
      </c>
      <c r="L295" s="1690">
        <f>SUM(L229,L279,L280,L285,L293,L294)</f>
        <v>1292053</v>
      </c>
    </row>
    <row r="296" spans="1:14" ht="13.5" thickTop="1">
      <c r="A296" s="2234" t="s">
        <v>1053</v>
      </c>
      <c r="B296" s="2235"/>
      <c r="C296" s="617"/>
      <c r="D296" s="619"/>
      <c r="E296" s="617"/>
      <c r="F296" s="617"/>
      <c r="G296" s="617"/>
      <c r="H296" s="688"/>
      <c r="I296" s="617"/>
      <c r="J296" s="617"/>
      <c r="K296" s="1704">
        <f>'Revenues 9-14'!G275-'Expenditures 15-22'!K295</f>
        <v>36871</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244" t="s">
        <v>145</v>
      </c>
      <c r="B298" s="2238"/>
      <c r="C298" s="1571"/>
      <c r="D298" s="1572"/>
      <c r="E298" s="1572"/>
      <c r="F298" s="1572"/>
      <c r="G298" s="1572"/>
      <c r="H298" s="1572"/>
      <c r="I298" s="1572"/>
      <c r="J298" s="1572"/>
      <c r="K298" s="1572"/>
      <c r="L298" s="1573"/>
    </row>
    <row r="299" spans="1:14" ht="15.75" customHeight="1">
      <c r="A299" s="1632" t="s">
        <v>146</v>
      </c>
      <c r="B299" s="1635"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7" t="s">
        <v>629</v>
      </c>
      <c r="B301" s="690">
        <v>2530</v>
      </c>
      <c r="C301" s="466"/>
      <c r="D301" s="466"/>
      <c r="E301" s="466"/>
      <c r="F301" s="466">
        <v>108640</v>
      </c>
      <c r="G301" s="466">
        <v>9600337</v>
      </c>
      <c r="H301" s="466"/>
      <c r="I301" s="467"/>
      <c r="J301" s="467"/>
      <c r="K301" s="1691">
        <f>SUM(C301:J301)</f>
        <v>9708977</v>
      </c>
      <c r="L301" s="467">
        <v>9821419</v>
      </c>
    </row>
    <row r="302" spans="1:14" ht="13.5" customHeight="1">
      <c r="A302" s="1537" t="s">
        <v>1037</v>
      </c>
      <c r="B302" s="615" t="s">
        <v>595</v>
      </c>
      <c r="C302" s="466"/>
      <c r="D302" s="466"/>
      <c r="E302" s="466"/>
      <c r="F302" s="466"/>
      <c r="G302" s="466"/>
      <c r="H302" s="466"/>
      <c r="I302" s="467"/>
      <c r="J302" s="467"/>
      <c r="K302" s="1691">
        <f>SUM(C302:J302)</f>
        <v>0</v>
      </c>
      <c r="L302" s="466">
        <v>0</v>
      </c>
    </row>
    <row r="303" spans="1:14" ht="12.75" customHeight="1" thickBot="1">
      <c r="A303" s="1688" t="s">
        <v>865</v>
      </c>
      <c r="B303" s="1689" t="s">
        <v>590</v>
      </c>
      <c r="C303" s="1697">
        <f>SUM(C301:C302)</f>
        <v>0</v>
      </c>
      <c r="D303" s="1697">
        <f t="shared" ref="D303:L303" si="23">SUM(D301:D302)</f>
        <v>0</v>
      </c>
      <c r="E303" s="1697">
        <f t="shared" si="23"/>
        <v>0</v>
      </c>
      <c r="F303" s="1697">
        <f t="shared" si="23"/>
        <v>108640</v>
      </c>
      <c r="G303" s="1697">
        <f t="shared" si="23"/>
        <v>9600337</v>
      </c>
      <c r="H303" s="1697">
        <f t="shared" si="23"/>
        <v>0</v>
      </c>
      <c r="I303" s="1697">
        <f t="shared" si="23"/>
        <v>0</v>
      </c>
      <c r="J303" s="1697">
        <f t="shared" si="23"/>
        <v>0</v>
      </c>
      <c r="K303" s="1697">
        <f t="shared" si="23"/>
        <v>9708977</v>
      </c>
      <c r="L303" s="1697">
        <f t="shared" si="23"/>
        <v>9821419</v>
      </c>
    </row>
    <row r="304" spans="1:14" ht="15.75" customHeight="1" thickTop="1">
      <c r="A304" s="1632" t="s">
        <v>147</v>
      </c>
      <c r="B304" s="1633"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38" t="s">
        <v>1959</v>
      </c>
      <c r="B306" s="691" t="s">
        <v>1954</v>
      </c>
      <c r="C306" s="617"/>
      <c r="D306" s="617"/>
      <c r="E306" s="467"/>
      <c r="F306" s="617"/>
      <c r="G306" s="617"/>
      <c r="H306" s="467"/>
      <c r="I306" s="617"/>
      <c r="J306" s="617"/>
      <c r="K306" s="1691">
        <f>SUM(E306,H306)</f>
        <v>0</v>
      </c>
      <c r="L306" s="467">
        <v>0</v>
      </c>
    </row>
    <row r="307" spans="1:14">
      <c r="A307" s="1524" t="s">
        <v>322</v>
      </c>
      <c r="B307" s="615">
        <v>4120</v>
      </c>
      <c r="C307" s="617"/>
      <c r="D307" s="617"/>
      <c r="E307" s="467"/>
      <c r="F307" s="617"/>
      <c r="G307" s="617"/>
      <c r="H307" s="467"/>
      <c r="I307" s="477"/>
      <c r="J307" s="617"/>
      <c r="K307" s="1691">
        <f>SUM(E307,H307)</f>
        <v>0</v>
      </c>
      <c r="L307" s="466">
        <v>0</v>
      </c>
    </row>
    <row r="308" spans="1:14">
      <c r="A308" s="1524" t="s">
        <v>721</v>
      </c>
      <c r="B308" s="615">
        <v>4140</v>
      </c>
      <c r="C308" s="617"/>
      <c r="D308" s="617"/>
      <c r="E308" s="467"/>
      <c r="F308" s="617"/>
      <c r="G308" s="617"/>
      <c r="H308" s="467"/>
      <c r="I308" s="477"/>
      <c r="J308" s="617"/>
      <c r="K308" s="1691">
        <f>SUM(E308,H308)</f>
        <v>0</v>
      </c>
      <c r="L308" s="466">
        <v>0</v>
      </c>
    </row>
    <row r="309" spans="1:14" ht="12.75" customHeight="1">
      <c r="A309" s="1528" t="s">
        <v>722</v>
      </c>
      <c r="B309" s="629">
        <v>4190</v>
      </c>
      <c r="C309" s="617"/>
      <c r="D309" s="617"/>
      <c r="E309" s="467"/>
      <c r="F309" s="617"/>
      <c r="G309" s="617"/>
      <c r="H309" s="467"/>
      <c r="I309" s="477"/>
      <c r="J309" s="617"/>
      <c r="K309" s="1691">
        <f>SUM(E309,H309)</f>
        <v>0</v>
      </c>
      <c r="L309" s="466">
        <v>0</v>
      </c>
    </row>
    <row r="310" spans="1:14" ht="12.75" customHeight="1" thickBot="1">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c r="A311" s="1639" t="s">
        <v>951</v>
      </c>
      <c r="B311" s="1631" t="s">
        <v>916</v>
      </c>
      <c r="C311" s="624"/>
      <c r="D311" s="624"/>
      <c r="E311" s="624"/>
      <c r="F311" s="624"/>
      <c r="G311" s="624"/>
      <c r="H311" s="624"/>
      <c r="I311" s="624"/>
      <c r="J311" s="617"/>
      <c r="K311" s="624"/>
      <c r="L311" s="576">
        <v>0</v>
      </c>
    </row>
    <row r="312" spans="1:14" s="675" customFormat="1" ht="12.75" customHeight="1" thickTop="1" thickBot="1">
      <c r="A312" s="2249" t="s">
        <v>295</v>
      </c>
      <c r="B312" s="2250"/>
      <c r="C312" s="1690">
        <f>SUM(C303)</f>
        <v>0</v>
      </c>
      <c r="D312" s="1690">
        <f>SUM(D303)</f>
        <v>0</v>
      </c>
      <c r="E312" s="1690">
        <f>SUM(E303,E310)</f>
        <v>0</v>
      </c>
      <c r="F312" s="1690">
        <f>SUM(F303)</f>
        <v>108640</v>
      </c>
      <c r="G312" s="1690">
        <f>SUM(G303)</f>
        <v>9600337</v>
      </c>
      <c r="H312" s="1690">
        <f>SUM(H303,H310)</f>
        <v>0</v>
      </c>
      <c r="I312" s="1690">
        <f>SUM(I303)</f>
        <v>0</v>
      </c>
      <c r="J312" s="1690">
        <f>SUM(J303)</f>
        <v>0</v>
      </c>
      <c r="K312" s="1690">
        <f>SUM(K303,K310,K311)</f>
        <v>9708977</v>
      </c>
      <c r="L312" s="1690">
        <f>SUM(L303,L310,L311)</f>
        <v>9821419</v>
      </c>
      <c r="M312" s="666"/>
      <c r="N312" s="666"/>
    </row>
    <row r="313" spans="1:14" ht="13.5" thickTop="1">
      <c r="A313" s="2245" t="s">
        <v>1053</v>
      </c>
      <c r="B313" s="2246"/>
      <c r="C313" s="627"/>
      <c r="D313" s="627"/>
      <c r="E313" s="627"/>
      <c r="F313" s="627"/>
      <c r="G313" s="627"/>
      <c r="H313" s="627"/>
      <c r="I313" s="627"/>
      <c r="J313" s="627"/>
      <c r="K313" s="1705">
        <f>'Revenues 9-14'!H275-'Expenditures 15-22'!K312</f>
        <v>-9366094</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258" t="s">
        <v>151</v>
      </c>
      <c r="B315" s="2259"/>
      <c r="C315" s="1576"/>
      <c r="D315" s="1577"/>
      <c r="E315" s="1577"/>
      <c r="F315" s="1577"/>
      <c r="G315" s="1577"/>
      <c r="H315" s="1577"/>
      <c r="I315" s="1577"/>
      <c r="J315" s="1577"/>
      <c r="K315" s="1577"/>
      <c r="L315" s="1578"/>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260" t="s">
        <v>954</v>
      </c>
      <c r="B317" s="2259"/>
      <c r="C317" s="1576"/>
      <c r="D317" s="1577"/>
      <c r="E317" s="1577"/>
      <c r="F317" s="1577"/>
      <c r="G317" s="1577"/>
      <c r="H317" s="1577"/>
      <c r="I317" s="1577"/>
      <c r="J317" s="1577"/>
      <c r="K317" s="1577"/>
      <c r="L317" s="1578"/>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39" t="s">
        <v>317</v>
      </c>
      <c r="B319" s="698" t="s">
        <v>299</v>
      </c>
      <c r="C319" s="467"/>
      <c r="D319" s="467"/>
      <c r="E319" s="467"/>
      <c r="F319" s="467"/>
      <c r="G319" s="467"/>
      <c r="H319" s="467"/>
      <c r="I319" s="467"/>
      <c r="J319" s="467"/>
      <c r="K319" s="1691">
        <f>SUM(C319:J319)</f>
        <v>0</v>
      </c>
      <c r="L319" s="467">
        <v>8100</v>
      </c>
      <c r="M319" s="666"/>
      <c r="N319" s="666"/>
    </row>
    <row r="320" spans="1:14" s="675" customFormat="1">
      <c r="A320" s="1543" t="s">
        <v>1905</v>
      </c>
      <c r="B320" s="699" t="s">
        <v>300</v>
      </c>
      <c r="C320" s="467"/>
      <c r="D320" s="467"/>
      <c r="E320" s="467">
        <v>323694</v>
      </c>
      <c r="F320" s="467"/>
      <c r="G320" s="467"/>
      <c r="H320" s="467"/>
      <c r="I320" s="467"/>
      <c r="J320" s="467"/>
      <c r="K320" s="1691">
        <f t="shared" ref="K320:K327" si="24">SUM(C320:J320)</f>
        <v>323694</v>
      </c>
      <c r="L320" s="467">
        <v>392706</v>
      </c>
      <c r="M320" s="666"/>
      <c r="N320" s="666"/>
    </row>
    <row r="321" spans="1:14" s="675" customFormat="1">
      <c r="A321" s="1539" t="s">
        <v>318</v>
      </c>
      <c r="B321" s="698" t="s">
        <v>301</v>
      </c>
      <c r="C321" s="467"/>
      <c r="D321" s="467"/>
      <c r="E321" s="467">
        <v>1811</v>
      </c>
      <c r="F321" s="467"/>
      <c r="G321" s="467"/>
      <c r="H321" s="467"/>
      <c r="I321" s="467"/>
      <c r="J321" s="467"/>
      <c r="K321" s="1691">
        <f t="shared" si="24"/>
        <v>1811</v>
      </c>
      <c r="L321" s="467">
        <v>35000</v>
      </c>
      <c r="M321" s="666"/>
      <c r="N321" s="666"/>
    </row>
    <row r="322" spans="1:14" s="675" customFormat="1">
      <c r="A322" s="1539" t="s">
        <v>256</v>
      </c>
      <c r="B322" s="698" t="s">
        <v>302</v>
      </c>
      <c r="C322" s="467"/>
      <c r="D322" s="467"/>
      <c r="E322" s="467">
        <v>122360</v>
      </c>
      <c r="F322" s="467"/>
      <c r="G322" s="467"/>
      <c r="H322" s="467">
        <v>48</v>
      </c>
      <c r="I322" s="467"/>
      <c r="J322" s="467"/>
      <c r="K322" s="1691">
        <f t="shared" si="24"/>
        <v>122408</v>
      </c>
      <c r="L322" s="467">
        <v>115000</v>
      </c>
      <c r="M322" s="666"/>
      <c r="N322" s="666"/>
    </row>
    <row r="323" spans="1:14" s="675" customFormat="1">
      <c r="A323" s="1539" t="s">
        <v>726</v>
      </c>
      <c r="B323" s="698" t="s">
        <v>303</v>
      </c>
      <c r="C323" s="467"/>
      <c r="D323" s="467"/>
      <c r="E323" s="467"/>
      <c r="F323" s="467"/>
      <c r="G323" s="467"/>
      <c r="H323" s="467"/>
      <c r="I323" s="467"/>
      <c r="J323" s="467"/>
      <c r="K323" s="1691">
        <f t="shared" si="24"/>
        <v>0</v>
      </c>
      <c r="L323" s="467">
        <v>0</v>
      </c>
      <c r="M323" s="666"/>
      <c r="N323" s="666"/>
    </row>
    <row r="324" spans="1:14" s="675" customFormat="1">
      <c r="A324" s="1539" t="s">
        <v>257</v>
      </c>
      <c r="B324" s="698" t="s">
        <v>304</v>
      </c>
      <c r="C324" s="467"/>
      <c r="D324" s="467"/>
      <c r="E324" s="467"/>
      <c r="F324" s="467"/>
      <c r="G324" s="467"/>
      <c r="H324" s="467"/>
      <c r="I324" s="467"/>
      <c r="J324" s="467"/>
      <c r="K324" s="1691">
        <f t="shared" si="24"/>
        <v>0</v>
      </c>
      <c r="L324" s="467">
        <v>0</v>
      </c>
      <c r="M324" s="666"/>
      <c r="N324" s="666"/>
    </row>
    <row r="325" spans="1:14" s="675" customFormat="1" ht="22.5">
      <c r="A325" s="1539" t="s">
        <v>1087</v>
      </c>
      <c r="B325" s="699" t="s">
        <v>305</v>
      </c>
      <c r="C325" s="467">
        <v>280000</v>
      </c>
      <c r="D325" s="467"/>
      <c r="E325" s="467">
        <v>40000</v>
      </c>
      <c r="F325" s="467"/>
      <c r="G325" s="467"/>
      <c r="H325" s="467"/>
      <c r="I325" s="467"/>
      <c r="J325" s="467"/>
      <c r="K325" s="1691">
        <f t="shared" si="24"/>
        <v>320000</v>
      </c>
      <c r="L325" s="467">
        <v>320000</v>
      </c>
      <c r="M325" s="666"/>
      <c r="N325" s="666"/>
    </row>
    <row r="326" spans="1:14" s="675" customFormat="1">
      <c r="A326" s="1539" t="s">
        <v>1088</v>
      </c>
      <c r="B326" s="698" t="s">
        <v>306</v>
      </c>
      <c r="C326" s="467"/>
      <c r="D326" s="467"/>
      <c r="E326" s="467"/>
      <c r="F326" s="467"/>
      <c r="G326" s="467"/>
      <c r="H326" s="467"/>
      <c r="I326" s="467"/>
      <c r="J326" s="467"/>
      <c r="K326" s="1691">
        <f t="shared" si="24"/>
        <v>0</v>
      </c>
      <c r="L326" s="467">
        <v>0</v>
      </c>
      <c r="M326" s="666"/>
      <c r="N326" s="666"/>
    </row>
    <row r="327" spans="1:14" s="675" customFormat="1">
      <c r="A327" s="1539" t="s">
        <v>1028</v>
      </c>
      <c r="B327" s="698" t="s">
        <v>307</v>
      </c>
      <c r="C327" s="467"/>
      <c r="D327" s="467"/>
      <c r="E327" s="467"/>
      <c r="F327" s="467"/>
      <c r="G327" s="467"/>
      <c r="H327" s="467"/>
      <c r="I327" s="467"/>
      <c r="J327" s="467"/>
      <c r="K327" s="1691">
        <f t="shared" si="24"/>
        <v>0</v>
      </c>
      <c r="L327" s="467">
        <v>0</v>
      </c>
      <c r="M327" s="666"/>
      <c r="N327" s="666"/>
    </row>
    <row r="328" spans="1:14" s="675" customFormat="1">
      <c r="A328" s="1540" t="s">
        <v>492</v>
      </c>
      <c r="B328" s="691" t="s">
        <v>1194</v>
      </c>
      <c r="C328" s="474"/>
      <c r="D328" s="474"/>
      <c r="E328" s="474"/>
      <c r="F328" s="474"/>
      <c r="G328" s="474"/>
      <c r="H328" s="474"/>
      <c r="I328" s="474"/>
      <c r="J328" s="474"/>
      <c r="K328" s="1719">
        <f>SUM(C328:J328)</f>
        <v>0</v>
      </c>
      <c r="L328" s="474">
        <v>0</v>
      </c>
      <c r="M328" s="666"/>
      <c r="N328" s="666"/>
    </row>
    <row r="329" spans="1:14" s="675" customFormat="1">
      <c r="A329" s="1540"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c r="A330" s="1720" t="s">
        <v>741</v>
      </c>
      <c r="B330" s="1689" t="s">
        <v>590</v>
      </c>
      <c r="C330" s="1690">
        <f>SUM(C319:C329)</f>
        <v>280000</v>
      </c>
      <c r="D330" s="1690">
        <f t="shared" ref="D330:J330" si="25">SUM(D319:D329)</f>
        <v>0</v>
      </c>
      <c r="E330" s="1690">
        <f t="shared" si="25"/>
        <v>487865</v>
      </c>
      <c r="F330" s="1690">
        <f t="shared" si="25"/>
        <v>0</v>
      </c>
      <c r="G330" s="1690">
        <f t="shared" si="25"/>
        <v>0</v>
      </c>
      <c r="H330" s="1690">
        <f t="shared" si="25"/>
        <v>48</v>
      </c>
      <c r="I330" s="1690">
        <f t="shared" si="25"/>
        <v>0</v>
      </c>
      <c r="J330" s="1690">
        <f t="shared" si="25"/>
        <v>0</v>
      </c>
      <c r="K330" s="1690">
        <f>SUM(K319:K329)</f>
        <v>767913</v>
      </c>
      <c r="L330" s="1690">
        <f>SUM(L319:L329)</f>
        <v>870806</v>
      </c>
      <c r="M330" s="666"/>
      <c r="N330" s="666"/>
    </row>
    <row r="331" spans="1:14" s="675" customFormat="1" ht="12.75" customHeight="1" thickTop="1">
      <c r="A331" s="1852" t="s">
        <v>1960</v>
      </c>
      <c r="B331" s="648" t="s">
        <v>915</v>
      </c>
      <c r="C331" s="1854"/>
      <c r="D331" s="1854"/>
      <c r="E331" s="1854"/>
      <c r="F331" s="1854"/>
      <c r="G331" s="1854"/>
      <c r="H331" s="1854"/>
      <c r="I331" s="1854"/>
      <c r="J331" s="1854"/>
      <c r="K331" s="1854"/>
      <c r="L331" s="1854"/>
      <c r="M331" s="666"/>
      <c r="N331" s="666"/>
    </row>
    <row r="332" spans="1:14" s="675" customFormat="1" ht="12.75" customHeight="1">
      <c r="A332" s="1853" t="s">
        <v>517</v>
      </c>
      <c r="B332" s="1848" t="s">
        <v>1954</v>
      </c>
      <c r="C332" s="1854"/>
      <c r="D332" s="1854"/>
      <c r="E332" s="1854"/>
      <c r="F332" s="1854"/>
      <c r="G332" s="1854"/>
      <c r="H332" s="467"/>
      <c r="I332" s="1854"/>
      <c r="J332" s="1854"/>
      <c r="K332" s="1691">
        <f>H332</f>
        <v>0</v>
      </c>
      <c r="L332" s="467">
        <v>0</v>
      </c>
      <c r="M332" s="666"/>
      <c r="N332" s="666"/>
    </row>
    <row r="333" spans="1:14" s="675" customFormat="1" ht="12.75" customHeight="1">
      <c r="A333" s="1853" t="s">
        <v>322</v>
      </c>
      <c r="B333" s="1848" t="s">
        <v>1956</v>
      </c>
      <c r="C333" s="1854"/>
      <c r="D333" s="1854"/>
      <c r="E333" s="1854"/>
      <c r="F333" s="1854"/>
      <c r="G333" s="1854"/>
      <c r="H333" s="467"/>
      <c r="I333" s="1854"/>
      <c r="J333" s="1854"/>
      <c r="K333" s="1691">
        <f>H333</f>
        <v>0</v>
      </c>
      <c r="L333" s="467">
        <v>0</v>
      </c>
      <c r="M333" s="666"/>
      <c r="N333" s="666"/>
    </row>
    <row r="334" spans="1:14" s="675" customFormat="1" ht="12.75" customHeight="1" thickBot="1">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c r="A335" s="1636" t="s">
        <v>955</v>
      </c>
      <c r="B335" s="1627"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38" t="s">
        <v>89</v>
      </c>
      <c r="B337" s="691" t="s">
        <v>956</v>
      </c>
      <c r="C337" s="639"/>
      <c r="D337" s="639"/>
      <c r="E337" s="639"/>
      <c r="F337" s="639"/>
      <c r="G337" s="639"/>
      <c r="H337" s="478"/>
      <c r="I337" s="639"/>
      <c r="J337" s="639"/>
      <c r="K337" s="1691">
        <f>H337</f>
        <v>0</v>
      </c>
      <c r="L337" s="478">
        <v>0</v>
      </c>
    </row>
    <row r="338" spans="1:14" ht="12.75" customHeight="1">
      <c r="A338" s="1538" t="s">
        <v>1232</v>
      </c>
      <c r="B338" s="691" t="s">
        <v>638</v>
      </c>
      <c r="C338" s="639"/>
      <c r="D338" s="639"/>
      <c r="E338" s="639"/>
      <c r="F338" s="639"/>
      <c r="G338" s="639"/>
      <c r="H338" s="478"/>
      <c r="I338" s="639"/>
      <c r="J338" s="639"/>
      <c r="K338" s="1691">
        <f>H338</f>
        <v>0</v>
      </c>
      <c r="L338" s="478">
        <v>0</v>
      </c>
    </row>
    <row r="339" spans="1:14">
      <c r="A339" s="1524" t="s">
        <v>957</v>
      </c>
      <c r="B339" s="629">
        <v>5150</v>
      </c>
      <c r="C339" s="639"/>
      <c r="D339" s="639"/>
      <c r="E339" s="639"/>
      <c r="F339" s="639"/>
      <c r="G339" s="639"/>
      <c r="H339" s="467"/>
      <c r="I339" s="639"/>
      <c r="J339" s="639"/>
      <c r="K339" s="1691">
        <f>H339</f>
        <v>0</v>
      </c>
      <c r="L339" s="467">
        <v>0</v>
      </c>
    </row>
    <row r="340" spans="1:14" ht="13.5" thickBot="1">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c r="A341" s="1639" t="s">
        <v>959</v>
      </c>
      <c r="B341" s="1631" t="s">
        <v>916</v>
      </c>
      <c r="C341" s="617"/>
      <c r="D341" s="617"/>
      <c r="E341" s="477"/>
      <c r="F341" s="468"/>
      <c r="G341" s="468"/>
      <c r="H341" s="477"/>
      <c r="I341" s="477"/>
      <c r="J341" s="468"/>
      <c r="K341" s="477"/>
      <c r="L341" s="576">
        <v>0</v>
      </c>
    </row>
    <row r="342" spans="1:14" ht="12.75" customHeight="1" thickTop="1" thickBot="1">
      <c r="A342" s="1706" t="s">
        <v>526</v>
      </c>
      <c r="B342" s="1721"/>
      <c r="C342" s="1690">
        <f>SUM(C330)</f>
        <v>280000</v>
      </c>
      <c r="D342" s="1690">
        <f>SUM(D330)</f>
        <v>0</v>
      </c>
      <c r="E342" s="1690">
        <f>SUM(E330)</f>
        <v>487865</v>
      </c>
      <c r="F342" s="1690">
        <f>SUM(F330)</f>
        <v>0</v>
      </c>
      <c r="G342" s="1690">
        <f>SUM(G330)</f>
        <v>0</v>
      </c>
      <c r="H342" s="1690">
        <f>SUM(H330,H334,H340)</f>
        <v>48</v>
      </c>
      <c r="I342" s="1690">
        <f>SUM(I330)</f>
        <v>0</v>
      </c>
      <c r="J342" s="1690">
        <f>SUM(J330)</f>
        <v>0</v>
      </c>
      <c r="K342" s="1690">
        <f>SUM(K330,K334,K340)</f>
        <v>767913</v>
      </c>
      <c r="L342" s="1697">
        <f>SUM(L330,L340,L341)</f>
        <v>870806</v>
      </c>
    </row>
    <row r="343" spans="1:14" ht="12.75" customHeight="1" thickTop="1">
      <c r="A343" s="2247" t="s">
        <v>1053</v>
      </c>
      <c r="B343" s="2248"/>
      <c r="C343" s="617"/>
      <c r="D343" s="617"/>
      <c r="E343" s="617"/>
      <c r="F343" s="617"/>
      <c r="G343" s="617"/>
      <c r="H343" s="617"/>
      <c r="I343" s="617"/>
      <c r="J343" s="617"/>
      <c r="K343" s="1704">
        <f>'Revenues 9-14'!J275-'Expenditures 15-22'!K342</f>
        <v>170235</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237" t="s">
        <v>1023</v>
      </c>
      <c r="B345" s="2238"/>
      <c r="C345" s="1571"/>
      <c r="D345" s="1572"/>
      <c r="E345" s="1572"/>
      <c r="F345" s="1572"/>
      <c r="G345" s="1572"/>
      <c r="H345" s="1572"/>
      <c r="I345" s="1572"/>
      <c r="J345" s="1572"/>
      <c r="K345" s="1572"/>
      <c r="L345" s="1573"/>
      <c r="M345" s="668"/>
      <c r="N345" s="668"/>
    </row>
    <row r="346" spans="1:14" s="343" customFormat="1" ht="15.75" customHeight="1">
      <c r="A346" s="1643" t="s">
        <v>899</v>
      </c>
      <c r="B346" s="1635"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4" t="s">
        <v>4</v>
      </c>
      <c r="B348" s="615">
        <v>2530</v>
      </c>
      <c r="C348" s="466"/>
      <c r="D348" s="466"/>
      <c r="E348" s="466"/>
      <c r="F348" s="466"/>
      <c r="G348" s="466"/>
      <c r="H348" s="466"/>
      <c r="I348" s="467"/>
      <c r="J348" s="467"/>
      <c r="K348" s="1691">
        <f>SUM(C348:J348)</f>
        <v>0</v>
      </c>
      <c r="L348" s="466">
        <v>0</v>
      </c>
    </row>
    <row r="349" spans="1:14">
      <c r="A349" s="1524" t="s">
        <v>206</v>
      </c>
      <c r="B349" s="615">
        <v>2540</v>
      </c>
      <c r="C349" s="466"/>
      <c r="D349" s="466"/>
      <c r="E349" s="466">
        <v>20244</v>
      </c>
      <c r="F349" s="466"/>
      <c r="G349" s="466"/>
      <c r="H349" s="466"/>
      <c r="I349" s="467"/>
      <c r="J349" s="467"/>
      <c r="K349" s="1691">
        <f>SUM(C349:J349)</f>
        <v>20244</v>
      </c>
      <c r="L349" s="466">
        <v>150000</v>
      </c>
    </row>
    <row r="350" spans="1:14" ht="12.75" customHeight="1" thickBot="1">
      <c r="A350" s="1688" t="s">
        <v>743</v>
      </c>
      <c r="B350" s="1689" t="s">
        <v>35</v>
      </c>
      <c r="C350" s="1690">
        <f>SUM(C348:C349)</f>
        <v>0</v>
      </c>
      <c r="D350" s="1690">
        <f t="shared" ref="D350:L350" si="26">SUM(D348:D349)</f>
        <v>0</v>
      </c>
      <c r="E350" s="1690">
        <f t="shared" si="26"/>
        <v>20244</v>
      </c>
      <c r="F350" s="1690">
        <f t="shared" si="26"/>
        <v>0</v>
      </c>
      <c r="G350" s="1690">
        <f t="shared" si="26"/>
        <v>0</v>
      </c>
      <c r="H350" s="1690">
        <f t="shared" si="26"/>
        <v>0</v>
      </c>
      <c r="I350" s="1690">
        <f t="shared" si="26"/>
        <v>0</v>
      </c>
      <c r="J350" s="1690">
        <f t="shared" si="26"/>
        <v>0</v>
      </c>
      <c r="K350" s="1690">
        <f t="shared" si="26"/>
        <v>20244</v>
      </c>
      <c r="L350" s="1690">
        <f t="shared" si="26"/>
        <v>150000</v>
      </c>
    </row>
    <row r="351" spans="1:14" ht="12.75" customHeight="1" thickTop="1">
      <c r="A351" s="1530" t="s">
        <v>1037</v>
      </c>
      <c r="B351" s="644" t="s">
        <v>595</v>
      </c>
      <c r="C351" s="481"/>
      <c r="D351" s="481"/>
      <c r="E351" s="481"/>
      <c r="F351" s="481"/>
      <c r="G351" s="481"/>
      <c r="H351" s="481"/>
      <c r="I351" s="478"/>
      <c r="J351" s="478"/>
      <c r="K351" s="616">
        <f>SUM(C351:J351)</f>
        <v>0</v>
      </c>
      <c r="L351" s="481">
        <v>0</v>
      </c>
    </row>
    <row r="352" spans="1:14" ht="12.75" customHeight="1" thickBot="1">
      <c r="A352" s="1688" t="s">
        <v>645</v>
      </c>
      <c r="B352" s="1695" t="s">
        <v>590</v>
      </c>
      <c r="C352" s="1690">
        <f>SUM(C350:C351)</f>
        <v>0</v>
      </c>
      <c r="D352" s="1690">
        <f t="shared" ref="D352:L352" si="27">SUM(D350:D351)</f>
        <v>0</v>
      </c>
      <c r="E352" s="1690">
        <f t="shared" si="27"/>
        <v>20244</v>
      </c>
      <c r="F352" s="1690">
        <f t="shared" si="27"/>
        <v>0</v>
      </c>
      <c r="G352" s="1690">
        <f t="shared" si="27"/>
        <v>0</v>
      </c>
      <c r="H352" s="1690">
        <f t="shared" si="27"/>
        <v>0</v>
      </c>
      <c r="I352" s="1690">
        <f t="shared" si="27"/>
        <v>0</v>
      </c>
      <c r="J352" s="1690">
        <f t="shared" si="27"/>
        <v>0</v>
      </c>
      <c r="K352" s="1690">
        <f t="shared" si="27"/>
        <v>20244</v>
      </c>
      <c r="L352" s="1690">
        <f t="shared" si="27"/>
        <v>150000</v>
      </c>
    </row>
    <row r="353" spans="1:14" s="343" customFormat="1" ht="15.75" customHeight="1" thickTop="1">
      <c r="A353" s="1632" t="s">
        <v>646</v>
      </c>
      <c r="B353" s="1629" t="s">
        <v>915</v>
      </c>
      <c r="C353" s="617"/>
      <c r="D353" s="617"/>
      <c r="E353" s="617"/>
      <c r="F353" s="617"/>
      <c r="G353" s="617"/>
      <c r="H353" s="617"/>
      <c r="I353" s="617"/>
      <c r="J353" s="617"/>
      <c r="K353" s="617"/>
      <c r="L353" s="617"/>
      <c r="M353" s="610"/>
      <c r="N353" s="610"/>
    </row>
    <row r="354" spans="1:14">
      <c r="A354" s="1855" t="s">
        <v>1962</v>
      </c>
      <c r="B354" s="684" t="s">
        <v>1954</v>
      </c>
      <c r="C354" s="617"/>
      <c r="D354" s="617"/>
      <c r="E354" s="617"/>
      <c r="F354" s="617"/>
      <c r="G354" s="617"/>
      <c r="H354" s="474"/>
      <c r="I354" s="702"/>
      <c r="J354" s="617"/>
      <c r="K354" s="1719">
        <f>H354</f>
        <v>0</v>
      </c>
      <c r="L354" s="471">
        <v>0</v>
      </c>
    </row>
    <row r="355" spans="1:14" ht="12.75" customHeight="1">
      <c r="A355" s="1533" t="s">
        <v>1963</v>
      </c>
      <c r="B355" s="691" t="s">
        <v>1956</v>
      </c>
      <c r="C355" s="617"/>
      <c r="D355" s="617"/>
      <c r="E355" s="617"/>
      <c r="F355" s="617"/>
      <c r="G355" s="617"/>
      <c r="H355" s="467"/>
      <c r="I355" s="702"/>
      <c r="J355" s="617"/>
      <c r="K355" s="1763">
        <f>H355</f>
        <v>0</v>
      </c>
      <c r="L355" s="467">
        <v>0</v>
      </c>
    </row>
    <row r="356" spans="1:14" ht="12.75" customHeight="1">
      <c r="A356" s="1855" t="s">
        <v>722</v>
      </c>
      <c r="B356" s="684" t="s">
        <v>579</v>
      </c>
      <c r="C356" s="617"/>
      <c r="D356" s="617"/>
      <c r="E356" s="617"/>
      <c r="F356" s="617"/>
      <c r="G356" s="617"/>
      <c r="H356" s="479"/>
      <c r="I356" s="702"/>
      <c r="J356" s="617"/>
      <c r="K356" s="1760">
        <f>H356</f>
        <v>0</v>
      </c>
      <c r="L356" s="479">
        <v>0</v>
      </c>
    </row>
    <row r="357" spans="1:14" ht="12.75" customHeight="1" thickBot="1">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c r="A358" s="1632" t="s">
        <v>1005</v>
      </c>
      <c r="B358" s="1629"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4" t="s">
        <v>89</v>
      </c>
      <c r="B360" s="615">
        <v>5110</v>
      </c>
      <c r="C360" s="617"/>
      <c r="D360" s="617"/>
      <c r="E360" s="617"/>
      <c r="F360" s="617"/>
      <c r="G360" s="617"/>
      <c r="H360" s="467"/>
      <c r="I360" s="617"/>
      <c r="J360" s="617"/>
      <c r="K360" s="1691">
        <f>SUM(C360:J360)</f>
        <v>0</v>
      </c>
      <c r="L360" s="466">
        <v>0</v>
      </c>
    </row>
    <row r="361" spans="1:14" ht="12.75" customHeight="1">
      <c r="A361" s="1525" t="s">
        <v>640</v>
      </c>
      <c r="B361" s="603" t="s">
        <v>639</v>
      </c>
      <c r="C361" s="617"/>
      <c r="D361" s="617"/>
      <c r="E361" s="617"/>
      <c r="F361" s="617"/>
      <c r="G361" s="617"/>
      <c r="H361" s="467"/>
      <c r="I361" s="617"/>
      <c r="J361" s="617"/>
      <c r="K361" s="1691">
        <f>SUM(C361:J361)</f>
        <v>0</v>
      </c>
      <c r="L361" s="466">
        <v>0</v>
      </c>
    </row>
    <row r="362" spans="1:14" ht="12.75" customHeight="1" thickBot="1">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c r="A364" s="703" t="s">
        <v>1771</v>
      </c>
      <c r="B364" s="704">
        <v>5300</v>
      </c>
      <c r="C364" s="705"/>
      <c r="D364" s="706"/>
      <c r="E364" s="706"/>
      <c r="F364" s="705"/>
      <c r="G364" s="706"/>
      <c r="H364" s="707"/>
      <c r="I364" s="706"/>
      <c r="J364" s="706"/>
      <c r="K364" s="1691">
        <f>SUM(C364:J364)</f>
        <v>0</v>
      </c>
      <c r="L364" s="708">
        <v>0</v>
      </c>
    </row>
    <row r="365" spans="1:14" s="675" customFormat="1" ht="12.75" customHeight="1" thickBot="1">
      <c r="A365" s="1541"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c r="A366" s="1626" t="s">
        <v>1006</v>
      </c>
      <c r="B366" s="1633" t="s">
        <v>916</v>
      </c>
      <c r="C366" s="624"/>
      <c r="D366" s="624"/>
      <c r="E366" s="624"/>
      <c r="F366" s="624"/>
      <c r="G366" s="624"/>
      <c r="H366" s="624"/>
      <c r="I366" s="624"/>
      <c r="J366" s="617"/>
      <c r="K366" s="624"/>
      <c r="L366" s="573">
        <v>0</v>
      </c>
      <c r="M366" s="610"/>
      <c r="N366" s="610"/>
    </row>
    <row r="367" spans="1:14" ht="12.75" customHeight="1" thickTop="1" thickBot="1">
      <c r="A367" s="1712" t="s">
        <v>526</v>
      </c>
      <c r="B367" s="1724"/>
      <c r="C367" s="1690">
        <f t="shared" ref="C367:L367" si="28">SUM(C352,C357,C365,C366)</f>
        <v>0</v>
      </c>
      <c r="D367" s="1690">
        <f t="shared" si="28"/>
        <v>0</v>
      </c>
      <c r="E367" s="1690">
        <f t="shared" si="28"/>
        <v>20244</v>
      </c>
      <c r="F367" s="1690">
        <f t="shared" si="28"/>
        <v>0</v>
      </c>
      <c r="G367" s="1690">
        <f t="shared" si="28"/>
        <v>0</v>
      </c>
      <c r="H367" s="1690">
        <f t="shared" si="28"/>
        <v>0</v>
      </c>
      <c r="I367" s="1690">
        <f t="shared" si="28"/>
        <v>0</v>
      </c>
      <c r="J367" s="1690">
        <f t="shared" si="28"/>
        <v>0</v>
      </c>
      <c r="K367" s="1690">
        <f t="shared" si="28"/>
        <v>20244</v>
      </c>
      <c r="L367" s="1690">
        <f t="shared" si="28"/>
        <v>150000</v>
      </c>
    </row>
    <row r="368" spans="1:14" ht="13.5" thickTop="1">
      <c r="A368" s="2234" t="s">
        <v>1053</v>
      </c>
      <c r="B368" s="2235"/>
      <c r="C368" s="655"/>
      <c r="D368" s="655"/>
      <c r="E368" s="627"/>
      <c r="F368" s="627"/>
      <c r="G368" s="627"/>
      <c r="H368" s="627"/>
      <c r="I368" s="627"/>
      <c r="J368" s="624"/>
      <c r="K368" s="1691">
        <f>'Revenues 9-14'!K275-'Expenditures 15-22'!K367</f>
        <v>-17773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3" max="11"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sqref="A1:F1"/>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6" t="s">
        <v>106</v>
      </c>
    </row>
    <row r="2" spans="1:6" ht="39.75" customHeight="1">
      <c r="A2" s="2261" t="s">
        <v>1902</v>
      </c>
      <c r="B2" s="1548" t="s">
        <v>2034</v>
      </c>
      <c r="C2" s="715" t="s">
        <v>1907</v>
      </c>
      <c r="D2" s="715" t="s">
        <v>1908</v>
      </c>
      <c r="E2" s="715" t="s">
        <v>1909</v>
      </c>
      <c r="F2" s="715" t="s">
        <v>1910</v>
      </c>
    </row>
    <row r="3" spans="1:6" ht="12" customHeight="1">
      <c r="A3" s="2262"/>
      <c r="B3" s="1545"/>
      <c r="C3" s="1546"/>
      <c r="D3" s="1547" t="s">
        <v>274</v>
      </c>
      <c r="E3" s="1546"/>
      <c r="F3" s="1547" t="s">
        <v>275</v>
      </c>
    </row>
    <row r="4" spans="1:6" ht="13.7" customHeight="1">
      <c r="A4" s="716" t="s">
        <v>1217</v>
      </c>
      <c r="B4" s="1769">
        <f>'Revenues 9-14'!C5</f>
        <v>8192695</v>
      </c>
      <c r="C4" s="1544">
        <v>2659654</v>
      </c>
      <c r="D4" s="1772">
        <f>B4-C4</f>
        <v>5533041</v>
      </c>
      <c r="E4" s="1544">
        <v>8414979</v>
      </c>
      <c r="F4" s="1772">
        <f>E4-C4</f>
        <v>5755325</v>
      </c>
    </row>
    <row r="5" spans="1:6" ht="13.7" customHeight="1">
      <c r="A5" s="716" t="s">
        <v>925</v>
      </c>
      <c r="B5" s="1770">
        <f>'Revenues 9-14'!D5</f>
        <v>846353</v>
      </c>
      <c r="C5" s="585">
        <v>274758</v>
      </c>
      <c r="D5" s="1773">
        <f t="shared" ref="D5:D18" si="0">B5-C5</f>
        <v>571595</v>
      </c>
      <c r="E5" s="585">
        <v>869316</v>
      </c>
      <c r="F5" s="1773">
        <f>E5-C5</f>
        <v>594558</v>
      </c>
    </row>
    <row r="6" spans="1:6" ht="13.7" customHeight="1">
      <c r="A6" s="716" t="s">
        <v>431</v>
      </c>
      <c r="B6" s="1770">
        <f>'Revenues 9-14'!E5</f>
        <v>2453508</v>
      </c>
      <c r="C6" s="585">
        <v>762947</v>
      </c>
      <c r="D6" s="1773">
        <f t="shared" si="0"/>
        <v>1690561</v>
      </c>
      <c r="E6" s="585">
        <v>2413917</v>
      </c>
      <c r="F6" s="1773">
        <f t="shared" ref="F6:F18" si="1">E6-C6</f>
        <v>1650970</v>
      </c>
    </row>
    <row r="7" spans="1:6" ht="13.7" customHeight="1">
      <c r="A7" s="716" t="s">
        <v>157</v>
      </c>
      <c r="B7" s="1770">
        <f>'Revenues 9-14'!F5</f>
        <v>406249</v>
      </c>
      <c r="C7" s="585">
        <v>131884</v>
      </c>
      <c r="D7" s="1773">
        <f t="shared" si="0"/>
        <v>274365</v>
      </c>
      <c r="E7" s="585">
        <v>417272</v>
      </c>
      <c r="F7" s="1773">
        <f t="shared" si="1"/>
        <v>285388</v>
      </c>
    </row>
    <row r="8" spans="1:6" ht="13.7" customHeight="1">
      <c r="A8" s="716" t="s">
        <v>1241</v>
      </c>
      <c r="B8" s="1770">
        <f>'Revenues 9-14'!G5</f>
        <v>724810</v>
      </c>
      <c r="C8" s="585">
        <v>221345</v>
      </c>
      <c r="D8" s="1773">
        <f t="shared" si="0"/>
        <v>503465</v>
      </c>
      <c r="E8" s="585">
        <v>700321</v>
      </c>
      <c r="F8" s="1773">
        <f t="shared" si="1"/>
        <v>478976</v>
      </c>
    </row>
    <row r="9" spans="1:6" ht="13.7" customHeight="1">
      <c r="A9" s="716" t="s">
        <v>428</v>
      </c>
      <c r="B9" s="1770">
        <f>'Revenues 9-14'!H5</f>
        <v>0</v>
      </c>
      <c r="C9" s="585"/>
      <c r="D9" s="1773">
        <f t="shared" si="0"/>
        <v>0</v>
      </c>
      <c r="E9" s="585"/>
      <c r="F9" s="1773">
        <f t="shared" si="1"/>
        <v>0</v>
      </c>
    </row>
    <row r="10" spans="1:6" ht="13.7" customHeight="1">
      <c r="A10" s="716" t="s">
        <v>427</v>
      </c>
      <c r="B10" s="1770">
        <f>'Revenues 9-14'!I5</f>
        <v>169271</v>
      </c>
      <c r="C10" s="585">
        <v>54951</v>
      </c>
      <c r="D10" s="1773">
        <f t="shared" si="0"/>
        <v>114320</v>
      </c>
      <c r="E10" s="585">
        <v>173863</v>
      </c>
      <c r="F10" s="1773">
        <f t="shared" si="1"/>
        <v>118912</v>
      </c>
    </row>
    <row r="11" spans="1:6">
      <c r="A11" s="716" t="s">
        <v>429</v>
      </c>
      <c r="B11" s="1770">
        <f>'Revenues 9-14'!J5</f>
        <v>917066</v>
      </c>
      <c r="C11" s="585">
        <v>284649</v>
      </c>
      <c r="D11" s="1773">
        <f t="shared" si="0"/>
        <v>632417</v>
      </c>
      <c r="E11" s="585">
        <v>900611</v>
      </c>
      <c r="F11" s="1773">
        <f t="shared" si="1"/>
        <v>615962</v>
      </c>
    </row>
    <row r="12" spans="1:6" ht="13.7" customHeight="1">
      <c r="A12" s="716" t="s">
        <v>159</v>
      </c>
      <c r="B12" s="1770">
        <f>'Revenues 9-14'!K5</f>
        <v>0</v>
      </c>
      <c r="C12" s="585"/>
      <c r="D12" s="1773">
        <f t="shared" si="0"/>
        <v>0</v>
      </c>
      <c r="E12" s="585"/>
      <c r="F12" s="1773">
        <f t="shared" si="1"/>
        <v>0</v>
      </c>
    </row>
    <row r="13" spans="1:6" ht="13.7" customHeight="1">
      <c r="A13" s="716" t="s">
        <v>993</v>
      </c>
      <c r="B13" s="1770">
        <f>SUM('Revenues 9-14'!C6:D6)</f>
        <v>169271</v>
      </c>
      <c r="C13" s="585">
        <v>54951</v>
      </c>
      <c r="D13" s="1773">
        <f t="shared" si="0"/>
        <v>114320</v>
      </c>
      <c r="E13" s="585">
        <v>173863</v>
      </c>
      <c r="F13" s="1773">
        <f t="shared" si="1"/>
        <v>118912</v>
      </c>
    </row>
    <row r="14" spans="1:6" ht="13.7" customHeight="1">
      <c r="A14" s="716" t="s">
        <v>430</v>
      </c>
      <c r="B14" s="1770">
        <f>SUM('Revenues 9-14'!C7:D7,'Revenues 9-14'!F7:H7)</f>
        <v>67708</v>
      </c>
      <c r="C14" s="585">
        <v>21980</v>
      </c>
      <c r="D14" s="1773">
        <f t="shared" si="0"/>
        <v>45728</v>
      </c>
      <c r="E14" s="585">
        <v>69545</v>
      </c>
      <c r="F14" s="1773">
        <f t="shared" si="1"/>
        <v>47565</v>
      </c>
    </row>
    <row r="15" spans="1:6" ht="13.7" customHeight="1">
      <c r="A15" s="716" t="s">
        <v>1220</v>
      </c>
      <c r="B15" s="1770">
        <f>'Revenues 9-14'!E9</f>
        <v>0</v>
      </c>
      <c r="C15" s="585"/>
      <c r="D15" s="1773">
        <f t="shared" si="0"/>
        <v>0</v>
      </c>
      <c r="E15" s="585"/>
      <c r="F15" s="1773">
        <f t="shared" si="1"/>
        <v>0</v>
      </c>
    </row>
    <row r="16" spans="1:6" ht="13.7" customHeight="1">
      <c r="A16" s="716" t="s">
        <v>1221</v>
      </c>
      <c r="B16" s="1770">
        <f>'Revenues 9-14'!G8</f>
        <v>477581</v>
      </c>
      <c r="C16" s="585">
        <v>205519</v>
      </c>
      <c r="D16" s="1773">
        <f t="shared" si="0"/>
        <v>272062</v>
      </c>
      <c r="E16" s="585">
        <v>650248</v>
      </c>
      <c r="F16" s="1773">
        <f t="shared" si="1"/>
        <v>444729</v>
      </c>
    </row>
    <row r="17" spans="1:6" ht="13.7" customHeight="1">
      <c r="A17" s="716" t="s">
        <v>1222</v>
      </c>
      <c r="B17" s="1770">
        <f>'Revenues 9-14'!C10</f>
        <v>0</v>
      </c>
      <c r="C17" s="585"/>
      <c r="D17" s="1773">
        <f t="shared" si="0"/>
        <v>0</v>
      </c>
      <c r="E17" s="585"/>
      <c r="F17" s="1773">
        <f t="shared" si="1"/>
        <v>0</v>
      </c>
    </row>
    <row r="18" spans="1:6" ht="13.7" customHeight="1">
      <c r="A18" s="716" t="s">
        <v>786</v>
      </c>
      <c r="B18" s="1770">
        <f>SUM('Revenues 9-14'!C11:K11)</f>
        <v>0</v>
      </c>
      <c r="C18" s="585"/>
      <c r="D18" s="1773">
        <f t="shared" si="0"/>
        <v>0</v>
      </c>
      <c r="E18" s="585"/>
      <c r="F18" s="1773">
        <f t="shared" si="1"/>
        <v>0</v>
      </c>
    </row>
    <row r="19" spans="1:6" ht="13.7" customHeight="1" thickBot="1">
      <c r="A19" s="1774" t="s">
        <v>1223</v>
      </c>
      <c r="B19" s="1771">
        <f>SUM(B4:B18)</f>
        <v>14424512</v>
      </c>
      <c r="C19" s="1771">
        <f>SUM(C4:C18)</f>
        <v>4672638</v>
      </c>
      <c r="D19" s="1771">
        <f>SUM(D4:D18)</f>
        <v>9751874</v>
      </c>
      <c r="E19" s="1771">
        <f>SUM(E4:E18)</f>
        <v>14783935</v>
      </c>
      <c r="F19" s="1771">
        <f>SUM(F4:F18)</f>
        <v>10111297</v>
      </c>
    </row>
    <row r="20" spans="1:6" ht="13.5" thickTop="1">
      <c r="B20" s="714"/>
      <c r="F20" s="717"/>
    </row>
    <row r="21" spans="1:6">
      <c r="A21" s="718" t="s">
        <v>1912</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Normal="100" workbookViewId="0">
      <selection sqref="A1:F1"/>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283" t="s">
        <v>650</v>
      </c>
      <c r="B1" s="2281"/>
      <c r="C1" s="722"/>
    </row>
    <row r="2" spans="1:7" ht="33.75">
      <c r="A2" s="2288" t="s">
        <v>1902</v>
      </c>
      <c r="B2" s="2289"/>
      <c r="C2" s="1907" t="s">
        <v>2035</v>
      </c>
      <c r="D2" s="724" t="s">
        <v>2042</v>
      </c>
      <c r="E2" s="724" t="s">
        <v>2043</v>
      </c>
      <c r="F2" s="1907" t="s">
        <v>2036</v>
      </c>
    </row>
    <row r="3" spans="1:7" ht="15.75" customHeight="1">
      <c r="A3" s="2290" t="s">
        <v>1176</v>
      </c>
      <c r="B3" s="2291"/>
      <c r="C3" s="2284"/>
      <c r="D3" s="2285"/>
      <c r="E3" s="2285"/>
      <c r="F3" s="2286"/>
    </row>
    <row r="4" spans="1:7" ht="12.75" customHeight="1" thickBot="1">
      <c r="A4" s="2278" t="s">
        <v>651</v>
      </c>
      <c r="B4" s="2279"/>
      <c r="C4" s="581"/>
      <c r="D4" s="581"/>
      <c r="E4" s="581"/>
      <c r="F4" s="1775">
        <f>SUM(C4+D4)-E4</f>
        <v>0</v>
      </c>
    </row>
    <row r="5" spans="1:7" ht="15.75" customHeight="1" thickTop="1">
      <c r="A5" s="2282" t="s">
        <v>1172</v>
      </c>
      <c r="B5" s="2277"/>
      <c r="C5" s="2271"/>
      <c r="D5" s="2272"/>
      <c r="E5" s="2272"/>
      <c r="F5" s="2273"/>
    </row>
    <row r="6" spans="1:7" ht="12.75" customHeight="1" thickBot="1">
      <c r="A6" s="725" t="s">
        <v>66</v>
      </c>
      <c r="B6" s="726"/>
      <c r="C6" s="727"/>
      <c r="D6" s="585"/>
      <c r="E6" s="727"/>
      <c r="F6" s="1775">
        <f t="shared" ref="F6:F14" si="0">SUM(C6+D6)-E6</f>
        <v>0</v>
      </c>
    </row>
    <row r="7" spans="1:7" ht="12.75" customHeight="1" thickTop="1" thickBot="1">
      <c r="A7" s="725" t="s">
        <v>6</v>
      </c>
      <c r="B7" s="726"/>
      <c r="C7" s="727"/>
      <c r="D7" s="585"/>
      <c r="E7" s="727"/>
      <c r="F7" s="1775">
        <f t="shared" si="0"/>
        <v>0</v>
      </c>
    </row>
    <row r="8" spans="1:7" ht="12.75" customHeight="1" thickTop="1" thickBot="1">
      <c r="A8" s="725" t="s">
        <v>529</v>
      </c>
      <c r="B8" s="726"/>
      <c r="C8" s="727"/>
      <c r="D8" s="585"/>
      <c r="E8" s="727"/>
      <c r="F8" s="1775">
        <f t="shared" si="0"/>
        <v>0</v>
      </c>
    </row>
    <row r="9" spans="1:7" ht="12.75" customHeight="1" thickTop="1" thickBot="1">
      <c r="A9" s="725" t="s">
        <v>530</v>
      </c>
      <c r="B9" s="726"/>
      <c r="C9" s="727"/>
      <c r="D9" s="585"/>
      <c r="E9" s="727"/>
      <c r="F9" s="1775">
        <f t="shared" si="0"/>
        <v>0</v>
      </c>
    </row>
    <row r="10" spans="1:7" ht="12.75" customHeight="1" thickTop="1" thickBot="1">
      <c r="A10" s="725" t="s">
        <v>531</v>
      </c>
      <c r="B10" s="726"/>
      <c r="C10" s="727"/>
      <c r="D10" s="585"/>
      <c r="E10" s="727"/>
      <c r="F10" s="1775">
        <f t="shared" si="0"/>
        <v>0</v>
      </c>
    </row>
    <row r="11" spans="1:7" ht="12.75" customHeight="1" thickTop="1" thickBot="1">
      <c r="A11" s="725" t="s">
        <v>359</v>
      </c>
      <c r="B11" s="726"/>
      <c r="C11" s="727"/>
      <c r="D11" s="585"/>
      <c r="E11" s="727"/>
      <c r="F11" s="1775">
        <f t="shared" si="0"/>
        <v>0</v>
      </c>
    </row>
    <row r="12" spans="1:7" ht="12.75" customHeight="1" thickTop="1" thickBot="1">
      <c r="A12" s="725" t="s">
        <v>1219</v>
      </c>
      <c r="B12" s="726"/>
      <c r="C12" s="727"/>
      <c r="D12" s="585"/>
      <c r="E12" s="727"/>
      <c r="F12" s="1775">
        <f t="shared" si="0"/>
        <v>0</v>
      </c>
    </row>
    <row r="13" spans="1:7" ht="12.75" customHeight="1" thickTop="1" thickBot="1">
      <c r="A13" s="725" t="s">
        <v>406</v>
      </c>
      <c r="B13" s="726"/>
      <c r="C13" s="727"/>
      <c r="D13" s="585"/>
      <c r="E13" s="727"/>
      <c r="F13" s="1775">
        <f t="shared" si="0"/>
        <v>0</v>
      </c>
    </row>
    <row r="14" spans="1:7" ht="12.75" customHeight="1" thickTop="1" thickBot="1">
      <c r="A14" s="725" t="s">
        <v>468</v>
      </c>
      <c r="B14" s="726"/>
      <c r="C14" s="727"/>
      <c r="D14" s="585"/>
      <c r="E14" s="727"/>
      <c r="F14" s="1775">
        <f t="shared" si="0"/>
        <v>0</v>
      </c>
    </row>
    <row r="15" spans="1:7" ht="14.25" thickTop="1" thickBot="1">
      <c r="A15" s="2274" t="s">
        <v>652</v>
      </c>
      <c r="B15" s="2275"/>
      <c r="C15" s="1775">
        <f>SUM(C6:C14)</f>
        <v>0</v>
      </c>
      <c r="D15" s="1775">
        <f>SUM(D6:D14)</f>
        <v>0</v>
      </c>
      <c r="E15" s="1775">
        <f>SUM(E6:E14)</f>
        <v>0</v>
      </c>
      <c r="F15" s="1775">
        <f>SUM(F6:F14)</f>
        <v>0</v>
      </c>
      <c r="G15" s="552"/>
    </row>
    <row r="16" spans="1:7" s="202" customFormat="1" ht="15.75" customHeight="1" thickTop="1">
      <c r="A16" s="2287" t="s">
        <v>1173</v>
      </c>
      <c r="B16" s="2277"/>
      <c r="C16" s="2271"/>
      <c r="D16" s="2272"/>
      <c r="E16" s="2272"/>
      <c r="F16" s="2273"/>
    </row>
    <row r="17" spans="1:11" ht="12.75" customHeight="1" thickBot="1">
      <c r="A17" s="2269" t="s">
        <v>66</v>
      </c>
      <c r="B17" s="2270"/>
      <c r="C17" s="727"/>
      <c r="D17" s="585"/>
      <c r="E17" s="727"/>
      <c r="F17" s="1775">
        <f>SUM(C17+D17)-E17</f>
        <v>0</v>
      </c>
    </row>
    <row r="18" spans="1:11" ht="12.75" customHeight="1" thickTop="1" thickBot="1">
      <c r="A18" s="2269" t="s">
        <v>6</v>
      </c>
      <c r="B18" s="2270"/>
      <c r="C18" s="727"/>
      <c r="D18" s="585"/>
      <c r="E18" s="727"/>
      <c r="F18" s="1775">
        <f>SUM(C18+D18)-E18</f>
        <v>0</v>
      </c>
    </row>
    <row r="19" spans="1:11" ht="12.75" customHeight="1" thickTop="1" thickBot="1">
      <c r="A19" s="2269" t="s">
        <v>406</v>
      </c>
      <c r="B19" s="2270"/>
      <c r="C19" s="727"/>
      <c r="D19" s="585"/>
      <c r="E19" s="727"/>
      <c r="F19" s="1775">
        <f>SUM(C19+D19)-E19</f>
        <v>0</v>
      </c>
    </row>
    <row r="20" spans="1:11" ht="12.75" customHeight="1" thickTop="1" thickBot="1">
      <c r="A20" s="2269" t="s">
        <v>468</v>
      </c>
      <c r="B20" s="2270"/>
      <c r="C20" s="727"/>
      <c r="D20" s="585"/>
      <c r="E20" s="727"/>
      <c r="F20" s="1775">
        <f>SUM(C20+D20)-E20</f>
        <v>0</v>
      </c>
    </row>
    <row r="21" spans="1:11" ht="14.25" thickTop="1" thickBot="1">
      <c r="A21" s="2274" t="s">
        <v>653</v>
      </c>
      <c r="B21" s="2275"/>
      <c r="C21" s="1775">
        <f>SUM(C17:C20)</f>
        <v>0</v>
      </c>
      <c r="D21" s="1775">
        <f>SUM(D17:D20)</f>
        <v>0</v>
      </c>
      <c r="E21" s="1775">
        <f>SUM(E17:E20)</f>
        <v>0</v>
      </c>
      <c r="F21" s="1775">
        <f>SUM(F17:F20)</f>
        <v>0</v>
      </c>
      <c r="G21" s="552"/>
    </row>
    <row r="22" spans="1:11" ht="15.75" customHeight="1" thickTop="1">
      <c r="A22" s="2276" t="s">
        <v>1174</v>
      </c>
      <c r="B22" s="2277"/>
      <c r="C22" s="2271"/>
      <c r="D22" s="2272"/>
      <c r="E22" s="2272"/>
      <c r="F22" s="2273"/>
    </row>
    <row r="23" spans="1:11" ht="13.5" thickBot="1">
      <c r="A23" s="2278" t="s">
        <v>654</v>
      </c>
      <c r="B23" s="2279"/>
      <c r="C23" s="581"/>
      <c r="D23" s="581"/>
      <c r="E23" s="581"/>
      <c r="F23" s="1775">
        <f>SUM(C23+D23)-E23</f>
        <v>0</v>
      </c>
      <c r="G23" s="552"/>
    </row>
    <row r="24" spans="1:11" ht="15.75" customHeight="1" thickTop="1">
      <c r="A24" s="2276" t="s">
        <v>1175</v>
      </c>
      <c r="B24" s="2277"/>
      <c r="C24" s="2271"/>
      <c r="D24" s="2272"/>
      <c r="E24" s="2272"/>
      <c r="F24" s="2273"/>
    </row>
    <row r="25" spans="1:11" ht="13.5" thickBot="1">
      <c r="A25" s="2278" t="s">
        <v>655</v>
      </c>
      <c r="B25" s="2279"/>
      <c r="C25" s="581"/>
      <c r="D25" s="581"/>
      <c r="E25" s="581"/>
      <c r="F25" s="1775">
        <f>SUM(C25+D25)-E25</f>
        <v>0</v>
      </c>
      <c r="G25" s="552"/>
    </row>
    <row r="26" spans="1:11" ht="15.75" customHeight="1" thickTop="1">
      <c r="A26" s="2282" t="s">
        <v>678</v>
      </c>
      <c r="B26" s="2277"/>
      <c r="C26" s="728"/>
      <c r="D26" s="728"/>
      <c r="E26" s="728"/>
      <c r="F26" s="729"/>
    </row>
    <row r="27" spans="1:11" ht="13.5" thickBot="1">
      <c r="A27" s="2274" t="s">
        <v>1130</v>
      </c>
      <c r="B27" s="2275"/>
      <c r="C27" s="585"/>
      <c r="D27" s="585"/>
      <c r="E27" s="585"/>
      <c r="F27" s="1775">
        <f>SUM(C27+D27)-E27</f>
        <v>0</v>
      </c>
      <c r="G27" s="552"/>
    </row>
    <row r="28" spans="1:11" ht="7.5" customHeight="1" thickTop="1">
      <c r="A28" s="594"/>
    </row>
    <row r="29" spans="1:11" ht="23.25" customHeight="1">
      <c r="A29" s="2280" t="s">
        <v>603</v>
      </c>
      <c r="B29" s="2281"/>
      <c r="C29" s="730"/>
      <c r="D29" s="730"/>
      <c r="E29" s="730"/>
      <c r="F29" s="730"/>
      <c r="G29" s="730"/>
      <c r="H29" s="730"/>
      <c r="I29" s="730"/>
      <c r="J29" s="730"/>
    </row>
    <row r="30" spans="1:11" ht="33.75">
      <c r="A30" s="1549" t="s">
        <v>1131</v>
      </c>
      <c r="B30" s="731" t="s">
        <v>1186</v>
      </c>
      <c r="C30" s="1908" t="s">
        <v>604</v>
      </c>
      <c r="D30" s="1908" t="s">
        <v>1772</v>
      </c>
      <c r="E30" s="1908" t="s">
        <v>2037</v>
      </c>
      <c r="F30" s="1908" t="s">
        <v>2038</v>
      </c>
      <c r="G30" s="1908" t="s">
        <v>2041</v>
      </c>
      <c r="H30" s="1908" t="s">
        <v>2039</v>
      </c>
      <c r="I30" s="1908" t="s">
        <v>2040</v>
      </c>
      <c r="J30" s="1909" t="s">
        <v>2</v>
      </c>
      <c r="K30" s="732"/>
    </row>
    <row r="31" spans="1:11" ht="12" customHeight="1">
      <c r="A31" s="733" t="s">
        <v>2240</v>
      </c>
      <c r="B31" s="734">
        <v>41437</v>
      </c>
      <c r="C31" s="735">
        <v>1495000</v>
      </c>
      <c r="D31" s="736">
        <v>1</v>
      </c>
      <c r="E31" s="735">
        <v>270000</v>
      </c>
      <c r="F31" s="735"/>
      <c r="G31" s="735"/>
      <c r="H31" s="735">
        <v>270000</v>
      </c>
      <c r="I31" s="1776">
        <f>((E31+F31)-H31)+G31</f>
        <v>0</v>
      </c>
      <c r="J31" s="735">
        <v>0</v>
      </c>
      <c r="K31" s="737"/>
    </row>
    <row r="32" spans="1:11" ht="12" customHeight="1">
      <c r="A32" s="733" t="s">
        <v>2241</v>
      </c>
      <c r="B32" s="734">
        <v>41781</v>
      </c>
      <c r="C32" s="735">
        <v>3520000</v>
      </c>
      <c r="D32" s="736">
        <v>3</v>
      </c>
      <c r="E32" s="735">
        <v>3520000</v>
      </c>
      <c r="F32" s="735"/>
      <c r="G32" s="735"/>
      <c r="H32" s="735">
        <v>945000</v>
      </c>
      <c r="I32" s="1776">
        <f>((E32+F32)-H32)+G32</f>
        <v>2575000</v>
      </c>
      <c r="J32" s="735">
        <v>2293142</v>
      </c>
      <c r="K32" s="737"/>
    </row>
    <row r="33" spans="1:11" ht="12" customHeight="1">
      <c r="A33" s="733" t="s">
        <v>2242</v>
      </c>
      <c r="B33" s="734">
        <v>42083</v>
      </c>
      <c r="C33" s="735">
        <v>5400000</v>
      </c>
      <c r="D33" s="736">
        <v>1</v>
      </c>
      <c r="E33" s="735">
        <v>5400000</v>
      </c>
      <c r="F33" s="735"/>
      <c r="G33" s="735"/>
      <c r="H33" s="735">
        <v>100000</v>
      </c>
      <c r="I33" s="1776">
        <f t="shared" ref="I33:I48" si="1">((E33+F33)-H33)+G33</f>
        <v>5300000</v>
      </c>
      <c r="J33" s="735">
        <v>4719865</v>
      </c>
      <c r="K33" s="737"/>
    </row>
    <row r="34" spans="1:11" ht="12" customHeight="1">
      <c r="A34" s="733" t="s">
        <v>2243</v>
      </c>
      <c r="B34" s="734">
        <v>42426</v>
      </c>
      <c r="C34" s="739">
        <v>7320000</v>
      </c>
      <c r="D34" s="736">
        <v>1</v>
      </c>
      <c r="E34" s="739">
        <v>7275000</v>
      </c>
      <c r="F34" s="735"/>
      <c r="G34" s="735"/>
      <c r="H34" s="735">
        <v>540000</v>
      </c>
      <c r="I34" s="1776">
        <f t="shared" si="1"/>
        <v>6735000</v>
      </c>
      <c r="J34" s="735">
        <v>5997790</v>
      </c>
      <c r="K34" s="738"/>
    </row>
    <row r="35" spans="1:11" ht="12" customHeight="1">
      <c r="A35" s="733" t="s">
        <v>2244</v>
      </c>
      <c r="B35" s="734">
        <v>42842</v>
      </c>
      <c r="C35" s="735">
        <v>8825000</v>
      </c>
      <c r="D35" s="736">
        <v>6</v>
      </c>
      <c r="E35" s="735">
        <v>8825000</v>
      </c>
      <c r="F35" s="739"/>
      <c r="G35" s="739"/>
      <c r="H35" s="739"/>
      <c r="I35" s="1776">
        <f t="shared" si="1"/>
        <v>8825000</v>
      </c>
      <c r="J35" s="739">
        <v>7859020</v>
      </c>
      <c r="K35" s="738"/>
    </row>
    <row r="36" spans="1:11" ht="12" customHeight="1">
      <c r="A36" s="733" t="s">
        <v>2245</v>
      </c>
      <c r="B36" s="734">
        <v>42842</v>
      </c>
      <c r="C36" s="467">
        <v>2020000</v>
      </c>
      <c r="D36" s="741">
        <v>6</v>
      </c>
      <c r="E36" s="467">
        <v>2020000</v>
      </c>
      <c r="F36" s="735"/>
      <c r="G36" s="735"/>
      <c r="H36" s="735"/>
      <c r="I36" s="1776">
        <f t="shared" si="1"/>
        <v>2020000</v>
      </c>
      <c r="J36" s="735">
        <v>1798892</v>
      </c>
      <c r="K36" s="740"/>
    </row>
    <row r="37" spans="1:11" ht="12" customHeight="1">
      <c r="A37" s="733"/>
      <c r="B37" s="734"/>
      <c r="C37" s="467"/>
      <c r="D37" s="741"/>
      <c r="E37" s="467"/>
      <c r="F37" s="467"/>
      <c r="G37" s="467"/>
      <c r="H37" s="467"/>
      <c r="I37" s="1776">
        <f t="shared" si="1"/>
        <v>0</v>
      </c>
      <c r="J37" s="467"/>
      <c r="K37" s="738"/>
    </row>
    <row r="38" spans="1:11" ht="12" customHeight="1">
      <c r="A38" s="733"/>
      <c r="B38" s="734"/>
      <c r="C38" s="735"/>
      <c r="D38" s="742"/>
      <c r="E38" s="743"/>
      <c r="F38" s="743"/>
      <c r="G38" s="743"/>
      <c r="H38" s="743"/>
      <c r="I38" s="1776">
        <f t="shared" si="1"/>
        <v>0</v>
      </c>
      <c r="J38" s="744" t="s">
        <v>282</v>
      </c>
      <c r="K38" s="745"/>
    </row>
    <row r="39" spans="1:11" ht="12" customHeight="1">
      <c r="A39" s="733"/>
      <c r="B39" s="734"/>
      <c r="C39" s="735"/>
      <c r="D39" s="742"/>
      <c r="E39" s="743"/>
      <c r="F39" s="743"/>
      <c r="G39" s="743"/>
      <c r="H39" s="743"/>
      <c r="I39" s="1776">
        <f t="shared" si="1"/>
        <v>0</v>
      </c>
      <c r="J39" s="744"/>
      <c r="K39" s="745"/>
    </row>
    <row r="40" spans="1:11" ht="12" customHeight="1">
      <c r="A40" s="733"/>
      <c r="B40" s="734"/>
      <c r="C40" s="735"/>
      <c r="D40" s="742"/>
      <c r="E40" s="743"/>
      <c r="F40" s="743"/>
      <c r="G40" s="743"/>
      <c r="H40" s="743"/>
      <c r="I40" s="1776">
        <f t="shared" si="1"/>
        <v>0</v>
      </c>
      <c r="J40" s="744"/>
      <c r="K40" s="745"/>
    </row>
    <row r="41" spans="1:11" ht="12" customHeight="1">
      <c r="A41" s="733"/>
      <c r="B41" s="734"/>
      <c r="C41" s="735"/>
      <c r="D41" s="742"/>
      <c r="E41" s="743"/>
      <c r="F41" s="743"/>
      <c r="G41" s="743"/>
      <c r="H41" s="743"/>
      <c r="I41" s="1776">
        <f t="shared" si="1"/>
        <v>0</v>
      </c>
      <c r="J41" s="744"/>
      <c r="K41" s="745"/>
    </row>
    <row r="42" spans="1:11" ht="12" customHeight="1">
      <c r="A42" s="733"/>
      <c r="B42" s="734"/>
      <c r="C42" s="735"/>
      <c r="D42" s="742"/>
      <c r="E42" s="743"/>
      <c r="F42" s="743"/>
      <c r="G42" s="743"/>
      <c r="H42" s="743"/>
      <c r="I42" s="1776">
        <f t="shared" si="1"/>
        <v>0</v>
      </c>
      <c r="J42" s="744"/>
      <c r="K42" s="745"/>
    </row>
    <row r="43" spans="1:11" ht="12" customHeight="1">
      <c r="A43" s="733"/>
      <c r="B43" s="734"/>
      <c r="C43" s="735"/>
      <c r="D43" s="742"/>
      <c r="E43" s="743"/>
      <c r="F43" s="743"/>
      <c r="G43" s="743"/>
      <c r="H43" s="743"/>
      <c r="I43" s="1776">
        <f t="shared" si="1"/>
        <v>0</v>
      </c>
      <c r="J43" s="744"/>
      <c r="K43" s="745"/>
    </row>
    <row r="44" spans="1:11" ht="12" customHeight="1">
      <c r="A44" s="733"/>
      <c r="B44" s="734"/>
      <c r="C44" s="735"/>
      <c r="D44" s="736"/>
      <c r="E44" s="735"/>
      <c r="F44" s="735"/>
      <c r="G44" s="735"/>
      <c r="H44" s="735"/>
      <c r="I44" s="1776">
        <f t="shared" si="1"/>
        <v>0</v>
      </c>
      <c r="J44" s="735"/>
      <c r="K44" s="738"/>
    </row>
    <row r="45" spans="1:11" ht="12" customHeight="1">
      <c r="A45" s="733"/>
      <c r="B45" s="734"/>
      <c r="C45" s="735"/>
      <c r="D45" s="736"/>
      <c r="E45" s="735"/>
      <c r="F45" s="735"/>
      <c r="G45" s="735"/>
      <c r="H45" s="735"/>
      <c r="I45" s="1776">
        <f t="shared" si="1"/>
        <v>0</v>
      </c>
      <c r="J45" s="735"/>
      <c r="K45" s="738"/>
    </row>
    <row r="46" spans="1:11" ht="12" customHeight="1">
      <c r="A46" s="733"/>
      <c r="B46" s="734"/>
      <c r="C46" s="735"/>
      <c r="D46" s="736"/>
      <c r="E46" s="735"/>
      <c r="F46" s="735"/>
      <c r="G46" s="735"/>
      <c r="H46" s="735"/>
      <c r="I46" s="1776">
        <f t="shared" si="1"/>
        <v>0</v>
      </c>
      <c r="J46" s="735"/>
      <c r="K46" s="738"/>
    </row>
    <row r="47" spans="1:11" ht="12" customHeight="1">
      <c r="A47" s="733"/>
      <c r="B47" s="734"/>
      <c r="C47" s="739"/>
      <c r="D47" s="736"/>
      <c r="E47" s="739"/>
      <c r="F47" s="739"/>
      <c r="G47" s="739"/>
      <c r="H47" s="739"/>
      <c r="I47" s="1776">
        <f t="shared" si="1"/>
        <v>0</v>
      </c>
      <c r="J47" s="739"/>
      <c r="K47" s="738"/>
    </row>
    <row r="48" spans="1:11" ht="12" customHeight="1">
      <c r="A48" s="733"/>
      <c r="B48" s="734"/>
      <c r="C48" s="735"/>
      <c r="D48" s="736"/>
      <c r="E48" s="735"/>
      <c r="F48" s="735"/>
      <c r="G48" s="735"/>
      <c r="H48" s="735"/>
      <c r="I48" s="1776">
        <f t="shared" si="1"/>
        <v>0</v>
      </c>
      <c r="J48" s="735"/>
      <c r="K48" s="738"/>
    </row>
    <row r="49" spans="1:11" ht="12" customHeight="1">
      <c r="A49" s="733"/>
      <c r="B49" s="734"/>
      <c r="C49" s="1776">
        <f>SUM(C31:C48)</f>
        <v>28580000</v>
      </c>
      <c r="D49" s="746"/>
      <c r="E49" s="1776">
        <f t="shared" ref="E49:J49" si="2">SUM(E31:E48)</f>
        <v>27310000</v>
      </c>
      <c r="F49" s="1776">
        <f t="shared" si="2"/>
        <v>0</v>
      </c>
      <c r="G49" s="1776">
        <f t="shared" si="2"/>
        <v>0</v>
      </c>
      <c r="H49" s="1776">
        <f t="shared" si="2"/>
        <v>1855000</v>
      </c>
      <c r="I49" s="1776">
        <f t="shared" si="2"/>
        <v>25455000</v>
      </c>
      <c r="J49" s="1776">
        <f t="shared" si="2"/>
        <v>22668709</v>
      </c>
      <c r="K49" s="738"/>
    </row>
    <row r="50" spans="1:11" ht="6" customHeight="1">
      <c r="A50" s="747"/>
      <c r="B50" s="737"/>
      <c r="C50" s="737"/>
      <c r="D50" s="737"/>
      <c r="E50" s="737"/>
      <c r="F50" s="737"/>
      <c r="G50" s="737"/>
      <c r="H50" s="737"/>
      <c r="I50" s="737"/>
      <c r="J50" s="747"/>
    </row>
    <row r="51" spans="1:11">
      <c r="A51" s="748" t="s">
        <v>1911</v>
      </c>
      <c r="B51" s="747"/>
      <c r="C51" s="738"/>
      <c r="D51" s="738"/>
      <c r="E51" s="738"/>
      <c r="F51" s="738"/>
      <c r="G51" s="738"/>
      <c r="H51" s="737"/>
      <c r="I51" s="737"/>
      <c r="J51" s="747"/>
    </row>
    <row r="52" spans="1:11" ht="11.25" customHeight="1">
      <c r="A52" s="749" t="s">
        <v>968</v>
      </c>
      <c r="B52" s="2263" t="s">
        <v>605</v>
      </c>
      <c r="C52" s="2264"/>
      <c r="D52" s="2264"/>
      <c r="E52" s="750" t="s">
        <v>900</v>
      </c>
      <c r="F52" s="2265"/>
      <c r="G52" s="2266"/>
      <c r="H52" s="737"/>
      <c r="I52" s="737"/>
      <c r="J52" s="747"/>
    </row>
    <row r="53" spans="1:11" ht="11.25" customHeight="1">
      <c r="A53" s="751" t="s">
        <v>969</v>
      </c>
      <c r="B53" s="752" t="s">
        <v>1008</v>
      </c>
      <c r="C53" s="747"/>
      <c r="D53" s="738"/>
      <c r="E53" s="750" t="s">
        <v>518</v>
      </c>
      <c r="F53" s="2267"/>
      <c r="G53" s="2268"/>
      <c r="H53" s="737"/>
      <c r="I53" s="737"/>
      <c r="J53" s="747"/>
    </row>
    <row r="54" spans="1:11" ht="11.25" customHeight="1">
      <c r="A54" s="753" t="s">
        <v>970</v>
      </c>
      <c r="B54" s="748" t="s">
        <v>1009</v>
      </c>
      <c r="C54" s="747"/>
      <c r="D54" s="738"/>
      <c r="E54" s="750" t="s">
        <v>519</v>
      </c>
      <c r="F54" s="2267"/>
      <c r="G54" s="2268"/>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Normal="100" workbookViewId="0">
      <selection sqref="A1:F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92" t="s">
        <v>911</v>
      </c>
      <c r="B1" s="2293"/>
      <c r="C1" s="2293"/>
      <c r="D1" s="2293"/>
      <c r="E1" s="2293"/>
      <c r="F1" s="2293"/>
      <c r="G1" s="2294"/>
      <c r="H1" s="1550"/>
      <c r="I1" s="761"/>
      <c r="J1" s="433"/>
    </row>
    <row r="2" spans="1:11" ht="26.25">
      <c r="A2" s="2311" t="s">
        <v>1776</v>
      </c>
      <c r="B2" s="2312"/>
      <c r="C2" s="2312"/>
      <c r="D2" s="2312"/>
      <c r="E2" s="2313"/>
      <c r="F2" s="762" t="s">
        <v>960</v>
      </c>
      <c r="G2" s="763" t="s">
        <v>1773</v>
      </c>
      <c r="H2" s="763" t="s">
        <v>430</v>
      </c>
      <c r="I2" s="763" t="s">
        <v>1220</v>
      </c>
      <c r="J2" s="763" t="s">
        <v>1916</v>
      </c>
      <c r="K2" s="763" t="s">
        <v>140</v>
      </c>
    </row>
    <row r="3" spans="1:11">
      <c r="A3" s="2314" t="s">
        <v>1698</v>
      </c>
      <c r="B3" s="2315"/>
      <c r="C3" s="2315"/>
      <c r="D3" s="2315"/>
      <c r="E3" s="2316"/>
      <c r="F3" s="764"/>
      <c r="G3" s="765"/>
      <c r="H3" s="765"/>
      <c r="I3" s="765"/>
      <c r="J3" s="766"/>
      <c r="K3" s="766"/>
    </row>
    <row r="4" spans="1:11">
      <c r="A4" s="2317" t="s">
        <v>387</v>
      </c>
      <c r="B4" s="2318"/>
      <c r="C4" s="2318"/>
      <c r="D4" s="2318"/>
      <c r="E4" s="2264"/>
      <c r="F4" s="767"/>
      <c r="G4" s="768"/>
      <c r="H4" s="769"/>
      <c r="I4" s="768"/>
      <c r="J4" s="770"/>
      <c r="K4" s="770"/>
    </row>
    <row r="5" spans="1:11">
      <c r="A5" s="2295" t="s">
        <v>1129</v>
      </c>
      <c r="B5" s="2296"/>
      <c r="C5" s="2296"/>
      <c r="D5" s="2296"/>
      <c r="E5" s="2297"/>
      <c r="F5" s="771" t="s">
        <v>903</v>
      </c>
      <c r="G5" s="772"/>
      <c r="H5" s="765">
        <v>67708</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row>
    <row r="8" spans="1:11">
      <c r="A8" s="779" t="s">
        <v>363</v>
      </c>
      <c r="B8" s="780"/>
      <c r="C8" s="780"/>
      <c r="D8" s="780"/>
      <c r="E8" s="781"/>
      <c r="F8" s="771" t="s">
        <v>906</v>
      </c>
      <c r="G8" s="783"/>
      <c r="H8" s="783"/>
      <c r="I8" s="783"/>
      <c r="J8" s="766">
        <v>1071308</v>
      </c>
      <c r="K8" s="770"/>
    </row>
    <row r="9" spans="1:11">
      <c r="A9" s="779" t="s">
        <v>140</v>
      </c>
      <c r="B9" s="780"/>
      <c r="C9" s="780"/>
      <c r="D9" s="780"/>
      <c r="E9" s="781"/>
      <c r="F9" s="778" t="s">
        <v>908</v>
      </c>
      <c r="G9" s="783"/>
      <c r="H9" s="772"/>
      <c r="I9" s="772"/>
      <c r="J9" s="782"/>
      <c r="K9" s="766"/>
    </row>
    <row r="10" spans="1:11">
      <c r="A10" s="2295" t="s">
        <v>1917</v>
      </c>
      <c r="B10" s="2296"/>
      <c r="C10" s="2296"/>
      <c r="D10" s="2296"/>
      <c r="E10" s="2298"/>
      <c r="F10" s="784" t="s">
        <v>917</v>
      </c>
      <c r="G10" s="783"/>
      <c r="H10" s="785"/>
      <c r="I10" s="765"/>
      <c r="J10" s="766"/>
      <c r="K10" s="766"/>
    </row>
    <row r="11" spans="1:11">
      <c r="A11" s="2295" t="s">
        <v>162</v>
      </c>
      <c r="B11" s="2296"/>
      <c r="C11" s="2296"/>
      <c r="D11" s="2296"/>
      <c r="E11" s="2297"/>
      <c r="F11" s="771" t="s">
        <v>907</v>
      </c>
      <c r="G11" s="772"/>
      <c r="H11" s="765"/>
      <c r="I11" s="765"/>
      <c r="J11" s="766"/>
      <c r="K11" s="774"/>
    </row>
    <row r="12" spans="1:11" ht="13.5" thickBot="1">
      <c r="A12" s="2322" t="s">
        <v>961</v>
      </c>
      <c r="B12" s="2323"/>
      <c r="C12" s="2323"/>
      <c r="D12" s="2323"/>
      <c r="E12" s="2324"/>
      <c r="F12" s="1777"/>
      <c r="G12" s="1778">
        <f>SUM(G5:G11)</f>
        <v>0</v>
      </c>
      <c r="H12" s="1778">
        <f>SUM(H5:H11)</f>
        <v>67708</v>
      </c>
      <c r="I12" s="1778">
        <f>SUM(I5:I11)</f>
        <v>0</v>
      </c>
      <c r="J12" s="1778">
        <f>SUM(J5:J11)</f>
        <v>1071308</v>
      </c>
      <c r="K12" s="1778">
        <f>SUM(K5:K11)</f>
        <v>0</v>
      </c>
    </row>
    <row r="13" spans="1:11" ht="13.5" thickTop="1">
      <c r="A13" s="2319" t="s">
        <v>388</v>
      </c>
      <c r="B13" s="2320"/>
      <c r="C13" s="2320"/>
      <c r="D13" s="2320"/>
      <c r="E13" s="2321"/>
      <c r="F13" s="786"/>
      <c r="G13" s="787"/>
      <c r="H13" s="788"/>
      <c r="I13" s="789"/>
      <c r="J13" s="789"/>
      <c r="K13" s="789"/>
    </row>
    <row r="14" spans="1:11">
      <c r="A14" s="2302" t="s">
        <v>476</v>
      </c>
      <c r="B14" s="2302"/>
      <c r="C14" s="2302"/>
      <c r="D14" s="2302"/>
      <c r="E14" s="2303"/>
      <c r="F14" s="790" t="s">
        <v>909</v>
      </c>
      <c r="G14" s="783"/>
      <c r="H14" s="765">
        <v>67708</v>
      </c>
      <c r="I14" s="772"/>
      <c r="J14" s="774"/>
      <c r="K14" s="766"/>
    </row>
    <row r="15" spans="1:11">
      <c r="A15" s="2296" t="s">
        <v>4</v>
      </c>
      <c r="B15" s="2296"/>
      <c r="C15" s="2296"/>
      <c r="D15" s="2296"/>
      <c r="E15" s="2297"/>
      <c r="F15" s="790" t="s">
        <v>910</v>
      </c>
      <c r="G15" s="772"/>
      <c r="H15" s="765"/>
      <c r="I15" s="765"/>
      <c r="J15" s="766"/>
      <c r="K15" s="766"/>
    </row>
    <row r="16" spans="1:11">
      <c r="A16" s="2296" t="s">
        <v>316</v>
      </c>
      <c r="B16" s="2296"/>
      <c r="C16" s="2296"/>
      <c r="D16" s="2296"/>
      <c r="E16" s="2297"/>
      <c r="F16" s="790" t="s">
        <v>980</v>
      </c>
      <c r="G16" s="773"/>
      <c r="H16" s="768"/>
      <c r="I16" s="768"/>
      <c r="J16" s="770"/>
      <c r="K16" s="770"/>
    </row>
    <row r="17" spans="1:11">
      <c r="A17" s="2327" t="s">
        <v>992</v>
      </c>
      <c r="B17" s="2327"/>
      <c r="C17" s="2327"/>
      <c r="D17" s="2327"/>
      <c r="E17" s="2328"/>
      <c r="F17" s="791"/>
      <c r="G17" s="792"/>
      <c r="H17" s="793"/>
      <c r="I17" s="793"/>
      <c r="J17" s="794"/>
      <c r="K17" s="795"/>
    </row>
    <row r="18" spans="1:11">
      <c r="A18" s="2306" t="s">
        <v>386</v>
      </c>
      <c r="B18" s="2307"/>
      <c r="C18" s="2307"/>
      <c r="D18" s="2307"/>
      <c r="E18" s="2308"/>
      <c r="F18" s="790" t="s">
        <v>989</v>
      </c>
      <c r="G18" s="783"/>
      <c r="H18" s="783"/>
      <c r="I18" s="783"/>
      <c r="J18" s="766"/>
      <c r="K18" s="796"/>
    </row>
    <row r="19" spans="1:11" ht="21.75" customHeight="1">
      <c r="A19" s="2304" t="s">
        <v>1913</v>
      </c>
      <c r="B19" s="2304"/>
      <c r="C19" s="2304"/>
      <c r="D19" s="2304"/>
      <c r="E19" s="2305"/>
      <c r="F19" s="790" t="s">
        <v>990</v>
      </c>
      <c r="G19" s="783"/>
      <c r="H19" s="783"/>
      <c r="I19" s="783"/>
      <c r="J19" s="766"/>
      <c r="K19" s="796"/>
    </row>
    <row r="20" spans="1:11">
      <c r="A20" s="2306" t="s">
        <v>1918</v>
      </c>
      <c r="B20" s="2307"/>
      <c r="C20" s="2307"/>
      <c r="D20" s="2307"/>
      <c r="E20" s="2308"/>
      <c r="F20" s="790" t="s">
        <v>991</v>
      </c>
      <c r="G20" s="783"/>
      <c r="H20" s="783"/>
      <c r="I20" s="783"/>
      <c r="J20" s="766"/>
      <c r="K20" s="796"/>
    </row>
    <row r="21" spans="1:11" ht="13.5" thickBot="1">
      <c r="A21" s="2325" t="s">
        <v>659</v>
      </c>
      <c r="B21" s="2325"/>
      <c r="C21" s="2325"/>
      <c r="D21" s="2325"/>
      <c r="E21" s="2325"/>
      <c r="F21" s="1779"/>
      <c r="G21" s="793"/>
      <c r="H21" s="797"/>
      <c r="I21" s="797"/>
      <c r="J21" s="1780">
        <f>SUM(J18:J20)</f>
        <v>0</v>
      </c>
      <c r="K21" s="794"/>
    </row>
    <row r="22" spans="1:11" ht="13.5" thickTop="1">
      <c r="A22" s="2296" t="s">
        <v>1919</v>
      </c>
      <c r="B22" s="2296"/>
      <c r="C22" s="2296"/>
      <c r="D22" s="2296"/>
      <c r="E22" s="2297"/>
      <c r="F22" s="790" t="s">
        <v>917</v>
      </c>
      <c r="G22" s="783"/>
      <c r="H22" s="765"/>
      <c r="I22" s="765"/>
      <c r="J22" s="798"/>
      <c r="K22" s="766"/>
    </row>
    <row r="23" spans="1:11" ht="13.5" thickBot="1">
      <c r="A23" s="2326" t="s">
        <v>962</v>
      </c>
      <c r="B23" s="2325"/>
      <c r="C23" s="2325"/>
      <c r="D23" s="2325"/>
      <c r="E23" s="2325"/>
      <c r="F23" s="1781"/>
      <c r="G23" s="1778">
        <f>SUM(G14:G16,G21,G22)</f>
        <v>0</v>
      </c>
      <c r="H23" s="1778">
        <f>SUM(H14:H16,H21,H22)</f>
        <v>67708</v>
      </c>
      <c r="I23" s="1778">
        <f>SUM(I14:I16,I21,I22)</f>
        <v>0</v>
      </c>
      <c r="J23" s="1778">
        <f>SUM(J14:J16,J21,J22)</f>
        <v>0</v>
      </c>
      <c r="K23" s="1778">
        <f>SUM(K14:K16,K21,K22)</f>
        <v>0</v>
      </c>
    </row>
    <row r="24" spans="1:11" ht="14.25" thickTop="1" thickBot="1">
      <c r="A24" s="2326" t="s">
        <v>2023</v>
      </c>
      <c r="B24" s="2325"/>
      <c r="C24" s="2325"/>
      <c r="D24" s="2325"/>
      <c r="E24" s="2325"/>
      <c r="F24" s="1782"/>
      <c r="G24" s="1783">
        <f>SUM(G3,G12)-G23</f>
        <v>0</v>
      </c>
      <c r="H24" s="1783">
        <f>SUM(H3,H12)-H23</f>
        <v>0</v>
      </c>
      <c r="I24" s="1783">
        <f>SUM(I3,I12)-I23</f>
        <v>0</v>
      </c>
      <c r="J24" s="1783">
        <f>SUM(J3,J12)-J23</f>
        <v>1071308</v>
      </c>
      <c r="K24" s="1783">
        <f>SUM(K3,K12)-K23</f>
        <v>0</v>
      </c>
    </row>
    <row r="25" spans="1:11" ht="13.5" thickTop="1">
      <c r="A25" s="799" t="s">
        <v>440</v>
      </c>
      <c r="B25" s="800"/>
      <c r="C25" s="800"/>
      <c r="D25" s="800"/>
      <c r="E25" s="801"/>
      <c r="F25" s="802">
        <v>714</v>
      </c>
      <c r="G25" s="803"/>
      <c r="H25" s="803"/>
      <c r="I25" s="803"/>
      <c r="J25" s="798">
        <v>1071308</v>
      </c>
      <c r="K25" s="798"/>
    </row>
    <row r="26" spans="1:11" ht="13.5" thickBot="1">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c r="I27" s="202"/>
      <c r="J27" s="202"/>
    </row>
    <row r="28" spans="1:11" ht="29.25" customHeight="1">
      <c r="A28" s="1903" t="s">
        <v>2033</v>
      </c>
      <c r="B28" s="1904"/>
      <c r="C28" s="1904"/>
      <c r="D28" s="1904"/>
      <c r="E28" s="1905"/>
      <c r="F28" s="804"/>
      <c r="G28" s="805"/>
    </row>
    <row r="29" spans="1:11">
      <c r="B29" s="501"/>
      <c r="C29" s="501"/>
      <c r="D29" s="501"/>
      <c r="F29" s="202"/>
      <c r="G29" s="806"/>
    </row>
    <row r="30" spans="1:11">
      <c r="A30" s="807" t="s">
        <v>593</v>
      </c>
      <c r="B30" s="808"/>
      <c r="C30" s="807" t="s">
        <v>401</v>
      </c>
      <c r="D30" s="808"/>
      <c r="E30" s="809" t="s">
        <v>792</v>
      </c>
      <c r="F30" s="202"/>
      <c r="G30" s="806"/>
    </row>
    <row r="31" spans="1:11">
      <c r="A31" s="810"/>
      <c r="D31" s="237"/>
      <c r="E31" s="811" t="s">
        <v>793</v>
      </c>
      <c r="F31" s="812" t="s">
        <v>560</v>
      </c>
      <c r="G31" s="765"/>
      <c r="H31" s="2299"/>
      <c r="I31" s="2300"/>
      <c r="J31" s="2300"/>
      <c r="K31" s="2300"/>
    </row>
    <row r="32" spans="1:11">
      <c r="A32" s="810"/>
      <c r="B32" s="237"/>
      <c r="C32" s="237"/>
      <c r="D32" s="237"/>
      <c r="E32" s="806"/>
      <c r="F32" s="812" t="s">
        <v>561</v>
      </c>
      <c r="G32" s="765"/>
      <c r="H32" s="2301"/>
      <c r="I32" s="2300"/>
      <c r="J32" s="2300"/>
      <c r="K32" s="2300"/>
    </row>
    <row r="33" spans="1:11" ht="1.5" customHeight="1">
      <c r="A33" s="813" t="s">
        <v>1231</v>
      </c>
      <c r="B33" s="364"/>
      <c r="C33" s="364"/>
      <c r="D33" s="364"/>
      <c r="E33" s="364"/>
      <c r="F33" s="364"/>
      <c r="G33" s="814"/>
      <c r="H33" s="2301"/>
      <c r="I33" s="2300"/>
      <c r="J33" s="2300"/>
      <c r="K33" s="2300"/>
    </row>
    <row r="34" spans="1:11">
      <c r="A34" s="815" t="s">
        <v>1920</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296" t="s">
        <v>562</v>
      </c>
      <c r="B41" s="2309"/>
      <c r="C41" s="2309"/>
      <c r="D41" s="2309"/>
      <c r="E41" s="2309"/>
      <c r="F41" s="2310"/>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1" t="s">
        <v>1914</v>
      </c>
      <c r="B46" s="408" t="s">
        <v>1774</v>
      </c>
    </row>
    <row r="47" spans="1:11" s="824" customFormat="1" ht="12.75" customHeight="1">
      <c r="A47" s="822"/>
      <c r="B47" s="823" t="s">
        <v>1775</v>
      </c>
      <c r="E47" s="823"/>
      <c r="K47" s="825"/>
    </row>
    <row r="48" spans="1:11" ht="12.75" customHeight="1">
      <c r="A48" s="1552"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sqref="A1:F1"/>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331" t="s">
        <v>2032</v>
      </c>
      <c r="B1" s="2332"/>
      <c r="C1" s="2333"/>
      <c r="D1" s="827"/>
      <c r="E1" s="828"/>
      <c r="F1" s="828"/>
      <c r="G1" s="829"/>
      <c r="H1" s="830"/>
      <c r="I1" s="831"/>
      <c r="J1" s="2329"/>
      <c r="K1" s="2330"/>
      <c r="L1" s="2330"/>
    </row>
    <row r="2" spans="1:14" ht="69.75" customHeight="1">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c r="A3" s="1649" t="s">
        <v>948</v>
      </c>
      <c r="B3" s="1650">
        <v>210</v>
      </c>
      <c r="C3" s="836"/>
      <c r="D3" s="836"/>
      <c r="E3" s="836"/>
      <c r="F3" s="1780">
        <f>(C3+D3)-E3</f>
        <v>0</v>
      </c>
      <c r="G3" s="837"/>
      <c r="H3" s="836"/>
      <c r="I3" s="836"/>
      <c r="J3" s="836"/>
      <c r="K3" s="1789">
        <f>(H3+I3)-J3</f>
        <v>0</v>
      </c>
      <c r="L3" s="1789">
        <f>F3-K3</f>
        <v>0</v>
      </c>
      <c r="M3" s="835"/>
      <c r="N3" s="835"/>
    </row>
    <row r="4" spans="1:14" ht="15" customHeight="1" thickTop="1">
      <c r="A4" s="1651" t="s">
        <v>160</v>
      </c>
      <c r="B4" s="1650">
        <v>220</v>
      </c>
      <c r="C4" s="782"/>
      <c r="D4" s="782"/>
      <c r="E4" s="782"/>
      <c r="F4" s="774"/>
      <c r="G4" s="838"/>
      <c r="H4" s="839"/>
      <c r="I4" s="839"/>
      <c r="J4" s="839"/>
      <c r="K4" s="840"/>
      <c r="L4" s="774"/>
    </row>
    <row r="5" spans="1:14" ht="13.5" thickBot="1">
      <c r="A5" s="779" t="s">
        <v>949</v>
      </c>
      <c r="B5" s="841">
        <v>221</v>
      </c>
      <c r="C5" s="842">
        <v>85616</v>
      </c>
      <c r="D5" s="842"/>
      <c r="E5" s="842"/>
      <c r="F5" s="1780">
        <f>(C5+D5)-E5</f>
        <v>85616</v>
      </c>
      <c r="G5" s="838"/>
      <c r="H5" s="843"/>
      <c r="I5" s="843"/>
      <c r="J5" s="843"/>
      <c r="K5" s="794"/>
      <c r="L5" s="1789">
        <f>F5-K5</f>
        <v>85616</v>
      </c>
    </row>
    <row r="6" spans="1:14" ht="14.25" thickTop="1" thickBot="1">
      <c r="A6" s="779" t="s">
        <v>1179</v>
      </c>
      <c r="B6" s="841">
        <v>222</v>
      </c>
      <c r="C6" s="766"/>
      <c r="D6" s="766"/>
      <c r="E6" s="766"/>
      <c r="F6" s="1780">
        <f>(C6+D6)-E6</f>
        <v>0</v>
      </c>
      <c r="G6" s="838">
        <v>50</v>
      </c>
      <c r="H6" s="766"/>
      <c r="I6" s="766"/>
      <c r="J6" s="766"/>
      <c r="K6" s="1789">
        <f>(H6+I6)-J6</f>
        <v>0</v>
      </c>
      <c r="L6" s="1789">
        <f>F6-K6</f>
        <v>0</v>
      </c>
    </row>
    <row r="7" spans="1:14" ht="15" customHeight="1" thickTop="1">
      <c r="A7" s="1651" t="s">
        <v>161</v>
      </c>
      <c r="B7" s="1650">
        <v>230</v>
      </c>
      <c r="C7" s="782"/>
      <c r="D7" s="782"/>
      <c r="E7" s="782"/>
      <c r="F7" s="774"/>
      <c r="G7" s="844"/>
      <c r="H7" s="782"/>
      <c r="I7" s="782"/>
      <c r="J7" s="782"/>
      <c r="K7" s="774"/>
      <c r="L7" s="774"/>
    </row>
    <row r="8" spans="1:14" ht="13.5" thickBot="1">
      <c r="A8" s="779" t="s">
        <v>1180</v>
      </c>
      <c r="B8" s="841">
        <v>231</v>
      </c>
      <c r="C8" s="845">
        <v>41764281</v>
      </c>
      <c r="D8" s="845">
        <v>11237711</v>
      </c>
      <c r="E8" s="845"/>
      <c r="F8" s="1780">
        <f>(C8+D8)-E8</f>
        <v>53001992</v>
      </c>
      <c r="G8" s="844">
        <v>50</v>
      </c>
      <c r="H8" s="766">
        <v>13475531</v>
      </c>
      <c r="I8" s="766">
        <v>1014374</v>
      </c>
      <c r="J8" s="766"/>
      <c r="K8" s="1789">
        <f>(H8+I8)-J8</f>
        <v>14489905</v>
      </c>
      <c r="L8" s="1789">
        <f>F8-K8</f>
        <v>38512087</v>
      </c>
    </row>
    <row r="9" spans="1:14" ht="14.25" thickTop="1" thickBot="1">
      <c r="A9" s="779" t="s">
        <v>1181</v>
      </c>
      <c r="B9" s="841">
        <v>232</v>
      </c>
      <c r="C9" s="766">
        <v>0</v>
      </c>
      <c r="D9" s="766"/>
      <c r="E9" s="766"/>
      <c r="F9" s="1780">
        <f>(C9+D9)-E9</f>
        <v>0</v>
      </c>
      <c r="G9" s="844">
        <v>20</v>
      </c>
      <c r="H9" s="766"/>
      <c r="I9" s="766"/>
      <c r="J9" s="766"/>
      <c r="K9" s="1789">
        <f>(H9+I9)-J9</f>
        <v>0</v>
      </c>
      <c r="L9" s="1789">
        <f>F9-K9</f>
        <v>0</v>
      </c>
    </row>
    <row r="10" spans="1:14" ht="24" thickTop="1" thickBot="1">
      <c r="A10" s="846" t="s">
        <v>1182</v>
      </c>
      <c r="B10" s="841">
        <v>240</v>
      </c>
      <c r="C10" s="847">
        <v>1507638</v>
      </c>
      <c r="D10" s="847"/>
      <c r="E10" s="847"/>
      <c r="F10" s="1784">
        <f>(C10+D10)-E10</f>
        <v>1507638</v>
      </c>
      <c r="G10" s="844">
        <v>20</v>
      </c>
      <c r="H10" s="848">
        <v>1325523</v>
      </c>
      <c r="I10" s="848">
        <v>29735</v>
      </c>
      <c r="J10" s="848"/>
      <c r="K10" s="1789">
        <f>(H10+I10)-J10</f>
        <v>1355258</v>
      </c>
      <c r="L10" s="1789">
        <f>F10-K10</f>
        <v>152380</v>
      </c>
    </row>
    <row r="11" spans="1:14" ht="13.5" thickTop="1">
      <c r="A11" s="1652" t="s">
        <v>1198</v>
      </c>
      <c r="B11" s="1650">
        <v>250</v>
      </c>
      <c r="C11" s="782"/>
      <c r="D11" s="782"/>
      <c r="E11" s="782"/>
      <c r="F11" s="774"/>
      <c r="G11" s="844"/>
      <c r="H11" s="782"/>
      <c r="I11" s="782"/>
      <c r="J11" s="782"/>
      <c r="K11" s="774"/>
      <c r="L11" s="774"/>
    </row>
    <row r="12" spans="1:14" ht="13.5" thickBot="1">
      <c r="A12" s="849" t="s">
        <v>1183</v>
      </c>
      <c r="B12" s="841">
        <v>251</v>
      </c>
      <c r="C12" s="845">
        <v>3541479</v>
      </c>
      <c r="D12" s="845">
        <v>70307</v>
      </c>
      <c r="E12" s="845"/>
      <c r="F12" s="1780">
        <f>(C12+D12)-E12</f>
        <v>3611786</v>
      </c>
      <c r="G12" s="844">
        <v>10</v>
      </c>
      <c r="H12" s="766">
        <v>3408830</v>
      </c>
      <c r="I12" s="766">
        <v>51417</v>
      </c>
      <c r="J12" s="766"/>
      <c r="K12" s="1789">
        <f>(H12+I12)-J12</f>
        <v>3460247</v>
      </c>
      <c r="L12" s="1789">
        <f>F12-K12</f>
        <v>151539</v>
      </c>
    </row>
    <row r="13" spans="1:14" ht="14.25" thickTop="1" thickBot="1">
      <c r="A13" s="849" t="s">
        <v>1184</v>
      </c>
      <c r="B13" s="841">
        <v>252</v>
      </c>
      <c r="C13" s="845">
        <v>2297091</v>
      </c>
      <c r="D13" s="845"/>
      <c r="E13" s="845"/>
      <c r="F13" s="1780">
        <f>(C13+D13)-E13</f>
        <v>2297091</v>
      </c>
      <c r="G13" s="844">
        <v>5</v>
      </c>
      <c r="H13" s="766">
        <v>1902733</v>
      </c>
      <c r="I13" s="766">
        <v>152200</v>
      </c>
      <c r="J13" s="766"/>
      <c r="K13" s="1789">
        <f>(H13+I13)-J13</f>
        <v>2054933</v>
      </c>
      <c r="L13" s="1789">
        <f>F13-K13</f>
        <v>242158</v>
      </c>
    </row>
    <row r="14" spans="1:14" ht="14.25" thickTop="1" thickBot="1">
      <c r="A14" s="849" t="s">
        <v>1185</v>
      </c>
      <c r="B14" s="841">
        <v>253</v>
      </c>
      <c r="C14" s="766">
        <v>2810893</v>
      </c>
      <c r="D14" s="766"/>
      <c r="E14" s="766"/>
      <c r="F14" s="1780">
        <f>(C14+D14)-E14</f>
        <v>2810893</v>
      </c>
      <c r="G14" s="844">
        <v>3</v>
      </c>
      <c r="H14" s="766">
        <v>2810893</v>
      </c>
      <c r="I14" s="766"/>
      <c r="J14" s="766"/>
      <c r="K14" s="1789">
        <f>(H14+I14)-J14</f>
        <v>2810893</v>
      </c>
      <c r="L14" s="1789">
        <f>F14-K14</f>
        <v>0</v>
      </c>
    </row>
    <row r="15" spans="1:14" ht="15" customHeight="1" thickTop="1" thickBot="1">
      <c r="A15" s="1651" t="s">
        <v>549</v>
      </c>
      <c r="B15" s="1650">
        <v>260</v>
      </c>
      <c r="C15" s="845">
        <v>1700544</v>
      </c>
      <c r="D15" s="845"/>
      <c r="E15" s="845">
        <v>1700544</v>
      </c>
      <c r="F15" s="1780">
        <f>(C15+D15)-E15</f>
        <v>0</v>
      </c>
      <c r="G15" s="850" t="s">
        <v>917</v>
      </c>
      <c r="H15" s="782"/>
      <c r="I15" s="782"/>
      <c r="J15" s="782"/>
      <c r="K15" s="782"/>
      <c r="L15" s="1789">
        <f>F15-K15</f>
        <v>0</v>
      </c>
    </row>
    <row r="16" spans="1:14" ht="15" customHeight="1" thickTop="1" thickBot="1">
      <c r="A16" s="1785" t="s">
        <v>664</v>
      </c>
      <c r="B16" s="1786">
        <v>200</v>
      </c>
      <c r="C16" s="1780">
        <f>SUM(C3,C5:C6,C8:C10,C12:C15)</f>
        <v>53707542</v>
      </c>
      <c r="D16" s="1780">
        <f>SUM(D3,D5:D6,D8:D10,D12:D15)</f>
        <v>11308018</v>
      </c>
      <c r="E16" s="1780">
        <f>SUM(E3,E5:E6,E8:E10,E12:E15)</f>
        <v>1700544</v>
      </c>
      <c r="F16" s="1780">
        <f>SUM(F3,F5:F6,F8:F10,F12:F15)</f>
        <v>63315016</v>
      </c>
      <c r="G16" s="844"/>
      <c r="H16" s="1780">
        <f>SUM(H3,H6,H8:H10,H12:H14,)</f>
        <v>22923510</v>
      </c>
      <c r="I16" s="1780">
        <f>SUM(I3,I6,I8:I10,I12:I14,)</f>
        <v>1247726</v>
      </c>
      <c r="J16" s="1780">
        <f>SUM(J3,J6,J8:J10,J12:J14,)</f>
        <v>0</v>
      </c>
      <c r="K16" s="1780">
        <f>(H16+I16)-J16</f>
        <v>24171236</v>
      </c>
      <c r="L16" s="1780">
        <f>F16-K16</f>
        <v>39143780</v>
      </c>
    </row>
    <row r="17" spans="1:12" ht="15" customHeight="1" thickTop="1" thickBot="1">
      <c r="A17" s="1653" t="s">
        <v>309</v>
      </c>
      <c r="B17" s="1650">
        <v>700</v>
      </c>
      <c r="C17" s="770"/>
      <c r="D17" s="770"/>
      <c r="E17" s="770"/>
      <c r="F17" s="1780">
        <f>SUM('Expenditures 15-22'!I114,'Expenditures 15-22'!I151,'Expenditures 15-22'!I210,'Expenditures 15-22'!I312,'Expenditures 15-22'!I342,'Expenditures 15-22'!I367)</f>
        <v>64517</v>
      </c>
      <c r="G17" s="838">
        <v>10</v>
      </c>
      <c r="H17" s="770"/>
      <c r="I17" s="1789">
        <f>F17/G17</f>
        <v>6451.7</v>
      </c>
      <c r="J17" s="770"/>
      <c r="K17" s="796"/>
      <c r="L17" s="796"/>
    </row>
    <row r="18" spans="1:12" ht="14.25" thickTop="1" thickBot="1">
      <c r="A18" s="1787" t="s">
        <v>706</v>
      </c>
      <c r="B18" s="1788"/>
      <c r="C18" s="772"/>
      <c r="D18" s="772"/>
      <c r="E18" s="772"/>
      <c r="F18" s="851"/>
      <c r="G18" s="852"/>
      <c r="H18" s="774"/>
      <c r="I18" s="1780">
        <f>SUM(I16,I17)</f>
        <v>1254177.7</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58" activePane="bottomLeft" state="frozen"/>
      <selection sqref="A1:F1"/>
      <selection pane="bottomLeft" sqref="A1:F1"/>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337" t="s">
        <v>1699</v>
      </c>
      <c r="B1" s="2338"/>
      <c r="C1" s="2338"/>
      <c r="D1" s="2338"/>
      <c r="E1" s="2338"/>
      <c r="F1" s="2339"/>
      <c r="G1" s="856"/>
    </row>
    <row r="2" spans="1:7" ht="15" customHeight="1" thickBot="1">
      <c r="A2" s="2340" t="s">
        <v>498</v>
      </c>
      <c r="B2" s="2341"/>
      <c r="C2" s="2341"/>
      <c r="D2" s="2341"/>
      <c r="E2" s="2341"/>
      <c r="F2" s="2342"/>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343"/>
      <c r="B5" s="2344"/>
      <c r="C5" s="2344"/>
      <c r="D5" s="2344"/>
      <c r="E5" s="2344"/>
      <c r="F5" s="2344"/>
    </row>
    <row r="6" spans="1:7" ht="13.5" customHeight="1" thickBot="1">
      <c r="A6" s="2334" t="s">
        <v>1166</v>
      </c>
      <c r="B6" s="2335"/>
      <c r="C6" s="2335"/>
      <c r="D6" s="2335"/>
      <c r="E6" s="2335"/>
      <c r="F6" s="2336"/>
      <c r="G6" s="866"/>
    </row>
    <row r="7" spans="1:7" s="866" customFormat="1" ht="12" thickTop="1">
      <c r="A7" s="867" t="s">
        <v>523</v>
      </c>
      <c r="B7" s="868"/>
      <c r="C7" s="869"/>
      <c r="D7" s="868"/>
      <c r="E7" s="869"/>
      <c r="F7" s="868"/>
    </row>
    <row r="8" spans="1:7">
      <c r="A8" s="870" t="s">
        <v>479</v>
      </c>
      <c r="B8" s="871" t="s">
        <v>1544</v>
      </c>
      <c r="C8" s="872"/>
      <c r="D8" s="870" t="s">
        <v>522</v>
      </c>
      <c r="E8" s="869" t="s">
        <v>1015</v>
      </c>
      <c r="F8" s="1932">
        <f>'Expenditures 15-22'!K114</f>
        <v>24219471</v>
      </c>
      <c r="G8" s="866"/>
    </row>
    <row r="9" spans="1:7">
      <c r="A9" s="870" t="s">
        <v>480</v>
      </c>
      <c r="B9" s="871" t="s">
        <v>1986</v>
      </c>
      <c r="C9" s="872"/>
      <c r="D9" s="870" t="s">
        <v>522</v>
      </c>
      <c r="E9" s="869"/>
      <c r="F9" s="1933">
        <f>'Expenditures 15-22'!K151</f>
        <v>2139207</v>
      </c>
      <c r="G9" s="873"/>
    </row>
    <row r="10" spans="1:7">
      <c r="A10" s="870" t="s">
        <v>520</v>
      </c>
      <c r="B10" s="871" t="s">
        <v>1987</v>
      </c>
      <c r="C10" s="872"/>
      <c r="D10" s="870" t="s">
        <v>522</v>
      </c>
      <c r="E10" s="869"/>
      <c r="F10" s="1933">
        <f>'Expenditures 15-22'!K174</f>
        <v>2858100</v>
      </c>
      <c r="G10" s="873"/>
    </row>
    <row r="11" spans="1:7">
      <c r="A11" s="870" t="s">
        <v>481</v>
      </c>
      <c r="B11" s="871" t="s">
        <v>1988</v>
      </c>
      <c r="C11" s="872"/>
      <c r="D11" s="870" t="s">
        <v>522</v>
      </c>
      <c r="E11" s="869"/>
      <c r="F11" s="1933">
        <f>'Expenditures 15-22'!K210</f>
        <v>1501348</v>
      </c>
      <c r="G11" s="873"/>
    </row>
    <row r="12" spans="1:7">
      <c r="A12" s="870" t="s">
        <v>482</v>
      </c>
      <c r="B12" s="871" t="s">
        <v>1989</v>
      </c>
      <c r="C12" s="872"/>
      <c r="D12" s="870" t="s">
        <v>522</v>
      </c>
      <c r="E12" s="869"/>
      <c r="F12" s="1933">
        <f>'Expenditures 15-22'!K295</f>
        <v>1271752</v>
      </c>
      <c r="G12" s="873"/>
    </row>
    <row r="13" spans="1:7">
      <c r="A13" s="870" t="s">
        <v>108</v>
      </c>
      <c r="B13" s="871" t="s">
        <v>1990</v>
      </c>
      <c r="C13" s="872"/>
      <c r="D13" s="870" t="s">
        <v>522</v>
      </c>
      <c r="E13" s="869"/>
      <c r="F13" s="1933">
        <f>'Expenditures 15-22'!K342</f>
        <v>767913</v>
      </c>
      <c r="G13" s="874"/>
    </row>
    <row r="14" spans="1:7" ht="12" customHeight="1" thickBot="1">
      <c r="A14" s="1790"/>
      <c r="B14" s="1791"/>
      <c r="C14" s="1792"/>
      <c r="D14" s="1793" t="s">
        <v>522</v>
      </c>
      <c r="E14" s="1794" t="s">
        <v>1015</v>
      </c>
      <c r="F14" s="1795">
        <f>SUM(F8:F13)</f>
        <v>32757791</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4">
        <f>'Revenues 9-14'!F43</f>
        <v>0</v>
      </c>
      <c r="G18" s="866"/>
    </row>
    <row r="19" spans="1:7">
      <c r="A19" s="870" t="s">
        <v>481</v>
      </c>
      <c r="B19" s="871" t="s">
        <v>1069</v>
      </c>
      <c r="C19" s="878">
        <f>'Revenues 9-14'!B47</f>
        <v>1421</v>
      </c>
      <c r="D19" s="879" t="str">
        <f>'Revenues 9-14'!A47</f>
        <v>Summer Sch - Transp. Fees from Pupils or Parents (In State)</v>
      </c>
      <c r="E19" s="880"/>
      <c r="F19" s="1935">
        <f>'Revenues 9-14'!F47</f>
        <v>0</v>
      </c>
      <c r="G19" s="866"/>
    </row>
    <row r="20" spans="1:7">
      <c r="A20" s="870" t="s">
        <v>481</v>
      </c>
      <c r="B20" s="871" t="s">
        <v>1070</v>
      </c>
      <c r="C20" s="876">
        <f>'Revenues 9-14'!B48</f>
        <v>1422</v>
      </c>
      <c r="D20" s="877" t="str">
        <f>'Revenues 9-14'!A48</f>
        <v>Summer Sch - Transp. Fees from Other Districts (In State)</v>
      </c>
      <c r="E20" s="869"/>
      <c r="F20" s="1936">
        <f>'Revenues 9-14'!F48</f>
        <v>0</v>
      </c>
      <c r="G20" s="866"/>
    </row>
    <row r="21" spans="1:7">
      <c r="A21" s="870" t="s">
        <v>481</v>
      </c>
      <c r="B21" s="871" t="s">
        <v>1071</v>
      </c>
      <c r="C21" s="878">
        <f>'Revenues 9-14'!B49</f>
        <v>1423</v>
      </c>
      <c r="D21" s="877" t="str">
        <f>'Revenues 9-14'!A49</f>
        <v>Summer Sch - Transp. Fees from Other Sources (In State)</v>
      </c>
      <c r="E21" s="869"/>
      <c r="F21" s="1937">
        <f>'Revenues 9-14'!F49</f>
        <v>0</v>
      </c>
      <c r="G21" s="866"/>
    </row>
    <row r="22" spans="1:7">
      <c r="A22" s="870" t="s">
        <v>481</v>
      </c>
      <c r="B22" s="871" t="s">
        <v>1072</v>
      </c>
      <c r="C22" s="878">
        <f>'Revenues 9-14'!B50</f>
        <v>1424</v>
      </c>
      <c r="D22" s="877" t="str">
        <f>'Revenues 9-14'!A50</f>
        <v>Summer Sch - Transp. Fees from Other Sources (Out of State)</v>
      </c>
      <c r="E22" s="869"/>
      <c r="F22" s="1937">
        <f>'Revenues 9-14'!F50</f>
        <v>0</v>
      </c>
      <c r="G22" s="866"/>
    </row>
    <row r="23" spans="1:7">
      <c r="A23" s="870" t="s">
        <v>481</v>
      </c>
      <c r="B23" s="871" t="s">
        <v>1073</v>
      </c>
      <c r="C23" s="876">
        <f>'Revenues 9-14'!B52</f>
        <v>1432</v>
      </c>
      <c r="D23" s="877" t="str">
        <f>'Revenues 9-14'!A52</f>
        <v>CTE - Transp Fees from Other Districts (In State)</v>
      </c>
      <c r="E23" s="869"/>
      <c r="F23" s="1937">
        <f>'Revenues 9-14'!F52</f>
        <v>0</v>
      </c>
      <c r="G23" s="866"/>
    </row>
    <row r="24" spans="1:7">
      <c r="A24" s="870" t="s">
        <v>481</v>
      </c>
      <c r="B24" s="871" t="s">
        <v>1074</v>
      </c>
      <c r="C24" s="876">
        <f>'Revenues 9-14'!B56</f>
        <v>1442</v>
      </c>
      <c r="D24" s="877" t="str">
        <f>'Revenues 9-14'!A56</f>
        <v>Special Ed - Transp Fees from Other Districts (In State)</v>
      </c>
      <c r="E24" s="869"/>
      <c r="F24" s="1937">
        <f>'Revenues 9-14'!F56</f>
        <v>0</v>
      </c>
      <c r="G24" s="866"/>
    </row>
    <row r="25" spans="1:7">
      <c r="A25" s="870" t="s">
        <v>481</v>
      </c>
      <c r="B25" s="871" t="s">
        <v>1075</v>
      </c>
      <c r="C25" s="876">
        <f>'Revenues 9-14'!B59</f>
        <v>1451</v>
      </c>
      <c r="D25" s="877" t="str">
        <f>'Revenues 9-14'!A59</f>
        <v>Adult - Transp Fees from Pupils or Parents (In State)</v>
      </c>
      <c r="E25" s="869"/>
      <c r="F25" s="1937">
        <f>'Revenues 9-14'!F59</f>
        <v>0</v>
      </c>
      <c r="G25" s="866"/>
    </row>
    <row r="26" spans="1:7">
      <c r="A26" s="870" t="s">
        <v>481</v>
      </c>
      <c r="B26" s="871" t="s">
        <v>1076</v>
      </c>
      <c r="C26" s="876">
        <f>'Revenues 9-14'!B60</f>
        <v>1452</v>
      </c>
      <c r="D26" s="877" t="str">
        <f>'Revenues 9-14'!A60</f>
        <v>Adult - Transp Fees from Other Districts (In State)</v>
      </c>
      <c r="E26" s="869"/>
      <c r="F26" s="1937">
        <f>'Revenues 9-14'!F60</f>
        <v>0</v>
      </c>
      <c r="G26" s="866"/>
    </row>
    <row r="27" spans="1:7">
      <c r="A27" s="870" t="s">
        <v>481</v>
      </c>
      <c r="B27" s="871" t="s">
        <v>1077</v>
      </c>
      <c r="C27" s="876">
        <f>'Revenues 9-14'!B61</f>
        <v>1453</v>
      </c>
      <c r="D27" s="877" t="str">
        <f>'Revenues 9-14'!A61</f>
        <v>Adult - Transp Fees from Other Sources (In State)</v>
      </c>
      <c r="E27" s="869"/>
      <c r="F27" s="1937">
        <f>'Revenues 9-14'!F61</f>
        <v>0</v>
      </c>
      <c r="G27" s="866"/>
    </row>
    <row r="28" spans="1:7">
      <c r="A28" s="870" t="s">
        <v>481</v>
      </c>
      <c r="B28" s="871" t="s">
        <v>1078</v>
      </c>
      <c r="C28" s="876">
        <f>'Revenues 9-14'!B62</f>
        <v>1454</v>
      </c>
      <c r="D28" s="877" t="str">
        <f>'Revenues 9-14'!A62</f>
        <v>Adult - Transp Fees from Other Sources (Out of State)</v>
      </c>
      <c r="E28" s="869"/>
      <c r="F28" s="1937">
        <f>'Revenues 9-14'!F62</f>
        <v>0</v>
      </c>
      <c r="G28" s="866"/>
    </row>
    <row r="29" spans="1:7">
      <c r="A29" s="870" t="s">
        <v>1159</v>
      </c>
      <c r="B29" s="871" t="s">
        <v>1683</v>
      </c>
      <c r="C29" s="881">
        <f>'Revenues 9-14'!B148</f>
        <v>3410</v>
      </c>
      <c r="D29" s="882" t="str">
        <f>'Revenues 9-14'!A148</f>
        <v>Adult Ed (from ICCB)</v>
      </c>
      <c r="E29" s="869"/>
      <c r="F29" s="1937">
        <f>SUM('Revenues 9-14'!D148,F149)</f>
        <v>0</v>
      </c>
      <c r="G29" s="866"/>
    </row>
    <row r="30" spans="1:7">
      <c r="A30" s="870" t="s">
        <v>1159</v>
      </c>
      <c r="B30" s="871" t="s">
        <v>861</v>
      </c>
      <c r="C30" s="881">
        <f>'Revenues 9-14'!B149</f>
        <v>3499</v>
      </c>
      <c r="D30" s="882" t="str">
        <f>'Revenues 9-14'!A149</f>
        <v>Adult Ed - Other (Describe &amp; Itemize)</v>
      </c>
      <c r="E30" s="869"/>
      <c r="F30" s="1938">
        <f>('Revenues 9-14'!D149+'Revenues 9-14'!F149)</f>
        <v>0</v>
      </c>
      <c r="G30" s="866"/>
    </row>
    <row r="31" spans="1:7">
      <c r="A31" s="870" t="s">
        <v>1159</v>
      </c>
      <c r="B31" s="871" t="s">
        <v>862</v>
      </c>
      <c r="C31" s="876">
        <f>'Revenues 9-14'!B218</f>
        <v>4600</v>
      </c>
      <c r="D31" s="884" t="str">
        <f>'Revenues 9-14'!A218</f>
        <v>Fed - Spec Education - Preschool Flow-Through</v>
      </c>
      <c r="E31" s="885"/>
      <c r="F31" s="1937">
        <f>SUM('Revenues 9-14'!D218,'Revenues 9-14'!F218)</f>
        <v>0</v>
      </c>
      <c r="G31" s="866"/>
    </row>
    <row r="32" spans="1:7">
      <c r="A32" s="870" t="s">
        <v>1159</v>
      </c>
      <c r="B32" s="871" t="s">
        <v>800</v>
      </c>
      <c r="C32" s="876">
        <f>'Revenues 9-14'!B219</f>
        <v>4605</v>
      </c>
      <c r="D32" s="886" t="str">
        <f>'Revenues 9-14'!A219</f>
        <v>Fed - Spec Education - Preschool Discretionary</v>
      </c>
      <c r="E32" s="885"/>
      <c r="F32" s="1937">
        <f>SUM('Revenues 9-14'!D219,'Revenues 9-14'!F219)</f>
        <v>0</v>
      </c>
      <c r="G32" s="866"/>
    </row>
    <row r="33" spans="1:7">
      <c r="A33" s="870" t="s">
        <v>480</v>
      </c>
      <c r="B33" s="871" t="s">
        <v>801</v>
      </c>
      <c r="C33" s="876">
        <f>'Revenues 9-14'!B229</f>
        <v>4810</v>
      </c>
      <c r="D33" s="884" t="str">
        <f>'Revenues 9-14'!A229</f>
        <v>Federal - Adult Education</v>
      </c>
      <c r="E33" s="869"/>
      <c r="F33" s="1937">
        <f>'Revenues 9-14'!D229</f>
        <v>0</v>
      </c>
      <c r="G33" s="866"/>
    </row>
    <row r="34" spans="1:7">
      <c r="A34" s="870" t="s">
        <v>479</v>
      </c>
      <c r="B34" s="870" t="s">
        <v>1545</v>
      </c>
      <c r="C34" s="887" t="str">
        <f>'Expenditures 15-22'!B7</f>
        <v>1125</v>
      </c>
      <c r="D34" s="888" t="str">
        <f>'Expenditures 15-22'!A7</f>
        <v>Pre-K Programs</v>
      </c>
      <c r="E34" s="869"/>
      <c r="F34" s="1937">
        <f>'Expenditures 15-22'!K7-SUM('Expenditures 15-22'!G7,'Expenditures 15-22'!I7)</f>
        <v>245426</v>
      </c>
      <c r="G34" s="866"/>
    </row>
    <row r="35" spans="1:7">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c r="A39" s="870" t="s">
        <v>479</v>
      </c>
      <c r="B39" s="870" t="s">
        <v>119</v>
      </c>
      <c r="C39" s="887" t="str">
        <f>'Expenditures 15-22'!B20</f>
        <v>1910</v>
      </c>
      <c r="D39" s="889" t="str">
        <f>'Expenditures 15-22'!A20</f>
        <v>Pre-K Programs - Private Tuition</v>
      </c>
      <c r="E39" s="869"/>
      <c r="F39" s="1937">
        <f>'Expenditures 15-22'!K20</f>
        <v>0</v>
      </c>
      <c r="G39" s="866"/>
    </row>
    <row r="40" spans="1:7">
      <c r="A40" s="870" t="s">
        <v>479</v>
      </c>
      <c r="B40" s="870" t="s">
        <v>120</v>
      </c>
      <c r="C40" s="887" t="str">
        <f>'Expenditures 15-22'!B21</f>
        <v>1911</v>
      </c>
      <c r="D40" s="889" t="str">
        <f>'Expenditures 15-22'!A21</f>
        <v>Regular K-12 Programs - Private Tuition</v>
      </c>
      <c r="E40" s="869"/>
      <c r="F40" s="1937">
        <f>'Expenditures 15-22'!K21</f>
        <v>0</v>
      </c>
      <c r="G40" s="866"/>
    </row>
    <row r="41" spans="1:7">
      <c r="A41" s="870" t="s">
        <v>479</v>
      </c>
      <c r="B41" s="870" t="s">
        <v>121</v>
      </c>
      <c r="C41" s="887" t="str">
        <f>'Expenditures 15-22'!B22</f>
        <v>1912</v>
      </c>
      <c r="D41" s="889" t="str">
        <f>'Expenditures 15-22'!A22</f>
        <v>Special Education Programs K-12 - Private Tuition</v>
      </c>
      <c r="E41" s="869"/>
      <c r="F41" s="1937">
        <f>'Expenditures 15-22'!K22</f>
        <v>0</v>
      </c>
      <c r="G41" s="866"/>
    </row>
    <row r="42" spans="1:7">
      <c r="A42" s="870" t="s">
        <v>479</v>
      </c>
      <c r="B42" s="870" t="s">
        <v>122</v>
      </c>
      <c r="C42" s="890" t="str">
        <f>'Expenditures 15-22'!B23</f>
        <v>1913</v>
      </c>
      <c r="D42" s="889" t="str">
        <f>'Expenditures 15-22'!A23</f>
        <v>Special Education Programs Pre-K - Tuition</v>
      </c>
      <c r="E42" s="869"/>
      <c r="F42" s="1937">
        <f>'Expenditures 15-22'!K23</f>
        <v>0</v>
      </c>
      <c r="G42" s="866"/>
    </row>
    <row r="43" spans="1:7">
      <c r="A43" s="870" t="s">
        <v>479</v>
      </c>
      <c r="B43" s="870" t="s">
        <v>123</v>
      </c>
      <c r="C43" s="887" t="str">
        <f>'Expenditures 15-22'!B24</f>
        <v>1914</v>
      </c>
      <c r="D43" s="889" t="str">
        <f>'Expenditures 15-22'!A24</f>
        <v>Remedial/Supplemental Programs K-12 - Private Tuition</v>
      </c>
      <c r="E43" s="869"/>
      <c r="F43" s="1937">
        <f>'Expenditures 15-22'!K24</f>
        <v>0</v>
      </c>
      <c r="G43" s="866"/>
    </row>
    <row r="44" spans="1:7">
      <c r="A44" s="870" t="s">
        <v>479</v>
      </c>
      <c r="B44" s="870" t="s">
        <v>124</v>
      </c>
      <c r="C44" s="890" t="str">
        <f>'Expenditures 15-22'!B25</f>
        <v>1915</v>
      </c>
      <c r="D44" s="889" t="str">
        <f>'Expenditures 15-22'!A25</f>
        <v>Remedial/Supplemental Programs Pre-K - Private Tuition</v>
      </c>
      <c r="E44" s="869"/>
      <c r="F44" s="1937">
        <f>'Expenditures 15-22'!K25</f>
        <v>0</v>
      </c>
      <c r="G44" s="866"/>
    </row>
    <row r="45" spans="1:7">
      <c r="A45" s="870" t="s">
        <v>479</v>
      </c>
      <c r="B45" s="870" t="s">
        <v>125</v>
      </c>
      <c r="C45" s="890" t="str">
        <f>'Expenditures 15-22'!B26</f>
        <v>1916</v>
      </c>
      <c r="D45" s="889" t="str">
        <f>'Expenditures 15-22'!A26</f>
        <v>Adult/Continuing Education Programs - Private Tuition</v>
      </c>
      <c r="E45" s="869"/>
      <c r="F45" s="1937">
        <f>'Expenditures 15-22'!K26</f>
        <v>0</v>
      </c>
      <c r="G45" s="866"/>
    </row>
    <row r="46" spans="1:7">
      <c r="A46" s="870" t="s">
        <v>479</v>
      </c>
      <c r="B46" s="870" t="s">
        <v>126</v>
      </c>
      <c r="C46" s="887" t="str">
        <f>'Expenditures 15-22'!B27</f>
        <v>1917</v>
      </c>
      <c r="D46" s="889" t="str">
        <f>'Expenditures 15-22'!A27</f>
        <v>CTE Programs - Private Tuition</v>
      </c>
      <c r="E46" s="869"/>
      <c r="F46" s="1937">
        <f>'Expenditures 15-22'!K27</f>
        <v>0</v>
      </c>
      <c r="G46" s="866"/>
    </row>
    <row r="47" spans="1:7">
      <c r="A47" s="870" t="s">
        <v>479</v>
      </c>
      <c r="B47" s="870" t="s">
        <v>127</v>
      </c>
      <c r="C47" s="891" t="str">
        <f>'Expenditures 15-22'!B28</f>
        <v>1918</v>
      </c>
      <c r="D47" s="892" t="str">
        <f>'Expenditures 15-22'!A28</f>
        <v>Interscholastic Programs - Private Tuition</v>
      </c>
      <c r="E47" s="869"/>
      <c r="F47" s="1937">
        <f>'Expenditures 15-22'!K28</f>
        <v>0</v>
      </c>
      <c r="G47" s="866"/>
    </row>
    <row r="48" spans="1:7">
      <c r="A48" s="870" t="s">
        <v>479</v>
      </c>
      <c r="B48" s="870" t="s">
        <v>128</v>
      </c>
      <c r="C48" s="890" t="str">
        <f>'Expenditures 15-22'!B29</f>
        <v>1919</v>
      </c>
      <c r="D48" s="889" t="str">
        <f>'Expenditures 15-22'!A29</f>
        <v>Summer School Programs - Private Tuition</v>
      </c>
      <c r="E48" s="869"/>
      <c r="F48" s="1937">
        <f>'Expenditures 15-22'!K29</f>
        <v>0</v>
      </c>
      <c r="G48" s="866"/>
    </row>
    <row r="49" spans="1:7">
      <c r="A49" s="870" t="s">
        <v>479</v>
      </c>
      <c r="B49" s="870" t="s">
        <v>129</v>
      </c>
      <c r="C49" s="887" t="str">
        <f>'Expenditures 15-22'!B30</f>
        <v>1920</v>
      </c>
      <c r="D49" s="889" t="str">
        <f>'Expenditures 15-22'!A30</f>
        <v>Gifted Programs - Private Tuition</v>
      </c>
      <c r="E49" s="869"/>
      <c r="F49" s="1937">
        <f>'Expenditures 15-22'!K30</f>
        <v>0</v>
      </c>
      <c r="G49" s="866"/>
    </row>
    <row r="50" spans="1:7">
      <c r="A50" s="870" t="s">
        <v>479</v>
      </c>
      <c r="B50" s="870" t="s">
        <v>130</v>
      </c>
      <c r="C50" s="887" t="str">
        <f>'Expenditures 15-22'!B31</f>
        <v>1921</v>
      </c>
      <c r="D50" s="889" t="str">
        <f>'Expenditures 15-22'!A31</f>
        <v>Bilingual Programs - Private Tuition</v>
      </c>
      <c r="E50" s="869"/>
      <c r="F50" s="1937">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c r="A52" s="870" t="s">
        <v>479</v>
      </c>
      <c r="B52" s="870" t="s">
        <v>1550</v>
      </c>
      <c r="C52" s="890" t="str">
        <f>'Expenditures 15-22'!B75</f>
        <v>3000</v>
      </c>
      <c r="D52" s="889" t="s">
        <v>469</v>
      </c>
      <c r="E52" s="869"/>
      <c r="F52" s="1937">
        <f>'Expenditures 15-22'!K75-SUM('Expenditures 15-22'!G75,'Expenditures 15-22'!I75)</f>
        <v>56103</v>
      </c>
      <c r="G52" s="866"/>
    </row>
    <row r="53" spans="1:7">
      <c r="A53" s="870" t="s">
        <v>479</v>
      </c>
      <c r="B53" s="870" t="s">
        <v>1551</v>
      </c>
      <c r="C53" s="890">
        <f>'Expenditures 15-22'!B102</f>
        <v>4000</v>
      </c>
      <c r="D53" s="889" t="str">
        <f>'Expenditures 15-22'!A102</f>
        <v>Total Payments to Other Govt Units</v>
      </c>
      <c r="E53" s="869"/>
      <c r="F53" s="1937">
        <f>'Expenditures 15-22'!K102</f>
        <v>1109454</v>
      </c>
      <c r="G53" s="866"/>
    </row>
    <row r="54" spans="1:7">
      <c r="A54" s="870" t="s">
        <v>479</v>
      </c>
      <c r="B54" s="870" t="s">
        <v>1552</v>
      </c>
      <c r="C54" s="890" t="s">
        <v>1039</v>
      </c>
      <c r="D54" s="886" t="s">
        <v>1157</v>
      </c>
      <c r="E54" s="869"/>
      <c r="F54" s="1937">
        <f>'Expenditures 15-22'!G114</f>
        <v>0</v>
      </c>
      <c r="G54" s="866"/>
    </row>
    <row r="55" spans="1:7">
      <c r="A55" s="870" t="s">
        <v>479</v>
      </c>
      <c r="B55" s="870" t="s">
        <v>1553</v>
      </c>
      <c r="C55" s="890" t="s">
        <v>1039</v>
      </c>
      <c r="D55" s="886" t="s">
        <v>309</v>
      </c>
      <c r="E55" s="869"/>
      <c r="F55" s="1937">
        <f>'Expenditures 15-22'!I114</f>
        <v>64517</v>
      </c>
      <c r="G55" s="866"/>
    </row>
    <row r="56" spans="1:7">
      <c r="A56" s="870" t="s">
        <v>480</v>
      </c>
      <c r="B56" s="870" t="s">
        <v>1554</v>
      </c>
      <c r="C56" s="887" t="str">
        <f>'Expenditures 15-22'!B130</f>
        <v>3000</v>
      </c>
      <c r="D56" s="893" t="s">
        <v>469</v>
      </c>
      <c r="E56" s="869"/>
      <c r="F56" s="1937">
        <f>'Expenditures 15-22'!K130-SUM('Expenditures 15-22'!G130+'Expenditures 15-22'!I130)</f>
        <v>0</v>
      </c>
      <c r="G56" s="866"/>
    </row>
    <row r="57" spans="1:7">
      <c r="A57" s="870" t="s">
        <v>480</v>
      </c>
      <c r="B57" s="870" t="s">
        <v>1991</v>
      </c>
      <c r="C57" s="890">
        <f>'Expenditures 15-22'!B139</f>
        <v>4000</v>
      </c>
      <c r="D57" s="888" t="str">
        <f>'Expenditures 15-22'!A139</f>
        <v>Total Payments to Other Govt Units</v>
      </c>
      <c r="E57" s="869"/>
      <c r="F57" s="1937">
        <f>'Expenditures 15-22'!K139</f>
        <v>0</v>
      </c>
      <c r="G57" s="866"/>
    </row>
    <row r="58" spans="1:7">
      <c r="A58" s="870" t="s">
        <v>480</v>
      </c>
      <c r="B58" s="870" t="s">
        <v>1992</v>
      </c>
      <c r="C58" s="887" t="s">
        <v>1039</v>
      </c>
      <c r="D58" s="886" t="s">
        <v>1157</v>
      </c>
      <c r="E58" s="869"/>
      <c r="F58" s="1939">
        <f>'Expenditures 15-22'!G151</f>
        <v>7137</v>
      </c>
      <c r="G58" s="866"/>
    </row>
    <row r="59" spans="1:7">
      <c r="A59" s="894" t="s">
        <v>480</v>
      </c>
      <c r="B59" s="857" t="s">
        <v>1993</v>
      </c>
      <c r="C59" s="895" t="s">
        <v>1039</v>
      </c>
      <c r="D59" s="857" t="s">
        <v>309</v>
      </c>
      <c r="F59" s="1940">
        <f>'Expenditures 15-22'!I151</f>
        <v>0</v>
      </c>
      <c r="G59" s="866"/>
    </row>
    <row r="60" spans="1:7">
      <c r="A60" s="894" t="s">
        <v>520</v>
      </c>
      <c r="B60" s="857" t="s">
        <v>1994</v>
      </c>
      <c r="C60" s="895">
        <v>4000</v>
      </c>
      <c r="D60" s="857" t="s">
        <v>330</v>
      </c>
      <c r="F60" s="1938">
        <f>'Expenditures 15-22'!K160</f>
        <v>0</v>
      </c>
      <c r="G60" s="866"/>
    </row>
    <row r="61" spans="1:7">
      <c r="A61" s="896" t="s">
        <v>520</v>
      </c>
      <c r="B61" s="896" t="s">
        <v>1995</v>
      </c>
      <c r="C61" s="897" t="str">
        <f>'Expenditures 15-22'!B170</f>
        <v>5300</v>
      </c>
      <c r="D61" s="898" t="s">
        <v>329</v>
      </c>
      <c r="E61" s="880"/>
      <c r="F61" s="1937">
        <f>'Expenditures 15-22'!K170</f>
        <v>1855000</v>
      </c>
      <c r="G61" s="866"/>
    </row>
    <row r="62" spans="1:7">
      <c r="A62" s="870" t="s">
        <v>481</v>
      </c>
      <c r="B62" s="870" t="s">
        <v>1996</v>
      </c>
      <c r="C62" s="887">
        <f>'Expenditures 15-22'!B185</f>
        <v>3000</v>
      </c>
      <c r="D62" s="877" t="s">
        <v>469</v>
      </c>
      <c r="E62" s="869"/>
      <c r="F62" s="1937">
        <f>'Expenditures 15-22'!K185-SUM('Expenditures 15-22'!G185,'Expenditures 15-22'!I185)</f>
        <v>0</v>
      </c>
      <c r="G62" s="866"/>
    </row>
    <row r="63" spans="1:7">
      <c r="A63" s="870" t="s">
        <v>481</v>
      </c>
      <c r="B63" s="870" t="s">
        <v>1997</v>
      </c>
      <c r="C63" s="887" t="str">
        <f>'Expenditures 15-22'!B196</f>
        <v>4000</v>
      </c>
      <c r="D63" s="888" t="str">
        <f>'Expenditures 15-22'!A196</f>
        <v>Total Payments to Other Govt Units</v>
      </c>
      <c r="E63" s="869"/>
      <c r="F63" s="1937">
        <f>'Expenditures 15-22'!K196</f>
        <v>0</v>
      </c>
      <c r="G63" s="866"/>
    </row>
    <row r="64" spans="1:7">
      <c r="A64" s="896" t="s">
        <v>481</v>
      </c>
      <c r="B64" s="896" t="s">
        <v>1998</v>
      </c>
      <c r="C64" s="897" t="str">
        <f>'Expenditures 15-22'!B206</f>
        <v>5300</v>
      </c>
      <c r="D64" s="893" t="s">
        <v>329</v>
      </c>
      <c r="E64" s="869"/>
      <c r="F64" s="1937">
        <f>'Expenditures 15-22'!K206</f>
        <v>0</v>
      </c>
      <c r="G64" s="866"/>
    </row>
    <row r="65" spans="1:8">
      <c r="A65" s="870" t="s">
        <v>481</v>
      </c>
      <c r="B65" s="870" t="s">
        <v>1999</v>
      </c>
      <c r="C65" s="887" t="s">
        <v>1039</v>
      </c>
      <c r="D65" s="886" t="s">
        <v>1157</v>
      </c>
      <c r="E65" s="869"/>
      <c r="F65" s="1937">
        <f>'Expenditures 15-22'!G210</f>
        <v>0</v>
      </c>
      <c r="G65" s="866"/>
    </row>
    <row r="66" spans="1:8">
      <c r="A66" s="870" t="s">
        <v>481</v>
      </c>
      <c r="B66" s="870" t="s">
        <v>2000</v>
      </c>
      <c r="C66" s="887" t="s">
        <v>1039</v>
      </c>
      <c r="D66" s="886" t="s">
        <v>309</v>
      </c>
      <c r="E66" s="869"/>
      <c r="F66" s="1937">
        <f>'Expenditures 15-22'!I210</f>
        <v>0</v>
      </c>
      <c r="G66" s="866"/>
    </row>
    <row r="67" spans="1:8">
      <c r="A67" s="870" t="s">
        <v>482</v>
      </c>
      <c r="B67" s="870" t="s">
        <v>2001</v>
      </c>
      <c r="C67" s="887" t="str">
        <f>'Expenditures 15-22'!B216</f>
        <v>1125</v>
      </c>
      <c r="D67" s="893" t="str">
        <f>'Expenditures 15-22'!A216</f>
        <v>Pre-K Programs</v>
      </c>
      <c r="E67" s="869"/>
      <c r="F67" s="1937">
        <f>'Expenditures 15-22'!K216</f>
        <v>11273</v>
      </c>
      <c r="G67" s="866"/>
    </row>
    <row r="68" spans="1:8">
      <c r="A68" s="870" t="s">
        <v>482</v>
      </c>
      <c r="B68" s="870" t="s">
        <v>1555</v>
      </c>
      <c r="C68" s="887" t="str">
        <f>'Expenditures 15-22'!B218</f>
        <v>1225</v>
      </c>
      <c r="D68" s="893" t="str">
        <f>'Expenditures 15-22'!A218</f>
        <v>Special Education Programs - Pre-K</v>
      </c>
      <c r="E68" s="869"/>
      <c r="F68" s="1937">
        <f>'Expenditures 15-22'!K218</f>
        <v>0</v>
      </c>
      <c r="G68" s="866"/>
    </row>
    <row r="69" spans="1:8">
      <c r="A69" s="870" t="s">
        <v>482</v>
      </c>
      <c r="B69" s="870" t="s">
        <v>2002</v>
      </c>
      <c r="C69" s="887" t="str">
        <f>'Expenditures 15-22'!B220</f>
        <v>1275</v>
      </c>
      <c r="D69" s="893" t="str">
        <f>'Expenditures 15-22'!A220</f>
        <v>Remedial and Supplemental Programs - Pre-K</v>
      </c>
      <c r="E69" s="869"/>
      <c r="F69" s="1937">
        <f>'Expenditures 15-22'!K220</f>
        <v>0</v>
      </c>
      <c r="G69" s="866"/>
    </row>
    <row r="70" spans="1:8">
      <c r="A70" s="870" t="s">
        <v>482</v>
      </c>
      <c r="B70" s="870" t="s">
        <v>2003</v>
      </c>
      <c r="C70" s="887">
        <f>'Expenditures 15-22'!B221</f>
        <v>1300</v>
      </c>
      <c r="D70" s="888" t="str">
        <f>'Expenditures 15-22'!A221</f>
        <v>Adult/Continuing Education Programs</v>
      </c>
      <c r="E70" s="869"/>
      <c r="F70" s="1937">
        <f>'Expenditures 15-22'!K221</f>
        <v>0</v>
      </c>
      <c r="G70" s="866"/>
    </row>
    <row r="71" spans="1:8">
      <c r="A71" s="870" t="s">
        <v>482</v>
      </c>
      <c r="B71" s="870" t="s">
        <v>2004</v>
      </c>
      <c r="C71" s="887">
        <f>'Expenditures 15-22'!B224</f>
        <v>1600</v>
      </c>
      <c r="D71" s="888" t="str">
        <f>'Expenditures 15-22'!A224</f>
        <v>Summer School Programs</v>
      </c>
      <c r="E71" s="869"/>
      <c r="F71" s="1937">
        <f>'Expenditures 15-22'!K224</f>
        <v>0</v>
      </c>
      <c r="G71" s="866"/>
    </row>
    <row r="72" spans="1:8">
      <c r="A72" s="870" t="s">
        <v>482</v>
      </c>
      <c r="B72" s="870" t="s">
        <v>2005</v>
      </c>
      <c r="C72" s="887">
        <f>'Expenditures 15-22'!B280</f>
        <v>3000</v>
      </c>
      <c r="D72" s="877" t="s">
        <v>469</v>
      </c>
      <c r="E72" s="869"/>
      <c r="F72" s="1937">
        <f>'Expenditures 15-22'!K280</f>
        <v>3766</v>
      </c>
      <c r="G72" s="866"/>
    </row>
    <row r="73" spans="1:8">
      <c r="A73" s="870" t="s">
        <v>482</v>
      </c>
      <c r="B73" s="870" t="s">
        <v>2006</v>
      </c>
      <c r="C73" s="887" t="str">
        <f>'Expenditures 15-22'!B285</f>
        <v>4000</v>
      </c>
      <c r="D73" s="888" t="str">
        <f>'Expenditures 15-22'!A285</f>
        <v>Total Payments to Other Govt Units</v>
      </c>
      <c r="E73" s="869"/>
      <c r="F73" s="1937">
        <f>'Expenditures 15-22'!K285</f>
        <v>0</v>
      </c>
      <c r="G73" s="866"/>
    </row>
    <row r="74" spans="1:8">
      <c r="A74" s="870" t="s">
        <v>456</v>
      </c>
      <c r="B74" s="870" t="s">
        <v>2007</v>
      </c>
      <c r="C74" s="887" t="s">
        <v>915</v>
      </c>
      <c r="D74" s="888" t="s">
        <v>1567</v>
      </c>
      <c r="E74" s="869"/>
      <c r="F74" s="1941">
        <f>'Expenditures 15-22'!K334</f>
        <v>0</v>
      </c>
      <c r="G74" s="866"/>
    </row>
    <row r="75" spans="1:8" ht="5.25" customHeight="1">
      <c r="A75" s="866"/>
      <c r="B75" s="876"/>
      <c r="C75" s="876"/>
      <c r="D75" s="866"/>
      <c r="E75" s="869"/>
      <c r="F75" s="883"/>
      <c r="G75" s="868"/>
    </row>
    <row r="76" spans="1:8" ht="12" thickBot="1">
      <c r="A76" s="1790"/>
      <c r="B76" s="1796"/>
      <c r="C76" s="1792"/>
      <c r="D76" s="1797" t="s">
        <v>2008</v>
      </c>
      <c r="E76" s="1794" t="s">
        <v>1015</v>
      </c>
      <c r="F76" s="1798">
        <f>SUM(F18:F74)</f>
        <v>3352676</v>
      </c>
      <c r="G76" s="866"/>
    </row>
    <row r="77" spans="1:8" s="894" customFormat="1" ht="12" customHeight="1" thickTop="1" thickBot="1">
      <c r="A77" s="1799"/>
      <c r="B77" s="1796"/>
      <c r="C77" s="1792"/>
      <c r="D77" s="1797" t="s">
        <v>2009</v>
      </c>
      <c r="E77" s="1794"/>
      <c r="F77" s="1800">
        <f>(F14-F76)</f>
        <v>29405115</v>
      </c>
      <c r="G77" s="870"/>
    </row>
    <row r="78" spans="1:8" s="894" customFormat="1" ht="12" customHeight="1" thickTop="1">
      <c r="A78" s="1801"/>
      <c r="B78" s="1796"/>
      <c r="C78" s="1792"/>
      <c r="D78" s="1797" t="s">
        <v>2056</v>
      </c>
      <c r="E78" s="1794"/>
      <c r="F78" s="899">
        <v>2461.04</v>
      </c>
      <c r="G78" s="900"/>
      <c r="H78" s="870"/>
    </row>
    <row r="79" spans="1:8" s="894" customFormat="1" ht="12" customHeight="1" thickBot="1">
      <c r="A79" s="1802"/>
      <c r="B79" s="1796"/>
      <c r="C79" s="1792"/>
      <c r="D79" s="1797" t="s">
        <v>2010</v>
      </c>
      <c r="E79" s="1794" t="s">
        <v>1015</v>
      </c>
      <c r="F79" s="1803">
        <f>IF(F78&gt;0,F77/F78," Complete Line 78")</f>
        <v>11948.247488866496</v>
      </c>
      <c r="G79" s="870"/>
    </row>
    <row r="80" spans="1:8" s="894" customFormat="1" ht="8.25" customHeight="1" thickTop="1">
      <c r="A80" s="901"/>
      <c r="B80" s="870"/>
      <c r="C80" s="872"/>
      <c r="D80" s="902"/>
      <c r="E80" s="869"/>
      <c r="F80" s="903"/>
      <c r="G80" s="870"/>
    </row>
    <row r="81" spans="1:7" s="894" customFormat="1" ht="12" thickBot="1">
      <c r="A81" s="2334" t="s">
        <v>1167</v>
      </c>
      <c r="B81" s="2335"/>
      <c r="C81" s="2335"/>
      <c r="D81" s="2335"/>
      <c r="E81" s="2335"/>
      <c r="F81" s="2336"/>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31">
        <f>'Revenues 9-14'!F42</f>
        <v>18425</v>
      </c>
      <c r="G84" s="913"/>
    </row>
    <row r="85" spans="1:7">
      <c r="A85" s="909" t="s">
        <v>481</v>
      </c>
      <c r="B85" s="909" t="s">
        <v>192</v>
      </c>
      <c r="C85" s="914">
        <f>'Revenues 9-14'!B44</f>
        <v>1413</v>
      </c>
      <c r="D85" s="912" t="str">
        <f>'Revenues 9-14'!A44</f>
        <v>Regular - Transp Fees from Other Sources (In State)</v>
      </c>
      <c r="E85" s="907"/>
      <c r="F85" s="1809">
        <f>'Revenues 9-14'!F44</f>
        <v>20785</v>
      </c>
      <c r="G85" s="915"/>
    </row>
    <row r="86" spans="1:7">
      <c r="A86" s="909" t="s">
        <v>481</v>
      </c>
      <c r="B86" s="909" t="s">
        <v>168</v>
      </c>
      <c r="C86" s="911">
        <f>'Revenues 9-14'!B45</f>
        <v>1415</v>
      </c>
      <c r="D86" s="912" t="str">
        <f>'Revenues 9-14'!A45</f>
        <v>Regular - Transp Fees from Co-curricular Activities (In State)</v>
      </c>
      <c r="E86" s="907"/>
      <c r="F86" s="1809">
        <f>'Revenues 9-14'!F45</f>
        <v>0</v>
      </c>
      <c r="G86" s="915"/>
    </row>
    <row r="87" spans="1:7">
      <c r="A87" s="909" t="s">
        <v>481</v>
      </c>
      <c r="B87" s="909" t="s">
        <v>169</v>
      </c>
      <c r="C87" s="911">
        <v>1416</v>
      </c>
      <c r="D87" s="912" t="str">
        <f>'Revenues 9-14'!A46</f>
        <v>Regular Transp Fees from Other Sources (Out of State)</v>
      </c>
      <c r="E87" s="907"/>
      <c r="F87" s="1809">
        <f>'Revenues 9-14'!F46</f>
        <v>0</v>
      </c>
      <c r="G87" s="915"/>
    </row>
    <row r="88" spans="1:7">
      <c r="A88" s="909" t="s">
        <v>481</v>
      </c>
      <c r="B88" s="909" t="s">
        <v>170</v>
      </c>
      <c r="C88" s="911">
        <f>'Revenues 9-14'!B51</f>
        <v>1431</v>
      </c>
      <c r="D88" s="912" t="str">
        <f>'Revenues 9-14'!A51</f>
        <v>CTE - Transp Fees from Pupils or Parents (In State)</v>
      </c>
      <c r="E88" s="907"/>
      <c r="F88" s="1809">
        <f>'Revenues 9-14'!F51</f>
        <v>0</v>
      </c>
      <c r="G88" s="915"/>
    </row>
    <row r="89" spans="1:7">
      <c r="A89" s="909" t="s">
        <v>481</v>
      </c>
      <c r="B89" s="909" t="s">
        <v>171</v>
      </c>
      <c r="C89" s="911">
        <f>'Revenues 9-14'!B53</f>
        <v>1433</v>
      </c>
      <c r="D89" s="912" t="str">
        <f>'Revenues 9-14'!A53</f>
        <v>CTE - Transp Fees from Other Sources (In State)</v>
      </c>
      <c r="E89" s="907"/>
      <c r="F89" s="1809">
        <f>'Revenues 9-14'!F53</f>
        <v>0</v>
      </c>
      <c r="G89" s="915"/>
    </row>
    <row r="90" spans="1:7">
      <c r="A90" s="909" t="s">
        <v>481</v>
      </c>
      <c r="B90" s="909" t="s">
        <v>172</v>
      </c>
      <c r="C90" s="911">
        <f>'Revenues 9-14'!B54</f>
        <v>1434</v>
      </c>
      <c r="D90" s="912" t="str">
        <f>'Revenues 9-14'!A54</f>
        <v>CTE - Transp Fees from Other Sources (Out of State)</v>
      </c>
      <c r="E90" s="907"/>
      <c r="F90" s="1809">
        <f>'Revenues 9-14'!F54</f>
        <v>0</v>
      </c>
      <c r="G90" s="915"/>
    </row>
    <row r="91" spans="1:7">
      <c r="A91" s="909" t="s">
        <v>481</v>
      </c>
      <c r="B91" s="909" t="s">
        <v>173</v>
      </c>
      <c r="C91" s="916">
        <f>'Revenues 9-14'!B55</f>
        <v>1441</v>
      </c>
      <c r="D91" s="912" t="str">
        <f>'Revenues 9-14'!A55</f>
        <v>Special Ed - Transp Fees from Pupils or Parents (In State)</v>
      </c>
      <c r="E91" s="907"/>
      <c r="F91" s="1809">
        <f>'Revenues 9-14'!F55</f>
        <v>0</v>
      </c>
      <c r="G91" s="915"/>
    </row>
    <row r="92" spans="1:7">
      <c r="A92" s="909" t="s">
        <v>481</v>
      </c>
      <c r="B92" s="909" t="s">
        <v>174</v>
      </c>
      <c r="C92" s="911">
        <f>'Revenues 9-14'!B57</f>
        <v>1443</v>
      </c>
      <c r="D92" s="912" t="str">
        <f>'Revenues 9-14'!A57</f>
        <v>Special Ed - Transp Fees from Other Sources (In State)</v>
      </c>
      <c r="E92" s="907"/>
      <c r="F92" s="1809">
        <f>'Revenues 9-14'!F57</f>
        <v>0</v>
      </c>
      <c r="G92" s="917"/>
    </row>
    <row r="93" spans="1:7">
      <c r="A93" s="909" t="s">
        <v>481</v>
      </c>
      <c r="B93" s="909" t="s">
        <v>175</v>
      </c>
      <c r="C93" s="911">
        <f>'Revenues 9-14'!B58</f>
        <v>1444</v>
      </c>
      <c r="D93" s="912" t="str">
        <f>'Revenues 9-14'!A58</f>
        <v>Special Ed - Transp Fees from Other Sources (Out of State)</v>
      </c>
      <c r="E93" s="907"/>
      <c r="F93" s="1809">
        <f>'Revenues 9-14'!F58</f>
        <v>0</v>
      </c>
      <c r="G93" s="917"/>
    </row>
    <row r="94" spans="1:7">
      <c r="A94" s="909" t="s">
        <v>479</v>
      </c>
      <c r="B94" s="909" t="s">
        <v>176</v>
      </c>
      <c r="C94" s="911">
        <v>1600</v>
      </c>
      <c r="D94" s="918" t="str">
        <f>'Revenues 9-14'!A75</f>
        <v>Total Food Service</v>
      </c>
      <c r="E94" s="907"/>
      <c r="F94" s="1809">
        <f>'Revenues 9-14'!C75</f>
        <v>10603</v>
      </c>
      <c r="G94" s="913"/>
    </row>
    <row r="95" spans="1:7">
      <c r="A95" s="909" t="s">
        <v>142</v>
      </c>
      <c r="B95" s="909" t="s">
        <v>177</v>
      </c>
      <c r="C95" s="911">
        <v>1700</v>
      </c>
      <c r="D95" s="919" t="str">
        <f>'Revenues 9-14'!A82</f>
        <v>Total District/School Activity Income</v>
      </c>
      <c r="E95" s="907"/>
      <c r="F95" s="1809">
        <f>SUM('Revenues 9-14'!C82,'Revenues 9-14'!D82)</f>
        <v>8080</v>
      </c>
      <c r="G95" s="913"/>
    </row>
    <row r="96" spans="1:7">
      <c r="A96" s="909" t="s">
        <v>479</v>
      </c>
      <c r="B96" s="909" t="s">
        <v>178</v>
      </c>
      <c r="C96" s="911">
        <f>'Revenues 9-14'!B84</f>
        <v>1811</v>
      </c>
      <c r="D96" s="912" t="str">
        <f>'Revenues 9-14'!A84</f>
        <v>Rentals - Regular Textbooks</v>
      </c>
      <c r="E96" s="907"/>
      <c r="F96" s="1809">
        <f>'Revenues 9-14'!C84</f>
        <v>0</v>
      </c>
      <c r="G96" s="913"/>
    </row>
    <row r="97" spans="1:7">
      <c r="A97" s="909" t="s">
        <v>479</v>
      </c>
      <c r="B97" s="909" t="s">
        <v>179</v>
      </c>
      <c r="C97" s="911">
        <f>'Revenues 9-14'!B87</f>
        <v>1819</v>
      </c>
      <c r="D97" s="912" t="str">
        <f>'Revenues 9-14'!A87</f>
        <v>Rentals - Other (Describe &amp; Itemize)</v>
      </c>
      <c r="E97" s="907"/>
      <c r="F97" s="1809">
        <f>'Revenues 9-14'!C87</f>
        <v>0</v>
      </c>
      <c r="G97" s="913"/>
    </row>
    <row r="98" spans="1:7">
      <c r="A98" s="909" t="s">
        <v>479</v>
      </c>
      <c r="B98" s="909" t="s">
        <v>180</v>
      </c>
      <c r="C98" s="911">
        <f>'Revenues 9-14'!B88</f>
        <v>1821</v>
      </c>
      <c r="D98" s="912" t="str">
        <f>'Revenues 9-14'!A88</f>
        <v>Sales - Regular Textbooks</v>
      </c>
      <c r="E98" s="907"/>
      <c r="F98" s="1809">
        <f>'Revenues 9-14'!C88</f>
        <v>0</v>
      </c>
      <c r="G98" s="913"/>
    </row>
    <row r="99" spans="1:7">
      <c r="A99" s="909" t="s">
        <v>479</v>
      </c>
      <c r="B99" s="909" t="s">
        <v>181</v>
      </c>
      <c r="C99" s="911">
        <f>'Revenues 9-14'!B91</f>
        <v>1829</v>
      </c>
      <c r="D99" s="912" t="str">
        <f>'Revenues 9-14'!A91</f>
        <v>Sales - Other (Describe &amp; Itemize)</v>
      </c>
      <c r="E99" s="907"/>
      <c r="F99" s="1809">
        <f>'Revenues 9-14'!C91</f>
        <v>0</v>
      </c>
      <c r="G99" s="913"/>
    </row>
    <row r="100" spans="1:7">
      <c r="A100" s="909" t="s">
        <v>479</v>
      </c>
      <c r="B100" s="909" t="s">
        <v>182</v>
      </c>
      <c r="C100" s="911">
        <f>'Revenues 9-14'!B92</f>
        <v>1890</v>
      </c>
      <c r="D100" s="912" t="str">
        <f>'Revenues 9-14'!A92</f>
        <v>Other (Describe &amp; Itemize)</v>
      </c>
      <c r="E100" s="907"/>
      <c r="F100" s="1809">
        <f>'Revenues 9-14'!C92</f>
        <v>0</v>
      </c>
      <c r="G100" s="913"/>
    </row>
    <row r="101" spans="1:7">
      <c r="A101" s="909" t="s">
        <v>142</v>
      </c>
      <c r="B101" s="909" t="s">
        <v>183</v>
      </c>
      <c r="C101" s="911">
        <f>'Revenues 9-14'!B95</f>
        <v>1910</v>
      </c>
      <c r="D101" s="912" t="str">
        <f>'Revenues 9-14'!A95</f>
        <v>Rentals</v>
      </c>
      <c r="E101" s="907"/>
      <c r="F101" s="1809">
        <f>SUM('Revenues 9-14'!C95:D95)</f>
        <v>31142</v>
      </c>
      <c r="G101" s="913"/>
    </row>
    <row r="102" spans="1:7">
      <c r="A102" s="909" t="s">
        <v>524</v>
      </c>
      <c r="B102" s="909" t="s">
        <v>184</v>
      </c>
      <c r="C102" s="911">
        <f>'Revenues 9-14'!B98</f>
        <v>1940</v>
      </c>
      <c r="D102" s="912" t="str">
        <f>'Revenues 9-14'!A98</f>
        <v>Services Provided Other Districts</v>
      </c>
      <c r="E102" s="907"/>
      <c r="F102" s="1809">
        <f>SUM('Revenues 9-14'!C98,'Revenues 9-14'!D98,'Revenues 9-14'!F98)</f>
        <v>54498</v>
      </c>
      <c r="G102" s="913"/>
    </row>
    <row r="103" spans="1:7">
      <c r="A103" s="909" t="s">
        <v>1066</v>
      </c>
      <c r="B103" s="909" t="s">
        <v>834</v>
      </c>
      <c r="C103" s="911">
        <f>'Revenues 9-14'!B104</f>
        <v>1991</v>
      </c>
      <c r="D103" s="920" t="str">
        <f>'Revenues 9-14'!A104</f>
        <v>Payment from Other Districts</v>
      </c>
      <c r="E103" s="907"/>
      <c r="F103" s="1809">
        <f>SUM('Revenues 9-14'!C104,'Revenues 9-14'!D104,'Revenues 9-14'!E104,'Revenues 9-14'!F104,'Revenues 9-14'!G104)</f>
        <v>50806</v>
      </c>
      <c r="G103" s="913"/>
    </row>
    <row r="104" spans="1:7">
      <c r="A104" s="909" t="s">
        <v>479</v>
      </c>
      <c r="B104" s="909" t="s">
        <v>841</v>
      </c>
      <c r="C104" s="911">
        <f>'Revenues 9-14'!B106</f>
        <v>1993</v>
      </c>
      <c r="D104" s="912" t="str">
        <f>'Revenues 9-14'!A106</f>
        <v>Other Local Fees (Describe &amp; Itemize)</v>
      </c>
      <c r="E104" s="907"/>
      <c r="F104" s="1809">
        <f>('Revenues 9-14'!C106)</f>
        <v>0</v>
      </c>
      <c r="G104" s="913"/>
    </row>
    <row r="105" spans="1:7">
      <c r="A105" s="909" t="s">
        <v>524</v>
      </c>
      <c r="B105" s="909" t="s">
        <v>842</v>
      </c>
      <c r="C105" s="914">
        <v>3100</v>
      </c>
      <c r="D105" s="920" t="str">
        <f>'Revenues 9-14'!A131</f>
        <v>Total Special Education</v>
      </c>
      <c r="E105" s="907"/>
      <c r="F105" s="1809">
        <f>SUM('Revenues 9-14'!C131:D131,'Revenues 9-14'!F131)</f>
        <v>478633</v>
      </c>
      <c r="G105" s="913"/>
    </row>
    <row r="106" spans="1:7">
      <c r="A106" s="909" t="s">
        <v>694</v>
      </c>
      <c r="B106" s="909" t="s">
        <v>1483</v>
      </c>
      <c r="C106" s="921">
        <v>3200</v>
      </c>
      <c r="D106" s="912" t="str">
        <f>'Revenues 9-14'!A140</f>
        <v>Total Career and Technical Education</v>
      </c>
      <c r="E106" s="907"/>
      <c r="F106" s="1809">
        <f>SUM('Revenues 9-14'!C140,'Revenues 9-14'!D140,'Revenues 9-14'!G140)</f>
        <v>0</v>
      </c>
      <c r="G106" s="913"/>
    </row>
    <row r="107" spans="1:7">
      <c r="A107" s="922" t="s">
        <v>685</v>
      </c>
      <c r="B107" s="909" t="s">
        <v>843</v>
      </c>
      <c r="C107" s="921">
        <v>3300</v>
      </c>
      <c r="D107" s="912" t="str">
        <f>'Revenues 9-14'!A144</f>
        <v>Total Bilingual Ed</v>
      </c>
      <c r="E107" s="907"/>
      <c r="F107" s="1809">
        <f>SUM('Revenues 9-14'!C144,'Revenues 9-14'!G144)</f>
        <v>273753</v>
      </c>
      <c r="G107" s="913"/>
    </row>
    <row r="108" spans="1:7">
      <c r="A108" s="909" t="s">
        <v>479</v>
      </c>
      <c r="B108" s="909" t="s">
        <v>844</v>
      </c>
      <c r="C108" s="921">
        <f>'Revenues 9-14'!B145</f>
        <v>3360</v>
      </c>
      <c r="D108" s="912" t="str">
        <f>'Revenues 9-14'!A145</f>
        <v>State Free Lunch &amp; Breakfast</v>
      </c>
      <c r="E108" s="907"/>
      <c r="F108" s="1809">
        <f>'Revenues 9-14'!C145</f>
        <v>29545</v>
      </c>
      <c r="G108" s="913"/>
    </row>
    <row r="109" spans="1:7">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c r="A110" s="909" t="s">
        <v>142</v>
      </c>
      <c r="B110" s="909" t="s">
        <v>846</v>
      </c>
      <c r="C110" s="921">
        <f>'Revenues 9-14'!B147</f>
        <v>3370</v>
      </c>
      <c r="D110" s="912" t="str">
        <f>'Revenues 9-14'!A147</f>
        <v>Driver Education</v>
      </c>
      <c r="E110" s="907"/>
      <c r="F110" s="1809">
        <f>SUM('Revenues 9-14'!C147,'Revenues 9-14'!D147)</f>
        <v>0</v>
      </c>
      <c r="G110" s="913"/>
    </row>
    <row r="111" spans="1:7">
      <c r="A111" s="909" t="s">
        <v>689</v>
      </c>
      <c r="B111" s="909" t="s">
        <v>802</v>
      </c>
      <c r="C111" s="923">
        <v>3500</v>
      </c>
      <c r="D111" s="912" t="str">
        <f>'Revenues 9-14'!A154</f>
        <v>Total Transportation</v>
      </c>
      <c r="E111" s="907"/>
      <c r="F111" s="1809">
        <f>SUM('Revenues 9-14'!C154,'Revenues 9-14'!D154,'Revenues 9-14'!F154,'Revenues 9-14'!G154)</f>
        <v>800800</v>
      </c>
      <c r="G111" s="913"/>
    </row>
    <row r="112" spans="1:7">
      <c r="A112" s="909" t="s">
        <v>479</v>
      </c>
      <c r="B112" s="909" t="s">
        <v>847</v>
      </c>
      <c r="C112" s="921">
        <f>'Revenues 9-14'!B155</f>
        <v>3610</v>
      </c>
      <c r="D112" s="912" t="str">
        <f>'Revenues 9-14'!A155</f>
        <v>Learning Improvement - Change Grants</v>
      </c>
      <c r="E112" s="907"/>
      <c r="F112" s="1809">
        <f>'Revenues 9-14'!C155</f>
        <v>0</v>
      </c>
      <c r="G112" s="913"/>
    </row>
    <row r="113" spans="1:7">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31">
        <f>SUM('Revenues 9-14'!C166:G166)</f>
        <v>0</v>
      </c>
      <c r="G122" s="913"/>
    </row>
    <row r="123" spans="1:7">
      <c r="A123" s="924" t="s">
        <v>525</v>
      </c>
      <c r="B123" s="924" t="s">
        <v>853</v>
      </c>
      <c r="C123" s="925">
        <f>'Revenues 9-14'!B167</f>
        <v>3815</v>
      </c>
      <c r="D123" s="926" t="str">
        <f>'Revenues 9-14'!A167</f>
        <v>State Charter Schools</v>
      </c>
      <c r="E123" s="907"/>
      <c r="F123" s="1931">
        <f>SUM('Revenues 9-14'!C167,'Revenues 9-14'!F167)</f>
        <v>0</v>
      </c>
      <c r="G123" s="913"/>
    </row>
    <row r="124" spans="1:7">
      <c r="A124" s="928" t="s">
        <v>480</v>
      </c>
      <c r="B124" s="928" t="s">
        <v>854</v>
      </c>
      <c r="C124" s="929">
        <f>'Revenues 9-14'!B170</f>
        <v>3925</v>
      </c>
      <c r="D124" s="930" t="str">
        <f>'Revenues 9-14'!A170</f>
        <v>School Infrastructure - Maintenance Projects</v>
      </c>
      <c r="E124" s="907"/>
      <c r="F124" s="1809">
        <f>'Revenues 9-14'!D170</f>
        <v>0</v>
      </c>
      <c r="G124" s="931"/>
    </row>
    <row r="125" spans="1:7">
      <c r="A125" s="928" t="s">
        <v>521</v>
      </c>
      <c r="B125" s="928" t="s">
        <v>855</v>
      </c>
      <c r="C125" s="929">
        <f>'Revenues 9-14'!B171</f>
        <v>3999</v>
      </c>
      <c r="D125" s="930" t="s">
        <v>564</v>
      </c>
      <c r="E125" s="932"/>
      <c r="F125" s="1809">
        <f>SUM('Revenues 9-14'!C171:G171,'Revenues 9-14'!J171)</f>
        <v>3683</v>
      </c>
      <c r="G125" s="931"/>
    </row>
    <row r="126" spans="1:7">
      <c r="A126" s="928" t="s">
        <v>479</v>
      </c>
      <c r="B126" s="928" t="s">
        <v>856</v>
      </c>
      <c r="C126" s="933">
        <f>'Revenues 9-14'!B180</f>
        <v>4045</v>
      </c>
      <c r="D126" s="930" t="str">
        <f>'Revenues 9-14'!A180 &amp; " (Subtract)"</f>
        <v>Head Start (Subtract)</v>
      </c>
      <c r="E126" s="907"/>
      <c r="F126" s="1809">
        <f>SUM(-'Revenues 9-14'!C180)</f>
        <v>0</v>
      </c>
      <c r="G126" s="931"/>
    </row>
    <row r="127" spans="1:7">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c r="A128" s="928" t="s">
        <v>689</v>
      </c>
      <c r="B128" s="928" t="s">
        <v>858</v>
      </c>
      <c r="C128" s="933">
        <v>4100</v>
      </c>
      <c r="D128" s="934" t="str">
        <f>'Revenues 9-14'!A191</f>
        <v>Total Title V</v>
      </c>
      <c r="E128" s="907"/>
      <c r="F128" s="1809">
        <f>SUM('Revenues 9-14'!C191,'Revenues 9-14'!D191,'Revenues 9-14'!F191,'Revenues 9-14'!G191)</f>
        <v>0</v>
      </c>
      <c r="G128" s="931"/>
    </row>
    <row r="129" spans="1:7">
      <c r="A129" s="928" t="s">
        <v>685</v>
      </c>
      <c r="B129" s="928" t="s">
        <v>803</v>
      </c>
      <c r="C129" s="933">
        <v>4200</v>
      </c>
      <c r="D129" s="930" t="str">
        <f>'Revenues 9-14'!A201</f>
        <v>Total Food Service</v>
      </c>
      <c r="E129" s="907"/>
      <c r="F129" s="1809">
        <f>SUM('Revenues 9-14'!C201,'Revenues 9-14'!G201)</f>
        <v>1673909</v>
      </c>
      <c r="G129" s="931"/>
    </row>
    <row r="130" spans="1:7">
      <c r="A130" s="928" t="s">
        <v>689</v>
      </c>
      <c r="B130" s="928" t="s">
        <v>804</v>
      </c>
      <c r="C130" s="933">
        <v>4300</v>
      </c>
      <c r="D130" s="934" t="str">
        <f>'Revenues 9-14'!A211</f>
        <v>Total Title I</v>
      </c>
      <c r="E130" s="907"/>
      <c r="F130" s="1809">
        <f>SUM('Revenues 9-14'!C211,'Revenues 9-14'!D211,'Revenues 9-14'!F211,'Revenues 9-14'!G211)</f>
        <v>1062798</v>
      </c>
      <c r="G130" s="931"/>
    </row>
    <row r="131" spans="1:7">
      <c r="A131" s="928" t="s">
        <v>689</v>
      </c>
      <c r="B131" s="928" t="s">
        <v>805</v>
      </c>
      <c r="C131" s="933">
        <v>4400</v>
      </c>
      <c r="D131" s="934" t="str">
        <f>'Revenues 9-14'!A216</f>
        <v>Total Title IV</v>
      </c>
      <c r="E131" s="907"/>
      <c r="F131" s="1809">
        <f>SUM('Revenues 9-14'!C216,'Revenues 9-14'!D216,'Revenues 9-14'!F216,'Revenues 9-14'!G216)</f>
        <v>95881</v>
      </c>
      <c r="G131" s="931"/>
    </row>
    <row r="132" spans="1:7">
      <c r="A132" s="928" t="s">
        <v>689</v>
      </c>
      <c r="B132" s="928" t="s">
        <v>190</v>
      </c>
      <c r="C132" s="933">
        <f>'Revenues 9-14'!B220</f>
        <v>4620</v>
      </c>
      <c r="D132" s="934" t="str">
        <f>'Revenues 9-14'!A220</f>
        <v>Fed - Spec Education - IDEA - Flow Through</v>
      </c>
      <c r="E132" s="907"/>
      <c r="F132" s="1809">
        <f>SUM('Revenues 9-14'!C220:D220,'Revenues 9-14'!F220:G220)</f>
        <v>496237</v>
      </c>
      <c r="G132" s="931"/>
    </row>
    <row r="133" spans="1:7">
      <c r="A133" s="928" t="s">
        <v>689</v>
      </c>
      <c r="B133" s="928" t="s">
        <v>191</v>
      </c>
      <c r="C133" s="933">
        <f>'Revenues 9-14'!B221</f>
        <v>4625</v>
      </c>
      <c r="D133" s="934" t="str">
        <f>'Revenues 9-14'!A221</f>
        <v>Fed - Spec Education - IDEA - Room &amp; Board</v>
      </c>
      <c r="E133" s="907"/>
      <c r="F133" s="1809">
        <f>SUM('Revenues 9-14'!C221,'Revenues 9-14'!D221,'Revenues 9-14'!F221,'Revenues 9-14'!G221)</f>
        <v>3887</v>
      </c>
      <c r="G133" s="931"/>
    </row>
    <row r="134" spans="1:7">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c r="A142" s="935" t="s">
        <v>215</v>
      </c>
      <c r="B142" s="935" t="s">
        <v>226</v>
      </c>
      <c r="C142" s="936" t="s">
        <v>223</v>
      </c>
      <c r="D142" s="937" t="str">
        <f>'Revenues 9-14'!A236</f>
        <v>ARRA - IDEA - Part B - Preschool</v>
      </c>
      <c r="E142" s="938"/>
      <c r="F142" s="1809">
        <v>0</v>
      </c>
      <c r="G142" s="906"/>
    </row>
    <row r="143" spans="1:7" s="868" customFormat="1" hidden="1">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c r="A151" s="935" t="s">
        <v>215</v>
      </c>
      <c r="B151" s="935" t="s">
        <v>240</v>
      </c>
      <c r="C151" s="936" t="s">
        <v>238</v>
      </c>
      <c r="D151" s="937" t="str">
        <f>'Revenues 9-14'!A249</f>
        <v>Other ARRA Funds - II</v>
      </c>
      <c r="E151" s="938"/>
      <c r="F151" s="1809">
        <f>SUM('Revenues 9-14'!C249:G249,'Revenues 9-14'!J249)</f>
        <v>0</v>
      </c>
      <c r="G151" s="906"/>
    </row>
    <row r="152" spans="1:7" s="868" customFormat="1" hidden="1">
      <c r="A152" s="935" t="s">
        <v>215</v>
      </c>
      <c r="B152" s="935" t="s">
        <v>242</v>
      </c>
      <c r="C152" s="936" t="s">
        <v>239</v>
      </c>
      <c r="D152" s="937" t="str">
        <f>'Revenues 9-14'!A250</f>
        <v>Other ARRA Funds - III</v>
      </c>
      <c r="E152" s="938"/>
      <c r="F152" s="1809">
        <f>SUM('Revenues 9-14'!C250:G250,'Revenues 9-14'!J250)</f>
        <v>0</v>
      </c>
      <c r="G152" s="906"/>
    </row>
    <row r="153" spans="1:7" s="868" customFormat="1" hidden="1">
      <c r="A153" s="935" t="s">
        <v>215</v>
      </c>
      <c r="B153" s="935" t="s">
        <v>244</v>
      </c>
      <c r="C153" s="936" t="s">
        <v>241</v>
      </c>
      <c r="D153" s="937" t="str">
        <f>'Revenues 9-14'!A251</f>
        <v>Other ARRA Funds - IV</v>
      </c>
      <c r="E153" s="938"/>
      <c r="F153" s="1809">
        <f>SUM('Revenues 9-14'!C251:G251,'Revenues 9-14'!J251)</f>
        <v>0</v>
      </c>
      <c r="G153" s="906"/>
    </row>
    <row r="154" spans="1:7" s="868" customFormat="1" hidden="1">
      <c r="A154" s="935" t="s">
        <v>215</v>
      </c>
      <c r="B154" s="935" t="s">
        <v>246</v>
      </c>
      <c r="C154" s="936" t="s">
        <v>243</v>
      </c>
      <c r="D154" s="937" t="str">
        <f>'Revenues 9-14'!A252</f>
        <v>Other ARRA Funds - V</v>
      </c>
      <c r="E154" s="938"/>
      <c r="F154" s="1809">
        <f>SUM('Revenues 9-14'!C252:G252,'Revenues 9-14'!J252)</f>
        <v>0</v>
      </c>
      <c r="G154" s="906"/>
    </row>
    <row r="155" spans="1:7" s="868" customFormat="1" hidden="1">
      <c r="A155" s="935" t="s">
        <v>215</v>
      </c>
      <c r="B155" s="935" t="s">
        <v>248</v>
      </c>
      <c r="C155" s="936" t="s">
        <v>245</v>
      </c>
      <c r="D155" s="937" t="str">
        <f>'Revenues 9-14'!A253</f>
        <v>ARRA - Early Childhood</v>
      </c>
      <c r="E155" s="938"/>
      <c r="F155" s="1809">
        <v>0</v>
      </c>
      <c r="G155" s="906"/>
    </row>
    <row r="156" spans="1:7" s="868" customFormat="1" hidden="1">
      <c r="A156" s="935" t="s">
        <v>215</v>
      </c>
      <c r="B156" s="935" t="s">
        <v>250</v>
      </c>
      <c r="C156" s="936" t="s">
        <v>247</v>
      </c>
      <c r="D156" s="937" t="str">
        <f>'Revenues 9-14'!A254</f>
        <v>Other ARRA Funds VII</v>
      </c>
      <c r="E156" s="938"/>
      <c r="F156" s="1809">
        <f>SUM('Revenues 9-14'!C254:G254,'Revenues 9-14'!J254)</f>
        <v>0</v>
      </c>
      <c r="G156" s="906"/>
    </row>
    <row r="157" spans="1:7" s="868" customFormat="1" hidden="1">
      <c r="A157" s="935" t="s">
        <v>215</v>
      </c>
      <c r="B157" s="935" t="s">
        <v>252</v>
      </c>
      <c r="C157" s="936" t="s">
        <v>249</v>
      </c>
      <c r="D157" s="937" t="str">
        <f>'Revenues 9-14'!A255</f>
        <v>Other ARRA Funds VIII</v>
      </c>
      <c r="E157" s="938"/>
      <c r="F157" s="1809">
        <f>SUM('Revenues 9-14'!C255:G255,'Revenues 9-14'!J255)</f>
        <v>0</v>
      </c>
      <c r="G157" s="906"/>
    </row>
    <row r="158" spans="1:7" s="868" customFormat="1" hidden="1">
      <c r="A158" s="935" t="s">
        <v>215</v>
      </c>
      <c r="B158" s="935" t="s">
        <v>254</v>
      </c>
      <c r="C158" s="936" t="s">
        <v>251</v>
      </c>
      <c r="D158" s="937" t="str">
        <f>'Revenues 9-14'!A256</f>
        <v>Other ARRA Funds IX</v>
      </c>
      <c r="E158" s="938"/>
      <c r="F158" s="1809">
        <f>SUM('Revenues 9-14'!C256:G256,'Revenues 9-14'!J256)</f>
        <v>0</v>
      </c>
      <c r="G158" s="906"/>
    </row>
    <row r="159" spans="1:7" s="868" customFormat="1" hidden="1">
      <c r="A159" s="935" t="s">
        <v>215</v>
      </c>
      <c r="B159" s="935" t="s">
        <v>863</v>
      </c>
      <c r="C159" s="936" t="s">
        <v>253</v>
      </c>
      <c r="D159" s="937" t="str">
        <f>'Revenues 9-14'!A257</f>
        <v>Other ARRA Funds X</v>
      </c>
      <c r="E159" s="938"/>
      <c r="F159" s="1809">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c r="A161" s="939" t="s">
        <v>521</v>
      </c>
      <c r="B161" s="940" t="s">
        <v>1564</v>
      </c>
      <c r="C161" s="941" t="s">
        <v>896</v>
      </c>
      <c r="D161" s="942" t="s">
        <v>808</v>
      </c>
      <c r="E161" s="943"/>
      <c r="F161" s="1809">
        <f>SUM(F137:F160)</f>
        <v>0</v>
      </c>
      <c r="G161" s="906"/>
    </row>
    <row r="162" spans="1:7" s="868" customFormat="1">
      <c r="A162" s="939" t="s">
        <v>479</v>
      </c>
      <c r="B162" s="940" t="s">
        <v>1501</v>
      </c>
      <c r="C162" s="941" t="s">
        <v>1499</v>
      </c>
      <c r="D162" s="942" t="s">
        <v>1500</v>
      </c>
      <c r="E162" s="943"/>
      <c r="F162" s="1809">
        <f>SUM('Revenues 9-14'!C260)</f>
        <v>0</v>
      </c>
      <c r="G162" s="906"/>
    </row>
    <row r="163" spans="1:7" s="868" customFormat="1">
      <c r="A163" s="939" t="s">
        <v>521</v>
      </c>
      <c r="B163" s="940" t="s">
        <v>1541</v>
      </c>
      <c r="C163" s="941" t="s">
        <v>1542</v>
      </c>
      <c r="D163" s="942" t="s">
        <v>1543</v>
      </c>
      <c r="E163" s="943"/>
      <c r="F163" s="1809">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09">
        <f>SUM('Revenues 9-14'!C263,'Revenues 9-14'!F263,'Revenues 9-14'!G263)</f>
        <v>2516</v>
      </c>
      <c r="G165" s="944">
        <v>6306</v>
      </c>
    </row>
    <row r="166" spans="1:7">
      <c r="A166" s="928" t="s">
        <v>5</v>
      </c>
      <c r="B166" s="928" t="s">
        <v>1502</v>
      </c>
      <c r="C166" s="933">
        <f>'Revenues 9-14'!B264</f>
        <v>4909</v>
      </c>
      <c r="D166" s="930" t="str">
        <f>'Revenues 9-14'!A264</f>
        <v>Title III - Language Inst Program - Limited Eng (LIPLEP)</v>
      </c>
      <c r="E166" s="907"/>
      <c r="F166" s="1809">
        <f>SUM('Revenues 9-14'!C264,'Revenues 9-14'!F264,'Revenues 9-14'!G264)</f>
        <v>96637</v>
      </c>
      <c r="G166" s="944"/>
    </row>
    <row r="167" spans="1:7">
      <c r="A167" s="928" t="s">
        <v>5</v>
      </c>
      <c r="B167" s="928" t="s">
        <v>1557</v>
      </c>
      <c r="C167" s="933">
        <f>'Revenues 9-14'!B265</f>
        <v>4910</v>
      </c>
      <c r="D167" s="930" t="str">
        <f>'Revenues 9-14'!A265</f>
        <v>Learn &amp; Serve America</v>
      </c>
      <c r="E167" s="907"/>
      <c r="F167" s="1809">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c r="A170" s="928" t="s">
        <v>689</v>
      </c>
      <c r="B170" s="928" t="s">
        <v>709</v>
      </c>
      <c r="C170" s="933">
        <f>'Revenues 9-14'!B268</f>
        <v>4932</v>
      </c>
      <c r="D170" s="934" t="str">
        <f>'Revenues 9-14'!A268</f>
        <v>Title II - Teacher Quality</v>
      </c>
      <c r="E170" s="907"/>
      <c r="F170" s="1931">
        <f>SUM('Revenues 9-14'!C268,'Revenues 9-14'!D268,'Revenues 9-14'!F268,'Revenues 9-14'!G268)</f>
        <v>26593</v>
      </c>
      <c r="G170" s="931"/>
    </row>
    <row r="171" spans="1:7">
      <c r="A171" s="928" t="s">
        <v>689</v>
      </c>
      <c r="B171" s="928" t="s">
        <v>864</v>
      </c>
      <c r="C171" s="933">
        <f>'Revenues 9-14'!B269</f>
        <v>4960</v>
      </c>
      <c r="D171" s="930" t="str">
        <f>'Revenues 9-14'!A269</f>
        <v>Federal Charter Schools</v>
      </c>
      <c r="E171" s="907"/>
      <c r="F171" s="1809">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09">
        <f>SUM('Revenues 9-14'!C270:D270,'Revenues 9-14'!F270:G270)</f>
        <v>88388</v>
      </c>
      <c r="G172" s="948">
        <v>6320</v>
      </c>
    </row>
    <row r="173" spans="1:7">
      <c r="A173" s="928" t="s">
        <v>689</v>
      </c>
      <c r="B173" s="928" t="s">
        <v>1503</v>
      </c>
      <c r="C173" s="933">
        <f>'Revenues 9-14'!B271</f>
        <v>4992</v>
      </c>
      <c r="D173" s="934" t="str">
        <f>'Revenues 9-14'!A271</f>
        <v>Medicaid Matching Funds - Fee-for-Service Program</v>
      </c>
      <c r="E173" s="907"/>
      <c r="F173" s="1809">
        <f>SUM('Revenues 9-14'!C271:D271,'Revenues 9-14'!F271:G271)</f>
        <v>139605</v>
      </c>
      <c r="G173" s="948"/>
    </row>
    <row r="174" spans="1:7">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c r="A175" s="1942" t="s">
        <v>5</v>
      </c>
      <c r="B175" s="1943" t="s">
        <v>2055</v>
      </c>
      <c r="C175" s="1944">
        <v>3100</v>
      </c>
      <c r="D175" s="1945" t="s">
        <v>2058</v>
      </c>
      <c r="E175" s="907"/>
      <c r="F175" s="1929"/>
      <c r="G175" s="928"/>
    </row>
    <row r="176" spans="1:7">
      <c r="A176" s="1942" t="s">
        <v>685</v>
      </c>
      <c r="B176" s="1943" t="s">
        <v>2055</v>
      </c>
      <c r="C176" s="1944">
        <v>3300</v>
      </c>
      <c r="D176" s="1945" t="s">
        <v>2059</v>
      </c>
      <c r="E176" s="907"/>
      <c r="F176" s="1929"/>
      <c r="G176" s="928"/>
    </row>
    <row r="177" spans="1:7" ht="6" customHeight="1">
      <c r="A177" s="928"/>
      <c r="B177" s="928"/>
      <c r="C177" s="950"/>
      <c r="D177" s="928"/>
      <c r="E177" s="907"/>
      <c r="F177" s="951"/>
      <c r="G177" s="948"/>
    </row>
    <row r="178" spans="1:7">
      <c r="A178" s="1790"/>
      <c r="B178" s="1804"/>
      <c r="C178" s="1805"/>
      <c r="D178" s="1806" t="s">
        <v>2011</v>
      </c>
      <c r="E178" s="1807" t="s">
        <v>1015</v>
      </c>
      <c r="F178" s="1808">
        <f>SUM(F84:F136,F161:F176)</f>
        <v>5467204</v>
      </c>
    </row>
    <row r="179" spans="1:7" ht="12" customHeight="1">
      <c r="A179" s="1790"/>
      <c r="B179" s="1804"/>
      <c r="C179" s="1805"/>
      <c r="D179" s="1806" t="s">
        <v>2012</v>
      </c>
      <c r="E179" s="1807"/>
      <c r="F179" s="1809">
        <f>'PCTC-OEPP 27-28'!F77-F178</f>
        <v>23937911</v>
      </c>
    </row>
    <row r="180" spans="1:7" ht="12" customHeight="1">
      <c r="A180" s="1790"/>
      <c r="B180" s="1804"/>
      <c r="C180" s="1805"/>
      <c r="D180" s="1806" t="s">
        <v>1921</v>
      </c>
      <c r="E180" s="1807"/>
      <c r="F180" s="1809">
        <f>'Cap Outlay Deprec 26'!I18</f>
        <v>1254177.7</v>
      </c>
    </row>
    <row r="181" spans="1:7" ht="12" customHeight="1">
      <c r="A181" s="1790"/>
      <c r="B181" s="1804"/>
      <c r="C181" s="1805"/>
      <c r="D181" s="1806" t="s">
        <v>2013</v>
      </c>
      <c r="E181" s="1807"/>
      <c r="F181" s="1809">
        <f>F179+F180</f>
        <v>25192088.699999999</v>
      </c>
    </row>
    <row r="182" spans="1:7" ht="12" customHeight="1">
      <c r="A182" s="1790"/>
      <c r="B182" s="1810"/>
      <c r="C182" s="1805"/>
      <c r="D182" s="1806" t="str">
        <f>D78</f>
        <v>9 Month ADA from District Average Daily Attendance/Prior General State Aid Inquiry 2017-2018</v>
      </c>
      <c r="E182" s="1807"/>
      <c r="F182" s="1811">
        <f>'PCTC-OEPP 27-28'!F78</f>
        <v>2461.04</v>
      </c>
      <c r="G182" s="931"/>
    </row>
    <row r="183" spans="1:7" ht="12" customHeight="1" thickBot="1">
      <c r="A183" s="1790"/>
      <c r="B183" s="1810"/>
      <c r="C183" s="1805"/>
      <c r="D183" s="1806" t="s">
        <v>2014</v>
      </c>
      <c r="E183" s="1807" t="s">
        <v>1626</v>
      </c>
      <c r="F183" s="1812">
        <f>F181/F182</f>
        <v>10236.358897051652</v>
      </c>
      <c r="G183" s="857">
        <v>6323</v>
      </c>
    </row>
    <row r="184" spans="1:7" ht="12" thickTop="1">
      <c r="B184" s="931"/>
      <c r="C184" s="950"/>
      <c r="D184" s="931"/>
      <c r="E184" s="950"/>
      <c r="F184" s="931"/>
      <c r="G184" s="952">
        <v>6326</v>
      </c>
    </row>
    <row r="185" spans="1:7" ht="12.2" customHeight="1">
      <c r="A185" s="931" t="s">
        <v>2057</v>
      </c>
      <c r="B185" s="931"/>
      <c r="C185" s="950"/>
      <c r="D185" s="931"/>
      <c r="E185" s="950"/>
      <c r="F185" s="931"/>
      <c r="G185" s="931"/>
    </row>
    <row r="186" spans="1:7" s="1946" customFormat="1" ht="12.2" customHeight="1">
      <c r="A186" s="1946" t="s">
        <v>2062</v>
      </c>
      <c r="B186" s="1947"/>
      <c r="C186" s="1948"/>
      <c r="D186" s="1947"/>
      <c r="E186" s="1948"/>
      <c r="F186" s="1947"/>
      <c r="G186" s="1947"/>
    </row>
    <row r="187" spans="1:7" s="1946" customFormat="1" ht="12.2" customHeight="1">
      <c r="A187" s="1949" t="s">
        <v>2063</v>
      </c>
      <c r="C187" s="1948"/>
      <c r="D187" s="1947"/>
      <c r="E187" s="1948"/>
      <c r="F187" s="1947"/>
      <c r="G187" s="1947"/>
    </row>
    <row r="188" spans="1:7" ht="12" customHeight="1">
      <c r="C188" s="950"/>
      <c r="D188" s="931"/>
      <c r="E188" s="950"/>
      <c r="F188" s="931"/>
      <c r="G188" s="931"/>
    </row>
    <row r="189" spans="1:7">
      <c r="A189" s="1950" t="s">
        <v>2061</v>
      </c>
      <c r="B189" s="1951" t="s">
        <v>2060</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sqref="A1:F1"/>
      <selection pane="bottomLeft" activeCell="A17" sqref="A17"/>
    </sheetView>
  </sheetViews>
  <sheetFormatPr defaultColWidth="9.140625" defaultRowHeight="1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c r="A1" s="1679" t="s">
        <v>1937</v>
      </c>
      <c r="B1" s="1680"/>
      <c r="C1" s="1680"/>
      <c r="D1" s="1680"/>
      <c r="E1" s="1680"/>
      <c r="F1" s="1680"/>
      <c r="G1" s="1680"/>
    </row>
    <row r="2" spans="1:7">
      <c r="A2" s="1677"/>
      <c r="B2" s="1677"/>
      <c r="C2" s="1678" t="s">
        <v>1036</v>
      </c>
      <c r="D2" s="1677"/>
      <c r="E2" s="1677"/>
      <c r="F2" s="1677"/>
      <c r="G2" s="1677"/>
    </row>
    <row r="3" spans="1:7" ht="5.25" customHeight="1">
      <c r="A3" s="1565"/>
      <c r="B3" s="1565"/>
      <c r="C3" s="1565"/>
      <c r="D3" s="1565"/>
      <c r="E3" s="1565"/>
      <c r="F3" s="1565"/>
      <c r="G3" s="1565"/>
    </row>
    <row r="4" spans="1:7" ht="18.75" customHeight="1">
      <c r="A4" s="2348" t="s">
        <v>1922</v>
      </c>
      <c r="B4" s="2349"/>
      <c r="C4" s="2349"/>
      <c r="D4" s="2349"/>
      <c r="E4" s="2349"/>
      <c r="F4" s="2349"/>
      <c r="G4" s="2350"/>
    </row>
    <row r="5" spans="1:7">
      <c r="A5" s="2351"/>
      <c r="B5" s="2352"/>
      <c r="C5" s="2352"/>
      <c r="D5" s="2352"/>
      <c r="E5" s="2352"/>
      <c r="F5" s="2352"/>
      <c r="G5" s="2353"/>
    </row>
    <row r="6" spans="1:7" ht="18.75">
      <c r="A6" s="1554" t="s">
        <v>1923</v>
      </c>
      <c r="B6" s="1555"/>
      <c r="C6" s="1555"/>
      <c r="D6" s="1555"/>
      <c r="E6" s="1555"/>
      <c r="F6" s="1555"/>
      <c r="G6" s="1556"/>
    </row>
    <row r="7" spans="1:7" ht="30.75" customHeight="1">
      <c r="A7" s="2354" t="s">
        <v>2072</v>
      </c>
      <c r="B7" s="2355"/>
      <c r="C7" s="2355"/>
      <c r="D7" s="2355"/>
      <c r="E7" s="2355"/>
      <c r="F7" s="2355"/>
      <c r="G7" s="2356"/>
    </row>
    <row r="8" spans="1:7" ht="15.75" customHeight="1">
      <c r="A8" s="2357" t="s">
        <v>2021</v>
      </c>
      <c r="B8" s="2358"/>
      <c r="C8" s="2358"/>
      <c r="D8" s="2358"/>
      <c r="E8" s="2358"/>
      <c r="F8" s="2358"/>
      <c r="G8" s="2359"/>
    </row>
    <row r="9" spans="1:7" ht="35.25" customHeight="1">
      <c r="A9" s="2354" t="s">
        <v>2020</v>
      </c>
      <c r="B9" s="2355"/>
      <c r="C9" s="2355"/>
      <c r="D9" s="2355"/>
      <c r="E9" s="2355"/>
      <c r="F9" s="2355"/>
      <c r="G9" s="2356"/>
    </row>
    <row r="10" spans="1:7" ht="15" customHeight="1">
      <c r="A10" s="1557" t="s">
        <v>1924</v>
      </c>
      <c r="B10" s="1558"/>
      <c r="C10" s="1558"/>
      <c r="D10" s="1558"/>
      <c r="E10" s="1558"/>
      <c r="F10" s="1558"/>
      <c r="G10" s="1559"/>
    </row>
    <row r="11" spans="1:7" ht="17.25" customHeight="1">
      <c r="A11" s="2354" t="s">
        <v>1938</v>
      </c>
      <c r="B11" s="2355"/>
      <c r="C11" s="2355"/>
      <c r="D11" s="2355"/>
      <c r="E11" s="2355"/>
      <c r="F11" s="2355"/>
      <c r="G11" s="2356"/>
    </row>
    <row r="12" spans="1:7" ht="15" customHeight="1">
      <c r="A12" s="1557" t="s">
        <v>1929</v>
      </c>
      <c r="B12" s="1558"/>
      <c r="C12" s="1558"/>
      <c r="D12" s="1558"/>
      <c r="E12" s="1558"/>
      <c r="F12" s="1558"/>
      <c r="G12" s="1559"/>
    </row>
    <row r="13" spans="1:7" ht="32.25" customHeight="1">
      <c r="A13" s="2345" t="s">
        <v>1930</v>
      </c>
      <c r="B13" s="2346"/>
      <c r="C13" s="2346"/>
      <c r="D13" s="2346"/>
      <c r="E13" s="2346"/>
      <c r="F13" s="2346"/>
      <c r="G13" s="2347"/>
    </row>
    <row r="14" spans="1:7">
      <c r="A14" s="1681" t="s">
        <v>1939</v>
      </c>
      <c r="B14" s="1682"/>
      <c r="C14" s="1682"/>
      <c r="D14" s="1682"/>
      <c r="E14" s="1682"/>
      <c r="F14" s="1682"/>
      <c r="G14" s="1683"/>
    </row>
    <row r="15" spans="1:7" ht="61.5" customHeight="1">
      <c r="A15" s="1566" t="s">
        <v>1931</v>
      </c>
      <c r="B15" s="1566" t="s">
        <v>1932</v>
      </c>
      <c r="C15" s="1566" t="s">
        <v>1933</v>
      </c>
      <c r="D15" s="1567" t="s">
        <v>1934</v>
      </c>
      <c r="E15" s="1567" t="s">
        <v>1925</v>
      </c>
      <c r="F15" s="1567" t="s">
        <v>1935</v>
      </c>
      <c r="G15" s="1567" t="s">
        <v>1936</v>
      </c>
    </row>
    <row r="16" spans="1:7">
      <c r="A16" s="1668" t="s">
        <v>1940</v>
      </c>
      <c r="B16" s="1669" t="s">
        <v>1928</v>
      </c>
      <c r="C16" s="1670" t="s">
        <v>1926</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c r="A17" s="1993" t="s">
        <v>2205</v>
      </c>
      <c r="B17" s="1866"/>
      <c r="C17" s="1676"/>
      <c r="D17" s="1865">
        <v>0.1</v>
      </c>
      <c r="E17" s="1560">
        <f t="shared" ref="E17:E141" si="1">IF(D17&lt;=25000,D17,IF(D17&gt;25000,25000,0))</f>
        <v>0.1</v>
      </c>
      <c r="F17" s="1813">
        <f t="shared" si="0"/>
        <v>0</v>
      </c>
      <c r="G17" s="1814">
        <f>IF(F17=0,0,D17-F17)</f>
        <v>0</v>
      </c>
      <c r="H17" s="1667"/>
    </row>
    <row r="18" spans="1:8">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c r="A19" s="1673"/>
      <c r="B19" s="1867"/>
      <c r="C19" s="1676"/>
      <c r="D19" s="1865"/>
      <c r="E19" s="1560">
        <f t="shared" si="2"/>
        <v>0</v>
      </c>
      <c r="F19" s="1813">
        <f t="shared" si="3"/>
        <v>0</v>
      </c>
      <c r="G19" s="1814">
        <f t="shared" si="4"/>
        <v>0</v>
      </c>
    </row>
    <row r="20" spans="1:8">
      <c r="A20" s="1673"/>
      <c r="B20" s="1866"/>
      <c r="C20" s="1676"/>
      <c r="D20" s="1865"/>
      <c r="E20" s="1560">
        <f t="shared" si="2"/>
        <v>0</v>
      </c>
      <c r="F20" s="1813">
        <f t="shared" si="3"/>
        <v>0</v>
      </c>
      <c r="G20" s="1814">
        <f t="shared" si="4"/>
        <v>0</v>
      </c>
    </row>
    <row r="21" spans="1:8">
      <c r="A21" s="1673"/>
      <c r="B21" s="1866"/>
      <c r="C21" s="1676"/>
      <c r="D21" s="1865"/>
      <c r="E21" s="1560">
        <f t="shared" si="2"/>
        <v>0</v>
      </c>
      <c r="F21" s="1813">
        <f t="shared" si="3"/>
        <v>0</v>
      </c>
      <c r="G21" s="1814">
        <f t="shared" si="4"/>
        <v>0</v>
      </c>
    </row>
    <row r="22" spans="1:8">
      <c r="A22" s="1673"/>
      <c r="B22" s="1866"/>
      <c r="C22" s="1676"/>
      <c r="D22" s="1865"/>
      <c r="E22" s="1560">
        <f t="shared" si="2"/>
        <v>0</v>
      </c>
      <c r="F22" s="1813">
        <f t="shared" si="3"/>
        <v>0</v>
      </c>
      <c r="G22" s="1814">
        <f t="shared" si="4"/>
        <v>0</v>
      </c>
    </row>
    <row r="23" spans="1:8">
      <c r="A23" s="1673"/>
      <c r="B23" s="1866"/>
      <c r="C23" s="1676"/>
      <c r="D23" s="1865"/>
      <c r="E23" s="1560">
        <f t="shared" si="2"/>
        <v>0</v>
      </c>
      <c r="F23" s="1813">
        <f t="shared" si="3"/>
        <v>0</v>
      </c>
      <c r="G23" s="1814">
        <f t="shared" si="4"/>
        <v>0</v>
      </c>
    </row>
    <row r="24" spans="1:8">
      <c r="A24" s="1673"/>
      <c r="B24" s="1867"/>
      <c r="C24" s="1676"/>
      <c r="D24" s="1865"/>
      <c r="E24" s="1560">
        <f t="shared" si="2"/>
        <v>0</v>
      </c>
      <c r="F24" s="1813">
        <f t="shared" si="3"/>
        <v>0</v>
      </c>
      <c r="G24" s="1814">
        <f t="shared" si="4"/>
        <v>0</v>
      </c>
    </row>
    <row r="25" spans="1:8">
      <c r="A25" s="1673"/>
      <c r="B25" s="1866"/>
      <c r="C25" s="1676"/>
      <c r="D25" s="1865"/>
      <c r="E25" s="1560">
        <f t="shared" si="2"/>
        <v>0</v>
      </c>
      <c r="F25" s="1813">
        <f t="shared" si="3"/>
        <v>0</v>
      </c>
      <c r="G25" s="1814">
        <f t="shared" si="4"/>
        <v>0</v>
      </c>
    </row>
    <row r="26" spans="1:8">
      <c r="A26" s="1673"/>
      <c r="B26" s="1867"/>
      <c r="C26" s="1674"/>
      <c r="D26" s="1865"/>
      <c r="E26" s="1560">
        <f t="shared" si="2"/>
        <v>0</v>
      </c>
      <c r="F26" s="1813">
        <f t="shared" si="3"/>
        <v>0</v>
      </c>
      <c r="G26" s="1814">
        <f t="shared" si="4"/>
        <v>0</v>
      </c>
    </row>
    <row r="27" spans="1:8">
      <c r="A27" s="1673"/>
      <c r="B27" s="1867"/>
      <c r="C27" s="1674"/>
      <c r="D27" s="1865"/>
      <c r="E27" s="1560">
        <f t="shared" si="2"/>
        <v>0</v>
      </c>
      <c r="F27" s="1813">
        <f t="shared" si="3"/>
        <v>0</v>
      </c>
      <c r="G27" s="1814">
        <f t="shared" si="4"/>
        <v>0</v>
      </c>
    </row>
    <row r="28" spans="1:8">
      <c r="A28" s="1673"/>
      <c r="B28" s="1867"/>
      <c r="C28" s="1674"/>
      <c r="D28" s="1865"/>
      <c r="E28" s="1560">
        <f t="shared" si="2"/>
        <v>0</v>
      </c>
      <c r="F28" s="1813">
        <f t="shared" si="3"/>
        <v>0</v>
      </c>
      <c r="G28" s="1814">
        <f t="shared" si="4"/>
        <v>0</v>
      </c>
    </row>
    <row r="29" spans="1:8">
      <c r="A29" s="1673"/>
      <c r="B29" s="1867"/>
      <c r="C29" s="1674"/>
      <c r="D29" s="1865"/>
      <c r="E29" s="1560">
        <f t="shared" si="2"/>
        <v>0</v>
      </c>
      <c r="F29" s="1813">
        <f t="shared" si="3"/>
        <v>0</v>
      </c>
      <c r="G29" s="1814">
        <f t="shared" si="4"/>
        <v>0</v>
      </c>
    </row>
    <row r="30" spans="1:8">
      <c r="A30" s="1673"/>
      <c r="B30" s="1867"/>
      <c r="C30" s="1674"/>
      <c r="D30" s="1865"/>
      <c r="E30" s="1560">
        <f t="shared" si="2"/>
        <v>0</v>
      </c>
      <c r="F30" s="1813">
        <f t="shared" si="3"/>
        <v>0</v>
      </c>
      <c r="G30" s="1814">
        <f t="shared" si="4"/>
        <v>0</v>
      </c>
    </row>
    <row r="31" spans="1:8">
      <c r="A31" s="1673"/>
      <c r="B31" s="1867"/>
      <c r="C31" s="1674"/>
      <c r="D31" s="1865"/>
      <c r="E31" s="1560">
        <f t="shared" si="2"/>
        <v>0</v>
      </c>
      <c r="F31" s="1813">
        <f t="shared" si="3"/>
        <v>0</v>
      </c>
      <c r="G31" s="1814">
        <f t="shared" si="4"/>
        <v>0</v>
      </c>
    </row>
    <row r="32" spans="1:8">
      <c r="A32" s="1673"/>
      <c r="B32" s="1867"/>
      <c r="C32" s="1674"/>
      <c r="D32" s="1865"/>
      <c r="E32" s="1560">
        <f t="shared" si="2"/>
        <v>0</v>
      </c>
      <c r="F32" s="1813">
        <f t="shared" si="3"/>
        <v>0</v>
      </c>
      <c r="G32" s="1814">
        <f t="shared" si="4"/>
        <v>0</v>
      </c>
    </row>
    <row r="33" spans="1:7">
      <c r="A33" s="1673"/>
      <c r="B33" s="1867"/>
      <c r="C33" s="1674"/>
      <c r="D33" s="1865"/>
      <c r="E33" s="1560">
        <f t="shared" si="2"/>
        <v>0</v>
      </c>
      <c r="F33" s="1813">
        <f t="shared" si="3"/>
        <v>0</v>
      </c>
      <c r="G33" s="1814">
        <f t="shared" si="4"/>
        <v>0</v>
      </c>
    </row>
    <row r="34" spans="1:7">
      <c r="A34" s="1673"/>
      <c r="B34" s="1867"/>
      <c r="C34" s="1674"/>
      <c r="D34" s="1865"/>
      <c r="E34" s="1560">
        <f t="shared" si="2"/>
        <v>0</v>
      </c>
      <c r="F34" s="1813">
        <f t="shared" si="3"/>
        <v>0</v>
      </c>
      <c r="G34" s="1814">
        <f t="shared" si="4"/>
        <v>0</v>
      </c>
    </row>
    <row r="35" spans="1:7">
      <c r="A35" s="1673"/>
      <c r="B35" s="1867"/>
      <c r="C35" s="1674"/>
      <c r="D35" s="1865"/>
      <c r="E35" s="1560">
        <f t="shared" si="2"/>
        <v>0</v>
      </c>
      <c r="F35" s="1813">
        <f t="shared" si="3"/>
        <v>0</v>
      </c>
      <c r="G35" s="1814">
        <f t="shared" si="4"/>
        <v>0</v>
      </c>
    </row>
    <row r="36" spans="1:7">
      <c r="A36" s="1673"/>
      <c r="B36" s="1867"/>
      <c r="C36" s="1674"/>
      <c r="D36" s="1865"/>
      <c r="E36" s="1560">
        <f t="shared" si="2"/>
        <v>0</v>
      </c>
      <c r="F36" s="1813">
        <f t="shared" si="3"/>
        <v>0</v>
      </c>
      <c r="G36" s="1814">
        <f t="shared" si="4"/>
        <v>0</v>
      </c>
    </row>
    <row r="37" spans="1:7">
      <c r="A37" s="1673"/>
      <c r="B37" s="1867"/>
      <c r="C37" s="1674"/>
      <c r="D37" s="1865"/>
      <c r="E37" s="1560">
        <f t="shared" si="2"/>
        <v>0</v>
      </c>
      <c r="F37" s="1813">
        <f t="shared" si="3"/>
        <v>0</v>
      </c>
      <c r="G37" s="1814">
        <f t="shared" si="4"/>
        <v>0</v>
      </c>
    </row>
    <row r="38" spans="1:7">
      <c r="A38" s="1673"/>
      <c r="B38" s="1687"/>
      <c r="C38" s="1674"/>
      <c r="D38" s="1865"/>
      <c r="E38" s="1560">
        <f t="shared" si="2"/>
        <v>0</v>
      </c>
      <c r="F38" s="1813">
        <f t="shared" si="3"/>
        <v>0</v>
      </c>
      <c r="G38" s="1814">
        <f t="shared" si="4"/>
        <v>0</v>
      </c>
    </row>
    <row r="39" spans="1:7">
      <c r="A39" s="1673"/>
      <c r="B39" s="1687"/>
      <c r="C39" s="1674"/>
      <c r="D39" s="1865"/>
      <c r="E39" s="1560">
        <f t="shared" si="2"/>
        <v>0</v>
      </c>
      <c r="F39" s="1813">
        <f t="shared" si="3"/>
        <v>0</v>
      </c>
      <c r="G39" s="1814">
        <f t="shared" si="4"/>
        <v>0</v>
      </c>
    </row>
    <row r="40" spans="1:7">
      <c r="A40" s="1673"/>
      <c r="B40" s="1687"/>
      <c r="C40" s="1674"/>
      <c r="D40" s="1865"/>
      <c r="E40" s="1560">
        <f t="shared" si="2"/>
        <v>0</v>
      </c>
      <c r="F40" s="1813">
        <f t="shared" si="3"/>
        <v>0</v>
      </c>
      <c r="G40" s="1814">
        <f t="shared" si="4"/>
        <v>0</v>
      </c>
    </row>
    <row r="41" spans="1:7">
      <c r="A41" s="1673"/>
      <c r="B41" s="1687"/>
      <c r="C41" s="1674"/>
      <c r="D41" s="1865"/>
      <c r="E41" s="1560">
        <f t="shared" si="2"/>
        <v>0</v>
      </c>
      <c r="F41" s="1813">
        <f t="shared" si="3"/>
        <v>0</v>
      </c>
      <c r="G41" s="1814">
        <f t="shared" si="4"/>
        <v>0</v>
      </c>
    </row>
    <row r="42" spans="1:7">
      <c r="A42" s="1673"/>
      <c r="B42" s="1687"/>
      <c r="C42" s="1674"/>
      <c r="D42" s="1865"/>
      <c r="E42" s="1560">
        <f t="shared" si="2"/>
        <v>0</v>
      </c>
      <c r="F42" s="1813">
        <f t="shared" si="3"/>
        <v>0</v>
      </c>
      <c r="G42" s="1814">
        <f t="shared" si="4"/>
        <v>0</v>
      </c>
    </row>
    <row r="43" spans="1:7">
      <c r="A43" s="1673"/>
      <c r="B43" s="1687"/>
      <c r="C43" s="1674"/>
      <c r="D43" s="1865"/>
      <c r="E43" s="1560">
        <f t="shared" si="2"/>
        <v>0</v>
      </c>
      <c r="F43" s="1813">
        <f t="shared" si="3"/>
        <v>0</v>
      </c>
      <c r="G43" s="1814">
        <f t="shared" si="4"/>
        <v>0</v>
      </c>
    </row>
    <row r="44" spans="1:7">
      <c r="A44" s="1673"/>
      <c r="B44" s="1687"/>
      <c r="C44" s="1674"/>
      <c r="D44" s="1865"/>
      <c r="E44" s="1560">
        <f t="shared" si="2"/>
        <v>0</v>
      </c>
      <c r="F44" s="1813">
        <f t="shared" si="3"/>
        <v>0</v>
      </c>
      <c r="G44" s="1814">
        <f t="shared" si="4"/>
        <v>0</v>
      </c>
    </row>
    <row r="45" spans="1:7">
      <c r="A45" s="1673"/>
      <c r="B45" s="1687"/>
      <c r="C45" s="1674"/>
      <c r="D45" s="1865"/>
      <c r="E45" s="1560">
        <f t="shared" si="2"/>
        <v>0</v>
      </c>
      <c r="F45" s="1813">
        <f t="shared" si="3"/>
        <v>0</v>
      </c>
      <c r="G45" s="1814">
        <f t="shared" si="4"/>
        <v>0</v>
      </c>
    </row>
    <row r="46" spans="1:7">
      <c r="A46" s="1673"/>
      <c r="B46" s="1687"/>
      <c r="C46" s="1674"/>
      <c r="D46" s="1865"/>
      <c r="E46" s="1560">
        <f t="shared" si="2"/>
        <v>0</v>
      </c>
      <c r="F46" s="1813">
        <f t="shared" si="3"/>
        <v>0</v>
      </c>
      <c r="G46" s="1814">
        <f t="shared" si="4"/>
        <v>0</v>
      </c>
    </row>
    <row r="47" spans="1:7">
      <c r="A47" s="1673"/>
      <c r="B47" s="1687"/>
      <c r="C47" s="1674"/>
      <c r="D47" s="1865"/>
      <c r="E47" s="1560">
        <f t="shared" si="2"/>
        <v>0</v>
      </c>
      <c r="F47" s="1813">
        <f t="shared" si="3"/>
        <v>0</v>
      </c>
      <c r="G47" s="1814">
        <f t="shared" si="4"/>
        <v>0</v>
      </c>
    </row>
    <row r="48" spans="1:7">
      <c r="A48" s="1673"/>
      <c r="B48" s="1687"/>
      <c r="C48" s="1674"/>
      <c r="D48" s="1865"/>
      <c r="E48" s="1560">
        <f t="shared" si="2"/>
        <v>0</v>
      </c>
      <c r="F48" s="1813">
        <f t="shared" si="3"/>
        <v>0</v>
      </c>
      <c r="G48" s="1814">
        <f t="shared" si="4"/>
        <v>0</v>
      </c>
    </row>
    <row r="49" spans="1:7">
      <c r="A49" s="1673"/>
      <c r="B49" s="1687"/>
      <c r="C49" s="1674"/>
      <c r="D49" s="1865"/>
      <c r="E49" s="1560">
        <f t="shared" si="2"/>
        <v>0</v>
      </c>
      <c r="F49" s="1813">
        <f t="shared" si="3"/>
        <v>0</v>
      </c>
      <c r="G49" s="1814">
        <f t="shared" si="4"/>
        <v>0</v>
      </c>
    </row>
    <row r="50" spans="1:7">
      <c r="A50" s="1673"/>
      <c r="B50" s="1687"/>
      <c r="C50" s="1674"/>
      <c r="D50" s="1865"/>
      <c r="E50" s="1560">
        <f t="shared" si="2"/>
        <v>0</v>
      </c>
      <c r="F50" s="1813">
        <f t="shared" si="3"/>
        <v>0</v>
      </c>
      <c r="G50" s="1814">
        <f t="shared" si="4"/>
        <v>0</v>
      </c>
    </row>
    <row r="51" spans="1:7">
      <c r="A51" s="1673"/>
      <c r="B51" s="1687"/>
      <c r="C51" s="1674"/>
      <c r="D51" s="1865"/>
      <c r="E51" s="1560">
        <f t="shared" si="2"/>
        <v>0</v>
      </c>
      <c r="F51" s="1813">
        <f t="shared" si="3"/>
        <v>0</v>
      </c>
      <c r="G51" s="1814">
        <f t="shared" si="4"/>
        <v>0</v>
      </c>
    </row>
    <row r="52" spans="1:7">
      <c r="A52" s="1673"/>
      <c r="B52" s="1687"/>
      <c r="C52" s="1674"/>
      <c r="D52" s="1865"/>
      <c r="E52" s="1560">
        <f t="shared" si="2"/>
        <v>0</v>
      </c>
      <c r="F52" s="1813">
        <f t="shared" si="3"/>
        <v>0</v>
      </c>
      <c r="G52" s="1814">
        <f t="shared" si="4"/>
        <v>0</v>
      </c>
    </row>
    <row r="53" spans="1:7">
      <c r="A53" s="1673"/>
      <c r="B53" s="1687"/>
      <c r="C53" s="1674"/>
      <c r="D53" s="1865"/>
      <c r="E53" s="1560">
        <f t="shared" si="2"/>
        <v>0</v>
      </c>
      <c r="F53" s="1813">
        <f t="shared" si="3"/>
        <v>0</v>
      </c>
      <c r="G53" s="1814">
        <f t="shared" si="4"/>
        <v>0</v>
      </c>
    </row>
    <row r="54" spans="1:7">
      <c r="A54" s="1673"/>
      <c r="B54" s="1687"/>
      <c r="C54" s="1674"/>
      <c r="D54" s="1865"/>
      <c r="E54" s="1560">
        <f t="shared" si="2"/>
        <v>0</v>
      </c>
      <c r="F54" s="1813">
        <f t="shared" si="3"/>
        <v>0</v>
      </c>
      <c r="G54" s="1814">
        <f t="shared" si="4"/>
        <v>0</v>
      </c>
    </row>
    <row r="55" spans="1:7">
      <c r="A55" s="1673"/>
      <c r="B55" s="1687"/>
      <c r="C55" s="1674"/>
      <c r="D55" s="1865"/>
      <c r="E55" s="1560">
        <f t="shared" si="2"/>
        <v>0</v>
      </c>
      <c r="F55" s="1813">
        <f t="shared" si="3"/>
        <v>0</v>
      </c>
      <c r="G55" s="1814">
        <f t="shared" si="4"/>
        <v>0</v>
      </c>
    </row>
    <row r="56" spans="1:7">
      <c r="A56" s="1673"/>
      <c r="B56" s="1687"/>
      <c r="C56" s="1674"/>
      <c r="D56" s="1865"/>
      <c r="E56" s="1560">
        <f t="shared" si="2"/>
        <v>0</v>
      </c>
      <c r="F56" s="1813">
        <f t="shared" si="3"/>
        <v>0</v>
      </c>
      <c r="G56" s="1814">
        <f t="shared" si="4"/>
        <v>0</v>
      </c>
    </row>
    <row r="57" spans="1:7">
      <c r="A57" s="1673"/>
      <c r="B57" s="1687"/>
      <c r="C57" s="1674"/>
      <c r="D57" s="1865"/>
      <c r="E57" s="1560">
        <f t="shared" si="2"/>
        <v>0</v>
      </c>
      <c r="F57" s="1813">
        <f t="shared" si="3"/>
        <v>0</v>
      </c>
      <c r="G57" s="1814">
        <f t="shared" si="4"/>
        <v>0</v>
      </c>
    </row>
    <row r="58" spans="1:7">
      <c r="A58" s="1673"/>
      <c r="B58" s="1687"/>
      <c r="C58" s="1674"/>
      <c r="D58" s="1865"/>
      <c r="E58" s="1560">
        <f t="shared" si="2"/>
        <v>0</v>
      </c>
      <c r="F58" s="1813">
        <f t="shared" si="3"/>
        <v>0</v>
      </c>
      <c r="G58" s="1814">
        <f t="shared" si="4"/>
        <v>0</v>
      </c>
    </row>
    <row r="59" spans="1:7">
      <c r="A59" s="1673"/>
      <c r="B59" s="1687"/>
      <c r="C59" s="1674"/>
      <c r="D59" s="1865"/>
      <c r="E59" s="1560">
        <f t="shared" si="2"/>
        <v>0</v>
      </c>
      <c r="F59" s="1813">
        <f t="shared" si="3"/>
        <v>0</v>
      </c>
      <c r="G59" s="1814">
        <f t="shared" si="4"/>
        <v>0</v>
      </c>
    </row>
    <row r="60" spans="1:7">
      <c r="A60" s="1673"/>
      <c r="B60" s="1687"/>
      <c r="C60" s="1674"/>
      <c r="D60" s="1865"/>
      <c r="E60" s="1560">
        <f t="shared" si="2"/>
        <v>0</v>
      </c>
      <c r="F60" s="1813">
        <f t="shared" si="3"/>
        <v>0</v>
      </c>
      <c r="G60" s="1814">
        <f t="shared" si="4"/>
        <v>0</v>
      </c>
    </row>
    <row r="61" spans="1:7">
      <c r="A61" s="1673"/>
      <c r="B61" s="1687"/>
      <c r="C61" s="1674"/>
      <c r="D61" s="1865"/>
      <c r="E61" s="1560">
        <f t="shared" si="2"/>
        <v>0</v>
      </c>
      <c r="F61" s="1813">
        <f t="shared" si="3"/>
        <v>0</v>
      </c>
      <c r="G61" s="1814">
        <f t="shared" si="4"/>
        <v>0</v>
      </c>
    </row>
    <row r="62" spans="1:7">
      <c r="A62" s="1673"/>
      <c r="B62" s="1687"/>
      <c r="C62" s="1674"/>
      <c r="D62" s="1865"/>
      <c r="E62" s="1560">
        <f t="shared" si="2"/>
        <v>0</v>
      </c>
      <c r="F62" s="1813">
        <f t="shared" si="3"/>
        <v>0</v>
      </c>
      <c r="G62" s="1814">
        <f t="shared" si="4"/>
        <v>0</v>
      </c>
    </row>
    <row r="63" spans="1:7">
      <c r="A63" s="1673"/>
      <c r="B63" s="1687"/>
      <c r="C63" s="1674"/>
      <c r="D63" s="1865"/>
      <c r="E63" s="1560">
        <f t="shared" si="2"/>
        <v>0</v>
      </c>
      <c r="F63" s="1813">
        <f t="shared" si="3"/>
        <v>0</v>
      </c>
      <c r="G63" s="1814">
        <f t="shared" si="4"/>
        <v>0</v>
      </c>
    </row>
    <row r="64" spans="1:7">
      <c r="A64" s="1675"/>
      <c r="B64" s="1687"/>
      <c r="C64" s="1676"/>
      <c r="D64" s="1865"/>
      <c r="E64" s="1560">
        <f t="shared" si="2"/>
        <v>0</v>
      </c>
      <c r="F64" s="1813">
        <f t="shared" si="3"/>
        <v>0</v>
      </c>
      <c r="G64" s="1814">
        <f t="shared" si="4"/>
        <v>0</v>
      </c>
    </row>
    <row r="65" spans="1:7">
      <c r="A65" s="1673"/>
      <c r="B65" s="1687"/>
      <c r="C65" s="1674"/>
      <c r="D65" s="1865"/>
      <c r="E65" s="1560">
        <f t="shared" si="2"/>
        <v>0</v>
      </c>
      <c r="F65" s="1813">
        <f t="shared" si="3"/>
        <v>0</v>
      </c>
      <c r="G65" s="1814">
        <f t="shared" si="4"/>
        <v>0</v>
      </c>
    </row>
    <row r="66" spans="1:7">
      <c r="A66" s="1673"/>
      <c r="B66" s="1687"/>
      <c r="C66" s="1674"/>
      <c r="D66" s="1865"/>
      <c r="E66" s="1560">
        <f t="shared" si="2"/>
        <v>0</v>
      </c>
      <c r="F66" s="1813">
        <f t="shared" si="3"/>
        <v>0</v>
      </c>
      <c r="G66" s="1814">
        <f t="shared" si="4"/>
        <v>0</v>
      </c>
    </row>
    <row r="67" spans="1:7">
      <c r="A67" s="1673"/>
      <c r="B67" s="1687"/>
      <c r="C67" s="1674"/>
      <c r="D67" s="1865"/>
      <c r="E67" s="1560">
        <f t="shared" si="2"/>
        <v>0</v>
      </c>
      <c r="F67" s="1813">
        <f t="shared" si="3"/>
        <v>0</v>
      </c>
      <c r="G67" s="1814">
        <f t="shared" si="4"/>
        <v>0</v>
      </c>
    </row>
    <row r="68" spans="1:7">
      <c r="A68" s="1673"/>
      <c r="B68" s="1687"/>
      <c r="C68" s="1674"/>
      <c r="D68" s="1865"/>
      <c r="E68" s="1560">
        <f t="shared" si="2"/>
        <v>0</v>
      </c>
      <c r="F68" s="1813">
        <f t="shared" si="3"/>
        <v>0</v>
      </c>
      <c r="G68" s="1814">
        <f t="shared" si="4"/>
        <v>0</v>
      </c>
    </row>
    <row r="69" spans="1:7">
      <c r="A69" s="1673"/>
      <c r="B69" s="1687"/>
      <c r="C69" s="1674"/>
      <c r="D69" s="1865"/>
      <c r="E69" s="1560">
        <f t="shared" si="2"/>
        <v>0</v>
      </c>
      <c r="F69" s="1813">
        <f t="shared" si="3"/>
        <v>0</v>
      </c>
      <c r="G69" s="1814">
        <f t="shared" si="4"/>
        <v>0</v>
      </c>
    </row>
    <row r="70" spans="1:7">
      <c r="A70" s="1673"/>
      <c r="B70" s="1687"/>
      <c r="C70" s="1674"/>
      <c r="D70" s="1865"/>
      <c r="E70" s="1560">
        <f t="shared" si="2"/>
        <v>0</v>
      </c>
      <c r="F70" s="1813">
        <f t="shared" si="3"/>
        <v>0</v>
      </c>
      <c r="G70" s="1814">
        <f t="shared" si="4"/>
        <v>0</v>
      </c>
    </row>
    <row r="71" spans="1:7">
      <c r="A71" s="1673"/>
      <c r="B71" s="1687"/>
      <c r="C71" s="1674"/>
      <c r="D71" s="1865"/>
      <c r="E71" s="1560">
        <f t="shared" si="2"/>
        <v>0</v>
      </c>
      <c r="F71" s="1813">
        <f t="shared" si="3"/>
        <v>0</v>
      </c>
      <c r="G71" s="1814">
        <f t="shared" si="4"/>
        <v>0</v>
      </c>
    </row>
    <row r="72" spans="1:7">
      <c r="A72" s="1673"/>
      <c r="B72" s="1687"/>
      <c r="C72" s="1674"/>
      <c r="D72" s="1865"/>
      <c r="E72" s="1560">
        <f t="shared" si="2"/>
        <v>0</v>
      </c>
      <c r="F72" s="1813">
        <f t="shared" si="3"/>
        <v>0</v>
      </c>
      <c r="G72" s="1814">
        <f t="shared" si="4"/>
        <v>0</v>
      </c>
    </row>
    <row r="73" spans="1:7">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c r="A74" s="1673"/>
      <c r="B74" s="1687"/>
      <c r="C74" s="1674"/>
      <c r="D74" s="1865"/>
      <c r="E74" s="1560">
        <f t="shared" si="5"/>
        <v>0</v>
      </c>
      <c r="F74" s="1813">
        <f t="shared" si="6"/>
        <v>0</v>
      </c>
      <c r="G74" s="1814">
        <f t="shared" si="7"/>
        <v>0</v>
      </c>
    </row>
    <row r="75" spans="1:7">
      <c r="A75" s="1673"/>
      <c r="B75" s="1687"/>
      <c r="C75" s="1674"/>
      <c r="D75" s="1865"/>
      <c r="E75" s="1560">
        <f t="shared" si="5"/>
        <v>0</v>
      </c>
      <c r="F75" s="1813">
        <f t="shared" si="6"/>
        <v>0</v>
      </c>
      <c r="G75" s="1814">
        <f t="shared" si="7"/>
        <v>0</v>
      </c>
    </row>
    <row r="76" spans="1:7">
      <c r="A76" s="1673"/>
      <c r="B76" s="1687"/>
      <c r="C76" s="1674"/>
      <c r="D76" s="1865"/>
      <c r="E76" s="1560">
        <f t="shared" si="5"/>
        <v>0</v>
      </c>
      <c r="F76" s="1813">
        <f t="shared" si="6"/>
        <v>0</v>
      </c>
      <c r="G76" s="1814">
        <f t="shared" si="7"/>
        <v>0</v>
      </c>
    </row>
    <row r="77" spans="1:7">
      <c r="A77" s="1673"/>
      <c r="B77" s="1687"/>
      <c r="C77" s="1674"/>
      <c r="D77" s="1865"/>
      <c r="E77" s="1560">
        <f t="shared" si="5"/>
        <v>0</v>
      </c>
      <c r="F77" s="1813">
        <f t="shared" si="6"/>
        <v>0</v>
      </c>
      <c r="G77" s="1814">
        <f t="shared" si="7"/>
        <v>0</v>
      </c>
    </row>
    <row r="78" spans="1:7">
      <c r="A78" s="1673"/>
      <c r="B78" s="1687"/>
      <c r="C78" s="1674"/>
      <c r="D78" s="1865"/>
      <c r="E78" s="1560">
        <f t="shared" si="5"/>
        <v>0</v>
      </c>
      <c r="F78" s="1813">
        <f t="shared" si="6"/>
        <v>0</v>
      </c>
      <c r="G78" s="1814">
        <f t="shared" si="7"/>
        <v>0</v>
      </c>
    </row>
    <row r="79" spans="1:7">
      <c r="A79" s="1673"/>
      <c r="B79" s="1687"/>
      <c r="C79" s="1674"/>
      <c r="D79" s="1865"/>
      <c r="E79" s="1560">
        <f t="shared" si="5"/>
        <v>0</v>
      </c>
      <c r="F79" s="1813">
        <f t="shared" si="6"/>
        <v>0</v>
      </c>
      <c r="G79" s="1814">
        <f t="shared" si="7"/>
        <v>0</v>
      </c>
    </row>
    <row r="80" spans="1:7">
      <c r="A80" s="1673"/>
      <c r="B80" s="1687"/>
      <c r="C80" s="1674"/>
      <c r="D80" s="1865"/>
      <c r="E80" s="1560">
        <f t="shared" si="5"/>
        <v>0</v>
      </c>
      <c r="F80" s="1813">
        <f t="shared" si="6"/>
        <v>0</v>
      </c>
      <c r="G80" s="1814">
        <f t="shared" si="7"/>
        <v>0</v>
      </c>
    </row>
    <row r="81" spans="1:7">
      <c r="A81" s="1673"/>
      <c r="B81" s="1687"/>
      <c r="C81" s="1674"/>
      <c r="D81" s="1865"/>
      <c r="E81" s="1560">
        <f t="shared" si="5"/>
        <v>0</v>
      </c>
      <c r="F81" s="1813">
        <f t="shared" si="6"/>
        <v>0</v>
      </c>
      <c r="G81" s="1814">
        <f t="shared" si="7"/>
        <v>0</v>
      </c>
    </row>
    <row r="82" spans="1:7">
      <c r="A82" s="1673"/>
      <c r="B82" s="1687"/>
      <c r="C82" s="1674"/>
      <c r="D82" s="1865"/>
      <c r="E82" s="1560">
        <f t="shared" si="5"/>
        <v>0</v>
      </c>
      <c r="F82" s="1813">
        <f t="shared" si="6"/>
        <v>0</v>
      </c>
      <c r="G82" s="1814">
        <f t="shared" si="7"/>
        <v>0</v>
      </c>
    </row>
    <row r="83" spans="1:7">
      <c r="A83" s="1673"/>
      <c r="B83" s="1687"/>
      <c r="C83" s="1674"/>
      <c r="D83" s="1865"/>
      <c r="E83" s="1560">
        <f t="shared" si="5"/>
        <v>0</v>
      </c>
      <c r="F83" s="1813">
        <f t="shared" si="6"/>
        <v>0</v>
      </c>
      <c r="G83" s="1814">
        <f t="shared" si="7"/>
        <v>0</v>
      </c>
    </row>
    <row r="84" spans="1:7">
      <c r="A84" s="1673"/>
      <c r="B84" s="1687"/>
      <c r="C84" s="1674"/>
      <c r="D84" s="1865"/>
      <c r="E84" s="1560">
        <f t="shared" si="5"/>
        <v>0</v>
      </c>
      <c r="F84" s="1813">
        <f t="shared" si="6"/>
        <v>0</v>
      </c>
      <c r="G84" s="1814">
        <f t="shared" si="7"/>
        <v>0</v>
      </c>
    </row>
    <row r="85" spans="1:7">
      <c r="A85" s="1673"/>
      <c r="B85" s="1687"/>
      <c r="C85" s="1674"/>
      <c r="D85" s="1865"/>
      <c r="E85" s="1560">
        <f t="shared" si="2"/>
        <v>0</v>
      </c>
      <c r="F85" s="1813">
        <f t="shared" si="3"/>
        <v>0</v>
      </c>
      <c r="G85" s="1814">
        <f t="shared" si="4"/>
        <v>0</v>
      </c>
    </row>
    <row r="86" spans="1:7">
      <c r="A86" s="1673"/>
      <c r="B86" s="1687"/>
      <c r="C86" s="1674"/>
      <c r="D86" s="1865"/>
      <c r="E86" s="1560">
        <f t="shared" si="2"/>
        <v>0</v>
      </c>
      <c r="F86" s="1813">
        <f t="shared" si="3"/>
        <v>0</v>
      </c>
      <c r="G86" s="1814">
        <f t="shared" si="4"/>
        <v>0</v>
      </c>
    </row>
    <row r="87" spans="1:7">
      <c r="A87" s="1673"/>
      <c r="B87" s="1687"/>
      <c r="C87" s="1674"/>
      <c r="D87" s="1865"/>
      <c r="E87" s="1560">
        <f t="shared" si="2"/>
        <v>0</v>
      </c>
      <c r="F87" s="1813">
        <f t="shared" si="3"/>
        <v>0</v>
      </c>
      <c r="G87" s="1814">
        <f t="shared" si="4"/>
        <v>0</v>
      </c>
    </row>
    <row r="88" spans="1:7">
      <c r="A88" s="1673"/>
      <c r="B88" s="1687"/>
      <c r="C88" s="1674"/>
      <c r="D88" s="1865"/>
      <c r="E88" s="1560">
        <f t="shared" si="2"/>
        <v>0</v>
      </c>
      <c r="F88" s="1813">
        <f t="shared" si="3"/>
        <v>0</v>
      </c>
      <c r="G88" s="1814">
        <f t="shared" si="4"/>
        <v>0</v>
      </c>
    </row>
    <row r="89" spans="1:7">
      <c r="A89" s="1673"/>
      <c r="B89" s="1687"/>
      <c r="C89" s="1674"/>
      <c r="D89" s="1865"/>
      <c r="E89" s="1560">
        <f t="shared" si="2"/>
        <v>0</v>
      </c>
      <c r="F89" s="1813">
        <f t="shared" si="3"/>
        <v>0</v>
      </c>
      <c r="G89" s="1814">
        <f t="shared" si="4"/>
        <v>0</v>
      </c>
    </row>
    <row r="90" spans="1:7">
      <c r="A90" s="1673"/>
      <c r="B90" s="1687"/>
      <c r="C90" s="1674"/>
      <c r="D90" s="1865"/>
      <c r="E90" s="1560">
        <f t="shared" si="2"/>
        <v>0</v>
      </c>
      <c r="F90" s="1813">
        <f t="shared" si="3"/>
        <v>0</v>
      </c>
      <c r="G90" s="1814">
        <f t="shared" si="4"/>
        <v>0</v>
      </c>
    </row>
    <row r="91" spans="1:7">
      <c r="A91" s="1673"/>
      <c r="B91" s="1687"/>
      <c r="C91" s="1674"/>
      <c r="D91" s="1865"/>
      <c r="E91" s="1560">
        <f t="shared" si="2"/>
        <v>0</v>
      </c>
      <c r="F91" s="1813">
        <f t="shared" si="3"/>
        <v>0</v>
      </c>
      <c r="G91" s="1814">
        <f t="shared" si="4"/>
        <v>0</v>
      </c>
    </row>
    <row r="92" spans="1:7">
      <c r="A92" s="1673"/>
      <c r="B92" s="1687"/>
      <c r="C92" s="1674"/>
      <c r="D92" s="1865"/>
      <c r="E92" s="1560">
        <f t="shared" si="2"/>
        <v>0</v>
      </c>
      <c r="F92" s="1813">
        <f t="shared" si="3"/>
        <v>0</v>
      </c>
      <c r="G92" s="1814">
        <f t="shared" si="4"/>
        <v>0</v>
      </c>
    </row>
    <row r="93" spans="1:7">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c r="A94" s="1673"/>
      <c r="B94" s="1687"/>
      <c r="C94" s="1674"/>
      <c r="D94" s="1865"/>
      <c r="E94" s="1560">
        <f t="shared" si="2"/>
        <v>0</v>
      </c>
      <c r="F94" s="1813">
        <f t="shared" si="3"/>
        <v>0</v>
      </c>
      <c r="G94" s="1814">
        <f t="shared" si="4"/>
        <v>0</v>
      </c>
    </row>
    <row r="95" spans="1:7">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c r="A96" s="1673"/>
      <c r="B96" s="1687"/>
      <c r="C96" s="1674"/>
      <c r="D96" s="1865"/>
      <c r="E96" s="1560">
        <f t="shared" si="11"/>
        <v>0</v>
      </c>
      <c r="F96" s="1813">
        <f t="shared" si="12"/>
        <v>0</v>
      </c>
      <c r="G96" s="1814">
        <f t="shared" si="13"/>
        <v>0</v>
      </c>
    </row>
    <row r="97" spans="1:7">
      <c r="A97" s="1673"/>
      <c r="B97" s="1687"/>
      <c r="C97" s="1674"/>
      <c r="D97" s="1865"/>
      <c r="E97" s="1560">
        <f t="shared" si="11"/>
        <v>0</v>
      </c>
      <c r="F97" s="1813">
        <f t="shared" si="12"/>
        <v>0</v>
      </c>
      <c r="G97" s="1814">
        <f t="shared" si="13"/>
        <v>0</v>
      </c>
    </row>
    <row r="98" spans="1:7">
      <c r="A98" s="1673"/>
      <c r="B98" s="1687"/>
      <c r="C98" s="1674"/>
      <c r="D98" s="1865"/>
      <c r="E98" s="1560">
        <f t="shared" si="11"/>
        <v>0</v>
      </c>
      <c r="F98" s="1813">
        <f t="shared" si="12"/>
        <v>0</v>
      </c>
      <c r="G98" s="1814">
        <f t="shared" si="13"/>
        <v>0</v>
      </c>
    </row>
    <row r="99" spans="1:7">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c r="A101" s="1673"/>
      <c r="B101" s="1687"/>
      <c r="C101" s="1674"/>
      <c r="D101" s="1865"/>
      <c r="E101" s="1560">
        <f t="shared" si="17"/>
        <v>0</v>
      </c>
      <c r="F101" s="1813">
        <f t="shared" si="18"/>
        <v>0</v>
      </c>
      <c r="G101" s="1814">
        <f t="shared" si="19"/>
        <v>0</v>
      </c>
    </row>
    <row r="102" spans="1:7">
      <c r="A102" s="1673"/>
      <c r="B102" s="1687"/>
      <c r="C102" s="1674"/>
      <c r="D102" s="1865"/>
      <c r="E102" s="1560">
        <f t="shared" si="17"/>
        <v>0</v>
      </c>
      <c r="F102" s="1813">
        <f t="shared" si="18"/>
        <v>0</v>
      </c>
      <c r="G102" s="1814">
        <f t="shared" si="19"/>
        <v>0</v>
      </c>
    </row>
    <row r="103" spans="1:7">
      <c r="A103" s="1673"/>
      <c r="B103" s="1687"/>
      <c r="C103" s="1674"/>
      <c r="D103" s="1865"/>
      <c r="E103" s="1560">
        <f t="shared" si="17"/>
        <v>0</v>
      </c>
      <c r="F103" s="1813">
        <f t="shared" si="18"/>
        <v>0</v>
      </c>
      <c r="G103" s="1814">
        <f t="shared" si="19"/>
        <v>0</v>
      </c>
    </row>
    <row r="104" spans="1:7">
      <c r="A104" s="1673"/>
      <c r="B104" s="1687"/>
      <c r="C104" s="1674"/>
      <c r="D104" s="1865"/>
      <c r="E104" s="1560">
        <f t="shared" si="17"/>
        <v>0</v>
      </c>
      <c r="F104" s="1813">
        <f t="shared" si="18"/>
        <v>0</v>
      </c>
      <c r="G104" s="1814">
        <f t="shared" si="19"/>
        <v>0</v>
      </c>
    </row>
    <row r="105" spans="1:7">
      <c r="A105" s="1673"/>
      <c r="B105" s="1687"/>
      <c r="C105" s="1674"/>
      <c r="D105" s="1865"/>
      <c r="E105" s="1560">
        <f t="shared" si="17"/>
        <v>0</v>
      </c>
      <c r="F105" s="1813">
        <f t="shared" si="18"/>
        <v>0</v>
      </c>
      <c r="G105" s="1814">
        <f t="shared" si="19"/>
        <v>0</v>
      </c>
    </row>
    <row r="106" spans="1:7">
      <c r="A106" s="1673"/>
      <c r="B106" s="1687"/>
      <c r="C106" s="1674"/>
      <c r="D106" s="1865"/>
      <c r="E106" s="1560">
        <f t="shared" si="17"/>
        <v>0</v>
      </c>
      <c r="F106" s="1813">
        <f t="shared" si="18"/>
        <v>0</v>
      </c>
      <c r="G106" s="1814">
        <f t="shared" si="19"/>
        <v>0</v>
      </c>
    </row>
    <row r="107" spans="1:7">
      <c r="A107" s="1673"/>
      <c r="B107" s="1687"/>
      <c r="C107" s="1674"/>
      <c r="D107" s="1865"/>
      <c r="E107" s="1560">
        <f t="shared" si="17"/>
        <v>0</v>
      </c>
      <c r="F107" s="1813">
        <f t="shared" si="18"/>
        <v>0</v>
      </c>
      <c r="G107" s="1814">
        <f t="shared" si="19"/>
        <v>0</v>
      </c>
    </row>
    <row r="108" spans="1:7">
      <c r="A108" s="1673"/>
      <c r="B108" s="1687"/>
      <c r="C108" s="1674"/>
      <c r="D108" s="1865"/>
      <c r="E108" s="1560">
        <f t="shared" si="17"/>
        <v>0</v>
      </c>
      <c r="F108" s="1813">
        <f t="shared" si="18"/>
        <v>0</v>
      </c>
      <c r="G108" s="1814">
        <f t="shared" si="19"/>
        <v>0</v>
      </c>
    </row>
    <row r="109" spans="1:7">
      <c r="A109" s="1673"/>
      <c r="B109" s="1687"/>
      <c r="C109" s="1674"/>
      <c r="D109" s="1865"/>
      <c r="E109" s="1560">
        <f t="shared" si="17"/>
        <v>0</v>
      </c>
      <c r="F109" s="1813">
        <f t="shared" si="18"/>
        <v>0</v>
      </c>
      <c r="G109" s="1814">
        <f t="shared" si="19"/>
        <v>0</v>
      </c>
    </row>
    <row r="110" spans="1:7">
      <c r="A110" s="1673"/>
      <c r="B110" s="1687"/>
      <c r="C110" s="1674"/>
      <c r="D110" s="1865"/>
      <c r="E110" s="1560">
        <f t="shared" si="17"/>
        <v>0</v>
      </c>
      <c r="F110" s="1813">
        <f t="shared" si="18"/>
        <v>0</v>
      </c>
      <c r="G110" s="1814">
        <f t="shared" si="19"/>
        <v>0</v>
      </c>
    </row>
    <row r="111" spans="1:7">
      <c r="A111" s="1673"/>
      <c r="B111" s="1687"/>
      <c r="C111" s="1674"/>
      <c r="D111" s="1865"/>
      <c r="E111" s="1560">
        <f t="shared" si="17"/>
        <v>0</v>
      </c>
      <c r="F111" s="1813">
        <f t="shared" si="18"/>
        <v>0</v>
      </c>
      <c r="G111" s="1814">
        <f t="shared" si="19"/>
        <v>0</v>
      </c>
    </row>
    <row r="112" spans="1:7">
      <c r="A112" s="1673"/>
      <c r="B112" s="1687"/>
      <c r="C112" s="1674"/>
      <c r="D112" s="1865"/>
      <c r="E112" s="1560">
        <f t="shared" si="17"/>
        <v>0</v>
      </c>
      <c r="F112" s="1813">
        <f t="shared" si="18"/>
        <v>0</v>
      </c>
      <c r="G112" s="1814">
        <f t="shared" si="19"/>
        <v>0</v>
      </c>
    </row>
    <row r="113" spans="1:7">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c r="A114" s="1673"/>
      <c r="B114" s="1687"/>
      <c r="C114" s="1674"/>
      <c r="D114" s="1865"/>
      <c r="E114" s="1560">
        <f t="shared" si="20"/>
        <v>0</v>
      </c>
      <c r="F114" s="1813">
        <f t="shared" si="21"/>
        <v>0</v>
      </c>
      <c r="G114" s="1814">
        <f t="shared" si="22"/>
        <v>0</v>
      </c>
    </row>
    <row r="115" spans="1:7">
      <c r="A115" s="1673"/>
      <c r="B115" s="1687"/>
      <c r="C115" s="1674"/>
      <c r="D115" s="1865"/>
      <c r="E115" s="1560">
        <f t="shared" si="20"/>
        <v>0</v>
      </c>
      <c r="F115" s="1813">
        <f t="shared" si="21"/>
        <v>0</v>
      </c>
      <c r="G115" s="1814">
        <f t="shared" si="22"/>
        <v>0</v>
      </c>
    </row>
    <row r="116" spans="1:7">
      <c r="A116" s="1673"/>
      <c r="B116" s="1687"/>
      <c r="C116" s="1674"/>
      <c r="D116" s="1865"/>
      <c r="E116" s="1560">
        <f t="shared" si="20"/>
        <v>0</v>
      </c>
      <c r="F116" s="1813">
        <f t="shared" si="21"/>
        <v>0</v>
      </c>
      <c r="G116" s="1814">
        <f t="shared" si="22"/>
        <v>0</v>
      </c>
    </row>
    <row r="117" spans="1:7">
      <c r="A117" s="1673"/>
      <c r="B117" s="1687"/>
      <c r="C117" s="1674"/>
      <c r="D117" s="1865"/>
      <c r="E117" s="1560">
        <f t="shared" si="20"/>
        <v>0</v>
      </c>
      <c r="F117" s="1813">
        <f t="shared" si="21"/>
        <v>0</v>
      </c>
      <c r="G117" s="1814">
        <f t="shared" si="22"/>
        <v>0</v>
      </c>
    </row>
    <row r="118" spans="1:7">
      <c r="A118" s="1673"/>
      <c r="B118" s="1687"/>
      <c r="C118" s="1674"/>
      <c r="D118" s="1865"/>
      <c r="E118" s="1560">
        <f t="shared" si="20"/>
        <v>0</v>
      </c>
      <c r="F118" s="1813">
        <f t="shared" si="21"/>
        <v>0</v>
      </c>
      <c r="G118" s="1814">
        <f t="shared" si="22"/>
        <v>0</v>
      </c>
    </row>
    <row r="119" spans="1:7">
      <c r="A119" s="1673"/>
      <c r="B119" s="1687"/>
      <c r="C119" s="1674"/>
      <c r="D119" s="1865"/>
      <c r="E119" s="1560">
        <f t="shared" si="20"/>
        <v>0</v>
      </c>
      <c r="F119" s="1813">
        <f t="shared" si="21"/>
        <v>0</v>
      </c>
      <c r="G119" s="1814">
        <f t="shared" si="22"/>
        <v>0</v>
      </c>
    </row>
    <row r="120" spans="1:7">
      <c r="A120" s="1673"/>
      <c r="B120" s="1687"/>
      <c r="C120" s="1674"/>
      <c r="D120" s="1865"/>
      <c r="E120" s="1560">
        <f t="shared" si="20"/>
        <v>0</v>
      </c>
      <c r="F120" s="1813">
        <f t="shared" si="21"/>
        <v>0</v>
      </c>
      <c r="G120" s="1814">
        <f t="shared" si="22"/>
        <v>0</v>
      </c>
    </row>
    <row r="121" spans="1:7">
      <c r="A121" s="1673"/>
      <c r="B121" s="1687"/>
      <c r="C121" s="1674"/>
      <c r="D121" s="1865"/>
      <c r="E121" s="1560">
        <f t="shared" si="20"/>
        <v>0</v>
      </c>
      <c r="F121" s="1813">
        <f t="shared" si="21"/>
        <v>0</v>
      </c>
      <c r="G121" s="1814">
        <f t="shared" si="22"/>
        <v>0</v>
      </c>
    </row>
    <row r="122" spans="1:7">
      <c r="A122" s="1673"/>
      <c r="B122" s="1687"/>
      <c r="C122" s="1674"/>
      <c r="D122" s="1865"/>
      <c r="E122" s="1560">
        <f t="shared" si="20"/>
        <v>0</v>
      </c>
      <c r="F122" s="1813">
        <f t="shared" si="21"/>
        <v>0</v>
      </c>
      <c r="G122" s="1814">
        <f t="shared" si="22"/>
        <v>0</v>
      </c>
    </row>
    <row r="123" spans="1:7">
      <c r="A123" s="1673"/>
      <c r="B123" s="1687"/>
      <c r="C123" s="1674"/>
      <c r="D123" s="1865"/>
      <c r="E123" s="1560">
        <f t="shared" si="20"/>
        <v>0</v>
      </c>
      <c r="F123" s="1813">
        <f t="shared" si="21"/>
        <v>0</v>
      </c>
      <c r="G123" s="1814">
        <f t="shared" si="22"/>
        <v>0</v>
      </c>
    </row>
    <row r="124" spans="1:7">
      <c r="A124" s="1673"/>
      <c r="B124" s="1687"/>
      <c r="C124" s="1674"/>
      <c r="D124" s="1865"/>
      <c r="E124" s="1560">
        <f t="shared" si="20"/>
        <v>0</v>
      </c>
      <c r="F124" s="1813">
        <f t="shared" si="21"/>
        <v>0</v>
      </c>
      <c r="G124" s="1814">
        <f t="shared" si="22"/>
        <v>0</v>
      </c>
    </row>
    <row r="125" spans="1:7">
      <c r="A125" s="1673"/>
      <c r="B125" s="1687"/>
      <c r="C125" s="1674"/>
      <c r="D125" s="1865"/>
      <c r="E125" s="1560">
        <f t="shared" si="20"/>
        <v>0</v>
      </c>
      <c r="F125" s="1813">
        <f t="shared" si="21"/>
        <v>0</v>
      </c>
      <c r="G125" s="1814">
        <f t="shared" si="22"/>
        <v>0</v>
      </c>
    </row>
    <row r="126" spans="1:7">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c r="A127" s="1673"/>
      <c r="B127" s="1687"/>
      <c r="C127" s="1674"/>
      <c r="D127" s="1865"/>
      <c r="E127" s="1560">
        <f t="shared" si="23"/>
        <v>0</v>
      </c>
      <c r="F127" s="1813">
        <f t="shared" si="24"/>
        <v>0</v>
      </c>
      <c r="G127" s="1814">
        <f t="shared" si="25"/>
        <v>0</v>
      </c>
    </row>
    <row r="128" spans="1:7">
      <c r="A128" s="1673"/>
      <c r="B128" s="1687"/>
      <c r="C128" s="1674"/>
      <c r="D128" s="1865"/>
      <c r="E128" s="1560">
        <f t="shared" si="23"/>
        <v>0</v>
      </c>
      <c r="F128" s="1813">
        <f t="shared" si="24"/>
        <v>0</v>
      </c>
      <c r="G128" s="1814">
        <f t="shared" si="25"/>
        <v>0</v>
      </c>
    </row>
    <row r="129" spans="1:7">
      <c r="A129" s="1673"/>
      <c r="B129" s="1687"/>
      <c r="C129" s="1674"/>
      <c r="D129" s="1865"/>
      <c r="E129" s="1560">
        <f t="shared" si="23"/>
        <v>0</v>
      </c>
      <c r="F129" s="1813">
        <f t="shared" si="24"/>
        <v>0</v>
      </c>
      <c r="G129" s="1814">
        <f t="shared" si="25"/>
        <v>0</v>
      </c>
    </row>
    <row r="130" spans="1:7">
      <c r="A130" s="1673"/>
      <c r="B130" s="1687"/>
      <c r="C130" s="1674"/>
      <c r="D130" s="1865"/>
      <c r="E130" s="1560">
        <f t="shared" si="23"/>
        <v>0</v>
      </c>
      <c r="F130" s="1813">
        <f t="shared" si="24"/>
        <v>0</v>
      </c>
      <c r="G130" s="1814">
        <f t="shared" si="25"/>
        <v>0</v>
      </c>
    </row>
    <row r="131" spans="1:7">
      <c r="A131" s="1673"/>
      <c r="B131" s="1858"/>
      <c r="C131" s="1674"/>
      <c r="D131" s="1865"/>
      <c r="E131" s="1560">
        <f t="shared" si="23"/>
        <v>0</v>
      </c>
      <c r="F131" s="1813">
        <f t="shared" si="24"/>
        <v>0</v>
      </c>
      <c r="G131" s="1814">
        <f t="shared" si="25"/>
        <v>0</v>
      </c>
    </row>
    <row r="132" spans="1:7">
      <c r="A132" s="1673"/>
      <c r="B132" s="1858"/>
      <c r="C132" s="1674"/>
      <c r="D132" s="1865"/>
      <c r="E132" s="1560">
        <f t="shared" si="23"/>
        <v>0</v>
      </c>
      <c r="F132" s="1813">
        <f t="shared" si="24"/>
        <v>0</v>
      </c>
      <c r="G132" s="1814">
        <f t="shared" si="25"/>
        <v>0</v>
      </c>
    </row>
    <row r="133" spans="1:7">
      <c r="A133" s="1673"/>
      <c r="B133" s="1687"/>
      <c r="C133" s="1674"/>
      <c r="D133" s="1865"/>
      <c r="E133" s="1560">
        <f t="shared" si="23"/>
        <v>0</v>
      </c>
      <c r="F133" s="1813">
        <f t="shared" si="24"/>
        <v>0</v>
      </c>
      <c r="G133" s="1814">
        <f t="shared" si="25"/>
        <v>0</v>
      </c>
    </row>
    <row r="134" spans="1:7">
      <c r="A134" s="1673"/>
      <c r="B134" s="1687"/>
      <c r="C134" s="1674"/>
      <c r="D134" s="1865"/>
      <c r="E134" s="1560">
        <f t="shared" si="23"/>
        <v>0</v>
      </c>
      <c r="F134" s="1813">
        <f t="shared" si="24"/>
        <v>0</v>
      </c>
      <c r="G134" s="1814">
        <f t="shared" si="25"/>
        <v>0</v>
      </c>
    </row>
    <row r="135" spans="1:7">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c r="A136" s="1673"/>
      <c r="B136" s="1687"/>
      <c r="C136" s="1674"/>
      <c r="D136" s="1865"/>
      <c r="E136" s="1560">
        <f t="shared" si="26"/>
        <v>0</v>
      </c>
      <c r="F136" s="1813">
        <f t="shared" si="27"/>
        <v>0</v>
      </c>
      <c r="G136" s="1814">
        <f t="shared" si="28"/>
        <v>0</v>
      </c>
    </row>
    <row r="137" spans="1:7">
      <c r="A137" s="1673"/>
      <c r="B137" s="1687"/>
      <c r="C137" s="1674"/>
      <c r="D137" s="1865"/>
      <c r="E137" s="1560">
        <f t="shared" si="26"/>
        <v>0</v>
      </c>
      <c r="F137" s="1813">
        <f t="shared" si="27"/>
        <v>0</v>
      </c>
      <c r="G137" s="1814">
        <f t="shared" si="28"/>
        <v>0</v>
      </c>
    </row>
    <row r="138" spans="1:7">
      <c r="A138" s="1673"/>
      <c r="B138" s="1687"/>
      <c r="C138" s="1674"/>
      <c r="D138" s="1865"/>
      <c r="E138" s="1560">
        <f t="shared" si="26"/>
        <v>0</v>
      </c>
      <c r="F138" s="1813">
        <f t="shared" si="27"/>
        <v>0</v>
      </c>
      <c r="G138" s="1814">
        <f t="shared" si="28"/>
        <v>0</v>
      </c>
    </row>
    <row r="139" spans="1:7">
      <c r="A139" s="1673"/>
      <c r="B139" s="1687"/>
      <c r="C139" s="1674"/>
      <c r="D139" s="1865"/>
      <c r="E139" s="1560">
        <f t="shared" si="26"/>
        <v>0</v>
      </c>
      <c r="F139" s="1813">
        <f t="shared" si="27"/>
        <v>0</v>
      </c>
      <c r="G139" s="1814">
        <f t="shared" si="28"/>
        <v>0</v>
      </c>
    </row>
    <row r="140" spans="1:7">
      <c r="A140" s="1673"/>
      <c r="B140" s="1686"/>
      <c r="C140" s="1674"/>
      <c r="D140" s="1865"/>
      <c r="E140" s="1560">
        <f t="shared" si="2"/>
        <v>0</v>
      </c>
      <c r="F140" s="1813">
        <f t="shared" si="3"/>
        <v>0</v>
      </c>
      <c r="G140" s="1814">
        <f t="shared" si="4"/>
        <v>0</v>
      </c>
    </row>
    <row r="141" spans="1:7">
      <c r="A141" s="1817" t="s">
        <v>158</v>
      </c>
      <c r="B141" s="1818"/>
      <c r="C141" s="1819"/>
      <c r="D141" s="1815">
        <f>SUM(D17:D140)</f>
        <v>0.1</v>
      </c>
      <c r="E141" s="1561">
        <f t="shared" si="1"/>
        <v>0.1</v>
      </c>
      <c r="F141" s="1815">
        <f>SUM(F17:F140)</f>
        <v>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Normal="100" workbookViewId="0">
      <selection sqref="A1:F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4" t="s">
        <v>1177</v>
      </c>
      <c r="B1" s="1655"/>
      <c r="C1" s="1656"/>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360" t="s">
        <v>1778</v>
      </c>
      <c r="B5" s="2361"/>
      <c r="C5" s="2361"/>
      <c r="D5" s="2361"/>
      <c r="E5" s="2361"/>
      <c r="F5" s="2361"/>
      <c r="G5" s="2362"/>
      <c r="H5" s="252"/>
      <c r="I5" s="610"/>
    </row>
    <row r="6" spans="1:9" s="669" customFormat="1">
      <c r="A6" s="1657"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2073</v>
      </c>
      <c r="B10" s="972"/>
      <c r="C10" s="977"/>
      <c r="D10" s="973"/>
      <c r="E10" s="974"/>
      <c r="F10" s="975"/>
      <c r="G10" s="976"/>
      <c r="H10" s="162"/>
      <c r="I10" s="162"/>
    </row>
    <row r="11" spans="1:9" s="669" customFormat="1" ht="22.5" customHeight="1">
      <c r="A11" s="2365" t="s">
        <v>1942</v>
      </c>
      <c r="B11" s="2366"/>
      <c r="C11" s="2366"/>
      <c r="D11" s="2367"/>
      <c r="E11" s="978">
        <v>154680</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58" t="s">
        <v>553</v>
      </c>
      <c r="E17" s="1659"/>
      <c r="F17" s="1658" t="s">
        <v>453</v>
      </c>
      <c r="G17" s="1660"/>
      <c r="H17" s="162"/>
      <c r="I17" s="162"/>
    </row>
    <row r="18" spans="1:9" s="259" customFormat="1" ht="11.25">
      <c r="A18" s="989"/>
      <c r="C18" s="990" t="s">
        <v>454</v>
      </c>
      <c r="D18" s="1661" t="s">
        <v>455</v>
      </c>
      <c r="E18" s="1661" t="s">
        <v>55</v>
      </c>
      <c r="F18" s="1661" t="s">
        <v>455</v>
      </c>
      <c r="G18" s="1661" t="s">
        <v>55</v>
      </c>
      <c r="H18" s="178"/>
      <c r="I18" s="178"/>
    </row>
    <row r="19" spans="1:9" s="669" customFormat="1" ht="12" customHeight="1">
      <c r="A19" s="991" t="s">
        <v>476</v>
      </c>
      <c r="B19" s="992"/>
      <c r="C19" s="993" t="s">
        <v>591</v>
      </c>
      <c r="D19" s="1820"/>
      <c r="E19" s="1821">
        <f>'Expenditures 15-22'!K33-SUM('Expenditures 15-22'!G33,'Expenditures 15-22'!I33)+'Expenditures 15-22'!D229</f>
        <v>15527723</v>
      </c>
      <c r="F19" s="1820"/>
      <c r="G19" s="1822">
        <f>'Expenditures 15-22'!K33-SUM('Expenditures 15-22'!G33,'Expenditures 15-22'!I33)+'Expenditures 15-22'!D229</f>
        <v>15527723</v>
      </c>
      <c r="H19" s="988"/>
      <c r="I19" s="162"/>
    </row>
    <row r="20" spans="1:9" s="669" customFormat="1" ht="12" customHeight="1">
      <c r="A20" s="991" t="s">
        <v>56</v>
      </c>
      <c r="B20" s="992"/>
      <c r="C20" s="994"/>
      <c r="D20" s="1823"/>
      <c r="E20" s="1823"/>
      <c r="F20" s="1823"/>
      <c r="G20" s="1824"/>
      <c r="H20" s="988"/>
      <c r="I20" s="162"/>
    </row>
    <row r="21" spans="1:9" s="669" customFormat="1" ht="12" customHeight="1">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1950444</v>
      </c>
      <c r="F21" s="1823"/>
      <c r="G21" s="1826">
        <f>'Expenditures 15-22'!K42-SUM('Expenditures 15-22'!G42,'Expenditures 15-22'!I42)+'Expenditures 15-22'!K120-SUM('Expenditures 15-22'!G120,'Expenditures 15-22'!I120)+'Expenditures 15-22'!K180-SUM('Expenditures 15-22'!G180,'Expenditures 15-22'!I180)+'Expenditures 15-22'!D238</f>
        <v>1950444</v>
      </c>
      <c r="H21" s="988"/>
      <c r="I21" s="162"/>
    </row>
    <row r="22" spans="1:9" s="669" customFormat="1" ht="12" customHeight="1">
      <c r="A22" s="995" t="s">
        <v>585</v>
      </c>
      <c r="B22" s="996"/>
      <c r="C22" s="994">
        <v>2200</v>
      </c>
      <c r="D22" s="1823"/>
      <c r="E22" s="1825">
        <f>'Expenditures 15-22'!K47-SUM('Expenditures 15-22'!G47,'Expenditures 15-22'!I47)+'Expenditures 15-22'!D243</f>
        <v>847959</v>
      </c>
      <c r="F22" s="1823"/>
      <c r="G22" s="1826">
        <f>'Expenditures 15-22'!K47-SUM('Expenditures 15-22'!G47,'Expenditures 15-22'!I47)+'Expenditures 15-22'!D243</f>
        <v>847959</v>
      </c>
      <c r="H22" s="988"/>
      <c r="I22" s="162"/>
    </row>
    <row r="23" spans="1:9" s="669" customFormat="1" ht="12" customHeight="1">
      <c r="A23" s="995" t="s">
        <v>586</v>
      </c>
      <c r="B23" s="996"/>
      <c r="C23" s="994">
        <v>2300</v>
      </c>
      <c r="D23" s="1823"/>
      <c r="E23" s="1825">
        <f>'Expenditures 15-22'!K53-SUM('Expenditures 15-22'!G53,'Expenditures 15-22'!I53)+'Expenditures 15-22'!D257+'Expenditures 15-22'!K330-SUM('Expenditures 15-22'!G330,'Expenditures 15-22'!I330)</f>
        <v>1534605</v>
      </c>
      <c r="F23" s="1823"/>
      <c r="G23" s="1825">
        <f>'Expenditures 15-22'!K53-SUM('Expenditures 15-22'!G53,'Expenditures 15-22'!I53)+'Expenditures 15-22'!D257+'Expenditures 15-22'!K330-SUM('Expenditures 15-22'!G330,'Expenditures 15-22'!I330)</f>
        <v>1534605</v>
      </c>
      <c r="H23" s="988"/>
      <c r="I23" s="162"/>
    </row>
    <row r="24" spans="1:9" s="669" customFormat="1" ht="12" customHeight="1">
      <c r="A24" s="995" t="s">
        <v>587</v>
      </c>
      <c r="B24" s="996"/>
      <c r="C24" s="994">
        <v>2400</v>
      </c>
      <c r="D24" s="1823"/>
      <c r="E24" s="1825">
        <f>'Expenditures 15-22'!K57-SUM('Expenditures 15-22'!G57,'Expenditures 15-22'!I57)+'Expenditures 15-22'!D261</f>
        <v>1510482</v>
      </c>
      <c r="F24" s="1823"/>
      <c r="G24" s="1826">
        <f>'Expenditures 15-22'!K57-SUM('Expenditures 15-22'!G57,'Expenditures 15-22'!I57)+'Expenditures 15-22'!D261</f>
        <v>1510482</v>
      </c>
      <c r="H24" s="988"/>
      <c r="I24" s="162"/>
    </row>
    <row r="25" spans="1:9" s="669" customFormat="1" ht="12" customHeight="1">
      <c r="A25" s="991" t="s">
        <v>588</v>
      </c>
      <c r="B25" s="997"/>
      <c r="C25" s="994"/>
      <c r="D25" s="1823"/>
      <c r="E25" s="1825"/>
      <c r="F25" s="1823"/>
      <c r="G25" s="1826"/>
      <c r="H25" s="988"/>
      <c r="I25" s="162"/>
    </row>
    <row r="26" spans="1:9" s="669" customFormat="1" ht="12" customHeight="1">
      <c r="A26" s="995" t="s">
        <v>536</v>
      </c>
      <c r="B26" s="998"/>
      <c r="C26" s="994">
        <v>2510</v>
      </c>
      <c r="D26" s="1825">
        <f>'Expenditures 15-22'!K59-SUM('Expenditures 15-22'!G59,'Expenditures 15-22'!I59)+'Expenditures 15-22'!D263-E7</f>
        <v>164499</v>
      </c>
      <c r="E26" s="1825">
        <f>'Expenditures 15-22'!K122-SUM('Expenditures 15-22'!G122,'Expenditures 15-22'!I122)+E7</f>
        <v>0</v>
      </c>
      <c r="F26" s="1825">
        <f>'Expenditures 15-22'!K59-SUM('Expenditures 15-22'!G59,'Expenditures 15-22'!I59)+'Expenditures 15-22'!D263-E7</f>
        <v>164499</v>
      </c>
      <c r="G26" s="1826">
        <f>'Expenditures 15-22'!K122-SUM('Expenditures 15-22'!G122,'Expenditures 15-22'!I122)+E7</f>
        <v>0</v>
      </c>
      <c r="H26" s="988"/>
      <c r="I26" s="162"/>
    </row>
    <row r="27" spans="1:9" s="669" customFormat="1" ht="12" customHeight="1">
      <c r="A27" s="995" t="s">
        <v>483</v>
      </c>
      <c r="B27" s="998"/>
      <c r="C27" s="994">
        <v>2520</v>
      </c>
      <c r="D27" s="1825">
        <f>'Expenditures 15-22'!K60-SUM('Expenditures 15-22'!G60,'Expenditures 15-22'!I60)+'Expenditures 15-22'!D264-E8</f>
        <v>148743</v>
      </c>
      <c r="E27" s="1825">
        <f>E8</f>
        <v>0</v>
      </c>
      <c r="F27" s="1825">
        <f>'Expenditures 15-22'!K60-SUM('Expenditures 15-22'!G60,'Expenditures 15-22'!I60)+'Expenditures 15-22'!D264-E8</f>
        <v>148743</v>
      </c>
      <c r="G27" s="1826">
        <f>E8</f>
        <v>0</v>
      </c>
      <c r="H27" s="988"/>
      <c r="I27" s="162"/>
    </row>
    <row r="28" spans="1:9" s="669" customFormat="1" ht="12" customHeight="1">
      <c r="A28" s="995" t="s">
        <v>537</v>
      </c>
      <c r="B28" s="998"/>
      <c r="C28" s="994">
        <v>2540</v>
      </c>
      <c r="D28" s="1827"/>
      <c r="E28" s="1825">
        <f>'Expenditures 15-22'!K61-SUM('Expenditures 15-22'!G61,'Expenditures 15-22'!I61)+'Expenditures 15-22'!K124-SUM('Expenditures 15-22'!G124,'Expenditures 15-22'!I124)+'Expenditures 15-22'!D266</f>
        <v>2382122</v>
      </c>
      <c r="F28" s="1827">
        <f>'Expenditures 15-22'!K61-SUM('Expenditures 15-22'!G61,'Expenditures 15-22'!I61)+'Expenditures 15-22'!K124-SUM('Expenditures 15-22'!G124,'Expenditures 15-22'!I124)+'Expenditures 15-22'!D266-E9</f>
        <v>2382122</v>
      </c>
      <c r="G28" s="1826">
        <f>E9</f>
        <v>0</v>
      </c>
      <c r="H28" s="988"/>
      <c r="I28" s="162"/>
    </row>
    <row r="29" spans="1:9" ht="12" customHeight="1">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1723144</v>
      </c>
      <c r="F29" s="1823"/>
      <c r="G29" s="1826">
        <f>'Expenditures 15-22'!K62-SUM('Expenditures 15-22'!G62,'Expenditures 15-22'!I62)+'Expenditures 15-22'!K125-SUM('Expenditures 15-22'!G125,'Expenditures 15-22'!I125)+'Expenditures 15-22'!K182-SUM('Expenditures 15-22'!G182,'Expenditures 15-22'!I182)+'Expenditures 15-22'!D267</f>
        <v>1723144</v>
      </c>
      <c r="H29" s="986"/>
    </row>
    <row r="30" spans="1:9" ht="12" customHeight="1">
      <c r="A30" s="995" t="s">
        <v>102</v>
      </c>
      <c r="B30" s="998"/>
      <c r="C30" s="994">
        <v>2560</v>
      </c>
      <c r="D30" s="1823"/>
      <c r="E30" s="1825">
        <f>'Expenditures 15-22'!K63-SUM('Expenditures 15-22'!G63,'Expenditures 15-22'!I63)+'Expenditures 15-22'!D268-E10</f>
        <v>1490165</v>
      </c>
      <c r="F30" s="1823"/>
      <c r="G30" s="1825">
        <f>'Expenditures 15-22'!K63-SUM('Expenditures 15-22'!G63,'Expenditures 15-22'!I63)+'Expenditures 15-22'!D268-E10</f>
        <v>1490165</v>
      </c>
    </row>
    <row r="31" spans="1:9" ht="12" customHeight="1">
      <c r="A31" s="995" t="s">
        <v>103</v>
      </c>
      <c r="B31" s="998"/>
      <c r="C31" s="994">
        <v>2570</v>
      </c>
      <c r="D31" s="1825">
        <f>'Expenditures 15-22'!K64-SUM('Expenditures 15-22'!G64,'Expenditures 15-22'!I64)+'Expenditures 15-22'!D269-E12</f>
        <v>271800</v>
      </c>
      <c r="E31" s="1825">
        <f>E12</f>
        <v>0</v>
      </c>
      <c r="F31" s="1825">
        <f>'Expenditures 15-22'!K64-SUM('Expenditures 15-22'!G64,'Expenditures 15-22'!I64)+'Expenditures 15-22'!D269-E12</f>
        <v>271800</v>
      </c>
      <c r="G31" s="1825">
        <f>E12</f>
        <v>0</v>
      </c>
    </row>
    <row r="32" spans="1:9" ht="12" customHeight="1">
      <c r="A32" s="991" t="s">
        <v>539</v>
      </c>
      <c r="B32" s="997"/>
      <c r="C32" s="994"/>
      <c r="D32" s="1823"/>
      <c r="E32" s="1823"/>
      <c r="F32" s="1823"/>
      <c r="G32" s="1823"/>
    </row>
    <row r="33" spans="1:7" ht="12" customHeight="1">
      <c r="A33" s="995" t="s">
        <v>540</v>
      </c>
      <c r="B33" s="998"/>
      <c r="C33" s="994">
        <v>2610</v>
      </c>
      <c r="D33" s="1823"/>
      <c r="E33" s="1825">
        <f>'Expenditures 15-22'!K67-SUM('Expenditures 15-22'!G67,'Expenditures 15-22'!I67)+'Expenditures 15-22'!D272</f>
        <v>218774</v>
      </c>
      <c r="F33" s="1823"/>
      <c r="G33" s="1825">
        <f>'Expenditures 15-22'!K67-SUM('Expenditures 15-22'!G67,'Expenditures 15-22'!I67)+'Expenditures 15-22'!D272</f>
        <v>218774</v>
      </c>
    </row>
    <row r="34" spans="1:7" ht="12" customHeight="1">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c r="A35" s="995" t="s">
        <v>1121</v>
      </c>
      <c r="B35" s="998"/>
      <c r="C35" s="994">
        <v>2630</v>
      </c>
      <c r="D35" s="1823"/>
      <c r="E35" s="1825">
        <f>'Expenditures 15-22'!K69-SUM('Expenditures 15-22'!G69,'Expenditures 15-22'!I69)+'Expenditures 15-22'!D274</f>
        <v>720224</v>
      </c>
      <c r="F35" s="1823"/>
      <c r="G35" s="1825">
        <f>'Expenditures 15-22'!K69-SUM('Expenditures 15-22'!G69,'Expenditures 15-22'!I69)+'Expenditures 15-22'!D274</f>
        <v>720224</v>
      </c>
    </row>
    <row r="36" spans="1:7" ht="12" customHeight="1">
      <c r="A36" s="995" t="s">
        <v>423</v>
      </c>
      <c r="B36" s="998"/>
      <c r="C36" s="994">
        <v>2640</v>
      </c>
      <c r="D36" s="1825">
        <f>'Expenditures 15-22'!K70-SUM('Expenditures 15-22'!G70,'Expenditures 15-22'!I70)+'Expenditures 15-22'!D275-E13</f>
        <v>162297</v>
      </c>
      <c r="E36" s="1825">
        <f>E13</f>
        <v>0</v>
      </c>
      <c r="F36" s="1825">
        <f>'Expenditures 15-22'!K70-SUM('Expenditures 15-22'!G70,'Expenditures 15-22'!I70)+'Expenditures 15-22'!D275-E13</f>
        <v>162297</v>
      </c>
      <c r="G36" s="1825">
        <f>E13</f>
        <v>0</v>
      </c>
    </row>
    <row r="37" spans="1:7" ht="12" customHeight="1">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59869</v>
      </c>
      <c r="F39" s="1823"/>
      <c r="G39" s="1825">
        <f>'Expenditures 15-22'!K75-SUM('Expenditures 15-22'!G75,'Expenditures 15-22'!I75)+'Expenditures 15-22'!K130-SUM('Expenditures 15-22'!G130,'Expenditures 15-22'!I130)+'Expenditures 15-22'!K185-SUM('Expenditures 15-22'!G185,'Expenditures 15-22'!I185)+'Expenditures 15-22'!D280</f>
        <v>59869</v>
      </c>
    </row>
    <row r="40" spans="1:7" ht="12" customHeight="1">
      <c r="A40" s="991" t="s">
        <v>1927</v>
      </c>
      <c r="B40" s="992"/>
      <c r="C40" s="994"/>
      <c r="D40" s="1823"/>
      <c r="E40" s="1827">
        <f>-'Contracts Paid in CY 29'!G141</f>
        <v>0</v>
      </c>
      <c r="F40" s="1823"/>
      <c r="G40" s="1827">
        <f>-'Contracts Paid in CY 29'!G141</f>
        <v>0</v>
      </c>
    </row>
    <row r="41" spans="1:7" ht="12" customHeight="1">
      <c r="A41" s="999" t="s">
        <v>158</v>
      </c>
      <c r="B41" s="1000"/>
      <c r="C41" s="1001"/>
      <c r="D41" s="1827">
        <f>SUM(D19:D39)</f>
        <v>747339</v>
      </c>
      <c r="E41" s="1827">
        <f>SUM(E19:E40)</f>
        <v>27965511</v>
      </c>
      <c r="F41" s="1827">
        <f>SUM(F19:F39)</f>
        <v>3129461</v>
      </c>
      <c r="G41" s="1827">
        <f>SUM(G19:G40)</f>
        <v>25583389</v>
      </c>
    </row>
    <row r="42" spans="1:7">
      <c r="A42" s="988"/>
      <c r="B42" s="162"/>
      <c r="C42" s="1002"/>
      <c r="D42" s="2363" t="s">
        <v>543</v>
      </c>
      <c r="E42" s="2364"/>
      <c r="F42" s="1003" t="s">
        <v>544</v>
      </c>
      <c r="G42" s="1004"/>
    </row>
    <row r="43" spans="1:7" ht="12" customHeight="1">
      <c r="A43" s="988"/>
      <c r="B43" s="162"/>
      <c r="C43" s="1002"/>
      <c r="D43" s="1828" t="s">
        <v>493</v>
      </c>
      <c r="E43" s="1829">
        <f>D41</f>
        <v>747339</v>
      </c>
      <c r="F43" s="1828" t="s">
        <v>495</v>
      </c>
      <c r="G43" s="1829">
        <f>F41</f>
        <v>3129461</v>
      </c>
    </row>
    <row r="44" spans="1:7" ht="12" customHeight="1">
      <c r="A44" s="988"/>
      <c r="B44" s="162"/>
      <c r="C44" s="1002"/>
      <c r="D44" s="1828" t="s">
        <v>494</v>
      </c>
      <c r="E44" s="1829">
        <f>E41</f>
        <v>27965511</v>
      </c>
      <c r="F44" s="1828" t="s">
        <v>494</v>
      </c>
      <c r="G44" s="1829">
        <f>G41</f>
        <v>25583389</v>
      </c>
    </row>
    <row r="45" spans="1:7" ht="12" customHeight="1">
      <c r="A45" s="988"/>
      <c r="B45" s="162"/>
      <c r="C45" s="162"/>
      <c r="D45" s="1830" t="s">
        <v>1063</v>
      </c>
      <c r="E45" s="1831">
        <f>(E43/E44)</f>
        <v>2.6723595360013268E-2</v>
      </c>
      <c r="F45" s="1830" t="s">
        <v>1063</v>
      </c>
      <c r="G45" s="1831">
        <f>(G43/G44)</f>
        <v>0.1223239423049073</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sqref="A1:F1"/>
      <selection pane="bottomLeft" activeCell="A5" sqref="A5:F5"/>
    </sheetView>
  </sheetViews>
  <sheetFormatPr defaultColWidth="9.140625" defaultRowHeight="12.75"/>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c r="A1" s="2382" t="s">
        <v>1446</v>
      </c>
      <c r="B1" s="2382"/>
      <c r="C1" s="2382"/>
      <c r="D1" s="2382"/>
      <c r="E1" s="2382"/>
      <c r="F1" s="2382"/>
    </row>
    <row r="2" spans="1:10">
      <c r="A2" s="1910" t="s">
        <v>2045</v>
      </c>
      <c r="B2" s="1871"/>
      <c r="C2" s="1910"/>
      <c r="D2" s="1871"/>
      <c r="E2" s="1871"/>
      <c r="F2" s="1872"/>
    </row>
    <row r="3" spans="1:10">
      <c r="A3" s="1910" t="s">
        <v>1700</v>
      </c>
      <c r="B3" s="1871"/>
      <c r="C3" s="1910"/>
      <c r="D3" s="1871"/>
      <c r="E3" s="1871"/>
      <c r="F3" s="1872"/>
    </row>
    <row r="4" spans="1:10" ht="3.75" customHeight="1">
      <c r="A4" s="1871"/>
      <c r="B4" s="1871"/>
      <c r="C4" s="1871"/>
      <c r="D4" s="1871"/>
      <c r="E4" s="1871"/>
      <c r="F4" s="1872"/>
    </row>
    <row r="5" spans="1:10" ht="15">
      <c r="A5" s="2383" t="s">
        <v>1627</v>
      </c>
      <c r="B5" s="2384"/>
      <c r="C5" s="2385"/>
      <c r="D5" s="2385"/>
      <c r="E5" s="2385"/>
      <c r="F5" s="2385"/>
    </row>
    <row r="6" spans="1:10" ht="12" customHeight="1">
      <c r="A6" s="1873"/>
      <c r="B6" s="1874"/>
      <c r="C6" s="2386" t="str">
        <f>COVER!A17</f>
        <v>East Moline SD 37</v>
      </c>
      <c r="D6" s="2386"/>
      <c r="E6" s="2386"/>
      <c r="F6" s="1875"/>
    </row>
    <row r="7" spans="1:10" ht="11.25" customHeight="1" thickBot="1">
      <c r="A7" s="1873"/>
      <c r="B7" s="1874"/>
      <c r="C7" s="2387">
        <f>COVER!A13</f>
        <v>49081037002</v>
      </c>
      <c r="D7" s="2387"/>
      <c r="E7" s="2387"/>
      <c r="F7" s="1875"/>
    </row>
    <row r="8" spans="1:10" ht="25.5" customHeight="1" thickBot="1">
      <c r="A8" s="1916" t="s">
        <v>2022</v>
      </c>
      <c r="B8" s="1876"/>
      <c r="C8" s="1912" t="s">
        <v>1780</v>
      </c>
      <c r="D8" s="1911" t="s">
        <v>1781</v>
      </c>
      <c r="E8" s="1913" t="s">
        <v>1447</v>
      </c>
      <c r="F8" s="1911" t="s">
        <v>1782</v>
      </c>
      <c r="H8" s="1877" t="b">
        <v>0</v>
      </c>
    </row>
    <row r="9" spans="1:10" ht="15.75" customHeight="1">
      <c r="A9" s="1878" t="s">
        <v>1623</v>
      </c>
      <c r="B9" s="1879"/>
      <c r="C9" s="1880"/>
      <c r="D9" s="1880"/>
      <c r="E9" s="1881"/>
      <c r="F9" s="1882"/>
    </row>
    <row r="10" spans="1:10" ht="27.75" customHeight="1">
      <c r="A10" s="1883" t="s">
        <v>1779</v>
      </c>
      <c r="B10" s="1884"/>
      <c r="C10" s="1885"/>
      <c r="D10" s="1885"/>
      <c r="E10" s="1914" t="s">
        <v>1448</v>
      </c>
      <c r="F10" s="1915" t="s">
        <v>1449</v>
      </c>
    </row>
    <row r="11" spans="1:10" ht="12" customHeight="1">
      <c r="A11" s="1886" t="s">
        <v>1450</v>
      </c>
      <c r="B11" s="1887"/>
      <c r="C11" s="1888"/>
      <c r="D11" s="1888"/>
      <c r="E11" s="1889"/>
      <c r="F11" s="1890"/>
      <c r="H11" s="1901">
        <f>IF(C11="X",5,0)</f>
        <v>0</v>
      </c>
      <c r="I11" s="1901">
        <f>IF(D11="X",5,0)</f>
        <v>0</v>
      </c>
      <c r="J11" s="1901">
        <f>IF(E11="X",5,0)</f>
        <v>0</v>
      </c>
    </row>
    <row r="12" spans="1:10" ht="12" customHeight="1">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c r="A13" s="1886" t="s">
        <v>1452</v>
      </c>
      <c r="B13" s="1887"/>
      <c r="C13" s="1888"/>
      <c r="D13" s="1888"/>
      <c r="E13" s="1891"/>
      <c r="F13" s="1890"/>
      <c r="H13" s="1901">
        <f t="shared" si="0"/>
        <v>0</v>
      </c>
      <c r="I13" s="1901">
        <f t="shared" si="1"/>
        <v>0</v>
      </c>
      <c r="J13" s="1901">
        <f t="shared" si="2"/>
        <v>0</v>
      </c>
    </row>
    <row r="14" spans="1:10" ht="12" customHeight="1">
      <c r="A14" s="1886" t="s">
        <v>1453</v>
      </c>
      <c r="B14" s="1887"/>
      <c r="C14" s="1888"/>
      <c r="D14" s="1888"/>
      <c r="E14" s="1891"/>
      <c r="F14" s="1890"/>
      <c r="H14" s="1901">
        <f t="shared" si="0"/>
        <v>0</v>
      </c>
      <c r="I14" s="1901">
        <f t="shared" si="1"/>
        <v>0</v>
      </c>
      <c r="J14" s="1901">
        <f t="shared" si="2"/>
        <v>0</v>
      </c>
    </row>
    <row r="15" spans="1:10" ht="12" customHeight="1">
      <c r="A15" s="1886" t="s">
        <v>1454</v>
      </c>
      <c r="B15" s="1887"/>
      <c r="C15" s="1888"/>
      <c r="D15" s="1888"/>
      <c r="E15" s="1891"/>
      <c r="F15" s="1890"/>
      <c r="H15" s="1901">
        <f t="shared" si="0"/>
        <v>0</v>
      </c>
      <c r="I15" s="1901">
        <f t="shared" si="1"/>
        <v>0</v>
      </c>
      <c r="J15" s="1901">
        <f t="shared" si="2"/>
        <v>0</v>
      </c>
    </row>
    <row r="16" spans="1:10" ht="12" customHeight="1">
      <c r="A16" s="1886" t="s">
        <v>1455</v>
      </c>
      <c r="B16" s="1887"/>
      <c r="C16" s="1888"/>
      <c r="D16" s="1888"/>
      <c r="E16" s="1891"/>
      <c r="F16" s="1890"/>
      <c r="H16" s="1901">
        <f t="shared" si="0"/>
        <v>0</v>
      </c>
      <c r="I16" s="1901">
        <f t="shared" si="1"/>
        <v>0</v>
      </c>
      <c r="J16" s="1901">
        <f t="shared" si="2"/>
        <v>0</v>
      </c>
    </row>
    <row r="17" spans="1:12" ht="12" customHeight="1">
      <c r="A17" s="1886" t="s">
        <v>1456</v>
      </c>
      <c r="B17" s="1887"/>
      <c r="C17" s="1888"/>
      <c r="D17" s="1888"/>
      <c r="E17" s="1891"/>
      <c r="F17" s="1890"/>
      <c r="H17" s="1901">
        <f t="shared" si="0"/>
        <v>0</v>
      </c>
      <c r="I17" s="1901">
        <f t="shared" si="1"/>
        <v>0</v>
      </c>
      <c r="J17" s="1901">
        <f t="shared" si="2"/>
        <v>0</v>
      </c>
    </row>
    <row r="18" spans="1:12" ht="12" customHeight="1">
      <c r="A18" s="1886" t="s">
        <v>1457</v>
      </c>
      <c r="B18" s="1887"/>
      <c r="C18" s="1888"/>
      <c r="D18" s="1888"/>
      <c r="E18" s="1891"/>
      <c r="F18" s="1890"/>
      <c r="H18" s="1901">
        <f t="shared" si="0"/>
        <v>0</v>
      </c>
      <c r="I18" s="1901">
        <f t="shared" si="1"/>
        <v>0</v>
      </c>
      <c r="J18" s="1901">
        <f t="shared" si="2"/>
        <v>0</v>
      </c>
    </row>
    <row r="19" spans="1:12" ht="12" customHeight="1">
      <c r="A19" s="1886" t="s">
        <v>1608</v>
      </c>
      <c r="B19" s="1887"/>
      <c r="C19" s="1888"/>
      <c r="D19" s="1888"/>
      <c r="E19" s="1891"/>
      <c r="F19" s="1890"/>
      <c r="H19" s="1901">
        <f t="shared" si="0"/>
        <v>0</v>
      </c>
      <c r="I19" s="1901">
        <f t="shared" si="1"/>
        <v>0</v>
      </c>
      <c r="J19" s="1901">
        <f t="shared" si="2"/>
        <v>0</v>
      </c>
    </row>
    <row r="20" spans="1:12" ht="12" customHeight="1">
      <c r="A20" s="1886" t="s">
        <v>1609</v>
      </c>
      <c r="B20" s="1887"/>
      <c r="C20" s="1888"/>
      <c r="D20" s="1888"/>
      <c r="E20" s="1891"/>
      <c r="F20" s="1890"/>
      <c r="H20" s="1901">
        <f t="shared" si="0"/>
        <v>0</v>
      </c>
      <c r="I20" s="1901">
        <f t="shared" si="1"/>
        <v>0</v>
      </c>
      <c r="J20" s="1901">
        <f t="shared" si="2"/>
        <v>0</v>
      </c>
    </row>
    <row r="21" spans="1:12" ht="12" customHeight="1">
      <c r="A21" s="1886" t="s">
        <v>1610</v>
      </c>
      <c r="B21" s="1887"/>
      <c r="C21" s="1888"/>
      <c r="D21" s="1888"/>
      <c r="E21" s="1891"/>
      <c r="F21" s="1890"/>
      <c r="H21" s="1901">
        <f t="shared" si="0"/>
        <v>0</v>
      </c>
      <c r="I21" s="1901">
        <f t="shared" si="1"/>
        <v>0</v>
      </c>
      <c r="J21" s="1901">
        <f t="shared" si="2"/>
        <v>0</v>
      </c>
    </row>
    <row r="22" spans="1:12" ht="12" customHeight="1">
      <c r="A22" s="1886" t="s">
        <v>1611</v>
      </c>
      <c r="B22" s="1887"/>
      <c r="C22" s="1888"/>
      <c r="D22" s="1888"/>
      <c r="E22" s="1891"/>
      <c r="F22" s="1890"/>
      <c r="H22" s="1901">
        <f t="shared" si="0"/>
        <v>0</v>
      </c>
      <c r="I22" s="1901">
        <f t="shared" si="1"/>
        <v>0</v>
      </c>
      <c r="J22" s="1901">
        <f t="shared" si="2"/>
        <v>0</v>
      </c>
    </row>
    <row r="23" spans="1:12" ht="12" customHeight="1">
      <c r="A23" s="1886" t="s">
        <v>1612</v>
      </c>
      <c r="B23" s="1887"/>
      <c r="C23" s="1888"/>
      <c r="D23" s="1888"/>
      <c r="E23" s="1891"/>
      <c r="F23" s="1890"/>
      <c r="H23" s="1901">
        <f t="shared" si="0"/>
        <v>0</v>
      </c>
      <c r="I23" s="1901">
        <f t="shared" si="1"/>
        <v>0</v>
      </c>
      <c r="J23" s="1901">
        <f t="shared" si="2"/>
        <v>0</v>
      </c>
    </row>
    <row r="24" spans="1:12" ht="12" customHeight="1">
      <c r="A24" s="1886" t="s">
        <v>1613</v>
      </c>
      <c r="B24" s="1887"/>
      <c r="C24" s="1888"/>
      <c r="D24" s="1888"/>
      <c r="E24" s="1891"/>
      <c r="F24" s="1890"/>
      <c r="H24" s="1901">
        <f t="shared" si="0"/>
        <v>0</v>
      </c>
      <c r="I24" s="1901">
        <f t="shared" si="1"/>
        <v>0</v>
      </c>
      <c r="J24" s="1901">
        <f t="shared" si="2"/>
        <v>0</v>
      </c>
    </row>
    <row r="25" spans="1:12" ht="12" customHeight="1">
      <c r="A25" s="1886" t="s">
        <v>1614</v>
      </c>
      <c r="B25" s="1887"/>
      <c r="C25" s="1888"/>
      <c r="D25" s="1888"/>
      <c r="E25" s="1891"/>
      <c r="F25" s="1890"/>
      <c r="H25" s="1901">
        <f t="shared" si="0"/>
        <v>0</v>
      </c>
      <c r="I25" s="1901">
        <f t="shared" si="1"/>
        <v>0</v>
      </c>
      <c r="J25" s="1901">
        <f t="shared" si="2"/>
        <v>0</v>
      </c>
    </row>
    <row r="26" spans="1:12" ht="12" customHeight="1">
      <c r="A26" s="1886" t="s">
        <v>1615</v>
      </c>
      <c r="B26" s="1887"/>
      <c r="C26" s="1888" t="s">
        <v>2204</v>
      </c>
      <c r="D26" s="1888" t="s">
        <v>2204</v>
      </c>
      <c r="E26" s="1891"/>
      <c r="F26" s="1890" t="s">
        <v>2206</v>
      </c>
      <c r="H26" s="1901">
        <f t="shared" si="0"/>
        <v>5</v>
      </c>
      <c r="I26" s="1901">
        <f t="shared" si="1"/>
        <v>5</v>
      </c>
      <c r="J26" s="1901">
        <f t="shared" si="2"/>
        <v>0</v>
      </c>
    </row>
    <row r="27" spans="1:12" ht="18.75">
      <c r="A27" s="1886" t="s">
        <v>1616</v>
      </c>
      <c r="B27" s="1887"/>
      <c r="C27" s="1888"/>
      <c r="D27" s="1888"/>
      <c r="E27" s="1891"/>
      <c r="F27" s="1890"/>
      <c r="H27" s="1901">
        <f t="shared" si="0"/>
        <v>0</v>
      </c>
      <c r="I27" s="1901">
        <f t="shared" si="1"/>
        <v>0</v>
      </c>
      <c r="J27" s="1901">
        <f t="shared" si="2"/>
        <v>0</v>
      </c>
    </row>
    <row r="28" spans="1:12" ht="12" customHeight="1">
      <c r="A28" s="1886" t="s">
        <v>1617</v>
      </c>
      <c r="B28" s="1887"/>
      <c r="C28" s="1888"/>
      <c r="D28" s="1888"/>
      <c r="E28" s="1891"/>
      <c r="F28" s="1890"/>
      <c r="H28" s="1901">
        <f t="shared" si="0"/>
        <v>0</v>
      </c>
      <c r="I28" s="1901">
        <f t="shared" si="1"/>
        <v>0</v>
      </c>
      <c r="J28" s="1901">
        <f t="shared" si="2"/>
        <v>0</v>
      </c>
    </row>
    <row r="29" spans="1:12" ht="12" customHeight="1">
      <c r="A29" s="1886" t="s">
        <v>1618</v>
      </c>
      <c r="B29" s="1887"/>
      <c r="C29" s="1888"/>
      <c r="D29" s="1888"/>
      <c r="E29" s="1891"/>
      <c r="F29" s="1890"/>
      <c r="H29" s="1901">
        <f t="shared" si="0"/>
        <v>0</v>
      </c>
      <c r="I29" s="1901">
        <f t="shared" si="1"/>
        <v>0</v>
      </c>
      <c r="J29" s="1901">
        <f t="shared" si="2"/>
        <v>0</v>
      </c>
    </row>
    <row r="30" spans="1:12" ht="12" customHeight="1">
      <c r="A30" s="1886" t="s">
        <v>1619</v>
      </c>
      <c r="B30" s="1887"/>
      <c r="C30" s="1888"/>
      <c r="D30" s="1888"/>
      <c r="E30" s="1891"/>
      <c r="F30" s="1890"/>
      <c r="H30" s="1901">
        <f t="shared" si="0"/>
        <v>0</v>
      </c>
      <c r="I30" s="1901">
        <f t="shared" si="1"/>
        <v>0</v>
      </c>
      <c r="J30" s="1901">
        <f t="shared" si="2"/>
        <v>0</v>
      </c>
    </row>
    <row r="31" spans="1:12" ht="12" customHeight="1">
      <c r="A31" s="1886" t="s">
        <v>1620</v>
      </c>
      <c r="B31" s="1887"/>
      <c r="C31" s="1888"/>
      <c r="D31" s="1888"/>
      <c r="E31" s="1891"/>
      <c r="F31" s="1890"/>
      <c r="H31" s="1901">
        <f t="shared" si="0"/>
        <v>0</v>
      </c>
      <c r="I31" s="1901">
        <f t="shared" si="1"/>
        <v>0</v>
      </c>
      <c r="J31" s="1901">
        <f t="shared" si="2"/>
        <v>0</v>
      </c>
      <c r="L31" s="1892"/>
    </row>
    <row r="32" spans="1:12" ht="12" customHeight="1">
      <c r="A32" s="1886" t="s">
        <v>1621</v>
      </c>
      <c r="B32" s="1887"/>
      <c r="C32" s="1888"/>
      <c r="D32" s="1888"/>
      <c r="E32" s="1891"/>
      <c r="F32" s="1890"/>
      <c r="H32" s="1901">
        <f t="shared" si="0"/>
        <v>0</v>
      </c>
      <c r="I32" s="1901">
        <f t="shared" si="1"/>
        <v>0</v>
      </c>
      <c r="J32" s="1901">
        <f t="shared" si="2"/>
        <v>0</v>
      </c>
    </row>
    <row r="33" spans="1:11" ht="12" customHeight="1">
      <c r="A33" s="1886" t="s">
        <v>1622</v>
      </c>
      <c r="B33" s="1887"/>
      <c r="C33" s="1888"/>
      <c r="D33" s="1888"/>
      <c r="E33" s="1891"/>
      <c r="F33" s="1890"/>
      <c r="H33" s="1901">
        <f t="shared" si="0"/>
        <v>0</v>
      </c>
      <c r="I33" s="1901">
        <f t="shared" si="1"/>
        <v>0</v>
      </c>
      <c r="J33" s="1901">
        <f t="shared" si="2"/>
        <v>0</v>
      </c>
    </row>
    <row r="34" spans="1:11" ht="12" customHeight="1">
      <c r="A34" s="1893"/>
      <c r="B34" s="1893"/>
      <c r="C34" s="1893"/>
      <c r="D34" s="1893"/>
      <c r="E34" s="1893"/>
      <c r="F34" s="1893"/>
      <c r="H34" s="1901">
        <f>SUM(H11:H32)</f>
        <v>5</v>
      </c>
      <c r="I34" s="1901">
        <f>SUM(I11:I32)</f>
        <v>5</v>
      </c>
      <c r="J34" s="1901">
        <f>SUM(J11:J32)</f>
        <v>0</v>
      </c>
      <c r="K34" s="1901">
        <f>SUM(H34:J34)</f>
        <v>10</v>
      </c>
    </row>
    <row r="35" spans="1:11" ht="12" customHeight="1">
      <c r="A35" s="1894" t="s">
        <v>1459</v>
      </c>
      <c r="B35" s="1895"/>
      <c r="C35" s="2388"/>
      <c r="D35" s="2388"/>
      <c r="E35" s="2388"/>
      <c r="F35" s="2389"/>
    </row>
    <row r="36" spans="1:11" ht="12" customHeight="1">
      <c r="A36" s="2371"/>
      <c r="B36" s="2372"/>
      <c r="C36" s="2372"/>
      <c r="D36" s="2372"/>
      <c r="E36" s="2372"/>
      <c r="F36" s="2373"/>
    </row>
    <row r="37" spans="1:11" ht="12" customHeight="1">
      <c r="A37" s="2371"/>
      <c r="B37" s="2372"/>
      <c r="C37" s="2372"/>
      <c r="D37" s="2372"/>
      <c r="E37" s="2372"/>
      <c r="F37" s="2373"/>
    </row>
    <row r="38" spans="1:11" ht="12" customHeight="1">
      <c r="A38" s="2374"/>
      <c r="B38" s="2375"/>
      <c r="C38" s="2375"/>
      <c r="D38" s="2375"/>
      <c r="E38" s="2375"/>
      <c r="F38" s="2376"/>
    </row>
    <row r="39" spans="1:11" ht="4.5" hidden="1" customHeight="1">
      <c r="A39" s="1896"/>
      <c r="B39" s="1896"/>
      <c r="C39" s="1896"/>
      <c r="D39" s="1896"/>
      <c r="E39" s="1896"/>
      <c r="F39" s="1896"/>
    </row>
    <row r="40" spans="1:11" s="1893" customFormat="1" ht="12" customHeight="1">
      <c r="A40" s="1897" t="s">
        <v>1458</v>
      </c>
      <c r="B40" s="1898"/>
      <c r="C40" s="2377"/>
      <c r="D40" s="2377"/>
      <c r="E40" s="2377"/>
      <c r="F40" s="2378"/>
      <c r="H40" s="1902"/>
      <c r="I40" s="1902"/>
      <c r="J40" s="1902"/>
      <c r="K40" s="1902"/>
    </row>
    <row r="41" spans="1:11" s="1893" customFormat="1" ht="12" customHeight="1">
      <c r="A41" s="2379" t="s">
        <v>2207</v>
      </c>
      <c r="B41" s="2380"/>
      <c r="C41" s="2380"/>
      <c r="D41" s="2380"/>
      <c r="E41" s="2380"/>
      <c r="F41" s="2381"/>
      <c r="H41" s="1902"/>
      <c r="I41" s="1902"/>
      <c r="J41" s="1902"/>
      <c r="K41" s="1902"/>
    </row>
    <row r="42" spans="1:11" s="1893" customFormat="1" ht="12" customHeight="1">
      <c r="A42" s="2379" t="s">
        <v>2208</v>
      </c>
      <c r="B42" s="2380"/>
      <c r="C42" s="2380"/>
      <c r="D42" s="2380"/>
      <c r="E42" s="2380"/>
      <c r="F42" s="2381"/>
      <c r="H42" s="1902"/>
      <c r="I42" s="1902"/>
      <c r="J42" s="1902"/>
      <c r="K42" s="1902"/>
    </row>
    <row r="43" spans="1:11" s="1893" customFormat="1" ht="15">
      <c r="A43" s="2368" t="s">
        <v>2209</v>
      </c>
      <c r="B43" s="2369"/>
      <c r="C43" s="2369"/>
      <c r="D43" s="2369"/>
      <c r="E43" s="2369"/>
      <c r="F43" s="2370"/>
      <c r="H43" s="1902"/>
      <c r="I43" s="1902"/>
      <c r="J43" s="1902"/>
      <c r="K43" s="1902"/>
    </row>
    <row r="44" spans="1:11" s="1893" customFormat="1" ht="12" hidden="1" customHeight="1">
      <c r="A44" s="2368"/>
      <c r="B44" s="2369"/>
      <c r="C44" s="2369"/>
      <c r="D44" s="2369"/>
      <c r="E44" s="2369"/>
      <c r="F44" s="2370"/>
      <c r="H44" s="1902"/>
      <c r="I44" s="1902"/>
      <c r="J44" s="1902"/>
      <c r="K44" s="1902"/>
    </row>
    <row r="45" spans="1:11" s="1893" customFormat="1" ht="12" customHeight="1">
      <c r="H45" s="1902"/>
      <c r="I45" s="1902"/>
      <c r="J45" s="1902"/>
      <c r="K45" s="1902"/>
    </row>
    <row r="46" spans="1:11" s="1893" customFormat="1" ht="9.75" customHeight="1">
      <c r="H46" s="1902"/>
      <c r="I46" s="1902"/>
      <c r="J46" s="1902"/>
      <c r="K46" s="1902"/>
    </row>
    <row r="47" spans="1:11" s="1893" customFormat="1" ht="13.5" customHeight="1">
      <c r="H47" s="1902"/>
      <c r="I47" s="1902"/>
      <c r="J47" s="1902"/>
      <c r="K47" s="1902"/>
    </row>
    <row r="48" spans="1:11" s="1893" customFormat="1" ht="15">
      <c r="H48" s="1902"/>
      <c r="I48" s="1902"/>
      <c r="J48" s="1902"/>
      <c r="K48" s="1902"/>
    </row>
    <row r="49" spans="1:11" s="1893" customFormat="1" ht="15" hidden="1">
      <c r="A49" s="1893" t="b">
        <v>0</v>
      </c>
      <c r="H49" s="1902"/>
      <c r="I49" s="1902"/>
      <c r="J49" s="1902"/>
      <c r="K49" s="1902"/>
    </row>
    <row r="50" spans="1:11" s="1893" customFormat="1" ht="15">
      <c r="H50" s="1902"/>
      <c r="I50" s="1902"/>
      <c r="J50" s="1902"/>
      <c r="K50" s="1902"/>
    </row>
    <row r="51" spans="1:11" s="1893" customFormat="1" ht="15">
      <c r="H51" s="1902"/>
      <c r="I51" s="1902"/>
      <c r="J51" s="1902"/>
      <c r="K51" s="1902"/>
    </row>
    <row r="52" spans="1:11" s="1893" customFormat="1" ht="15">
      <c r="H52" s="1902"/>
      <c r="I52" s="1902"/>
      <c r="J52" s="1902"/>
      <c r="K52" s="1902"/>
    </row>
    <row r="53" spans="1:11" s="1893" customFormat="1" ht="15">
      <c r="H53" s="1902"/>
      <c r="I53" s="1902"/>
      <c r="J53" s="1902"/>
      <c r="K53" s="1902"/>
    </row>
    <row r="54" spans="1:11" s="1893" customFormat="1" ht="15">
      <c r="H54" s="1902"/>
      <c r="I54" s="1902"/>
      <c r="J54" s="1902"/>
      <c r="K54" s="1902"/>
    </row>
    <row r="55" spans="1:11" s="1893" customFormat="1" ht="15">
      <c r="H55" s="1902"/>
      <c r="I55" s="1902"/>
      <c r="J55" s="1902"/>
      <c r="K55" s="1902"/>
    </row>
    <row r="56" spans="1:11" s="1893" customFormat="1" ht="15">
      <c r="H56" s="1902"/>
      <c r="I56" s="1902"/>
      <c r="J56" s="1902"/>
      <c r="K56" s="1902"/>
    </row>
    <row r="57" spans="1:11" s="1893" customFormat="1" ht="15">
      <c r="H57" s="1902"/>
      <c r="I57" s="1902"/>
      <c r="J57" s="1902"/>
      <c r="K57" s="1902"/>
    </row>
    <row r="58" spans="1:11" s="1893" customFormat="1" ht="15">
      <c r="H58" s="1902"/>
      <c r="I58" s="1902"/>
      <c r="J58" s="1902"/>
      <c r="K58" s="1902"/>
    </row>
    <row r="59" spans="1:11" s="1893" customFormat="1" ht="15">
      <c r="H59" s="1902"/>
      <c r="I59" s="1902"/>
      <c r="J59" s="1902"/>
      <c r="K59" s="1902"/>
    </row>
    <row r="60" spans="1:11" s="1893" customFormat="1" ht="15">
      <c r="H60" s="1902"/>
      <c r="I60" s="1902"/>
      <c r="J60" s="1902"/>
      <c r="K60" s="1902"/>
    </row>
    <row r="61" spans="1:11" s="1893" customFormat="1" ht="15">
      <c r="H61" s="1902"/>
      <c r="I61" s="1902"/>
      <c r="J61" s="1902"/>
      <c r="K61" s="1902"/>
    </row>
    <row r="62" spans="1:11" s="1893" customFormat="1" ht="15">
      <c r="H62" s="1902"/>
      <c r="I62" s="1902"/>
      <c r="J62" s="1902"/>
      <c r="K62" s="1902"/>
    </row>
    <row r="63" spans="1:11" s="1893" customFormat="1" ht="15">
      <c r="H63" s="1902"/>
      <c r="I63" s="1902"/>
      <c r="J63" s="1902"/>
      <c r="K63" s="1902"/>
    </row>
    <row r="64" spans="1:11" s="1893" customFormat="1" ht="15">
      <c r="H64" s="1902"/>
      <c r="I64" s="1902"/>
      <c r="J64" s="1902"/>
      <c r="K64" s="1902"/>
    </row>
    <row r="65" spans="8:11" s="1893" customFormat="1" ht="15">
      <c r="H65" s="1902"/>
      <c r="I65" s="1902"/>
      <c r="J65" s="1902"/>
      <c r="K65" s="1902"/>
    </row>
    <row r="66" spans="8:11" s="1893" customFormat="1" ht="15">
      <c r="H66" s="1902"/>
      <c r="I66" s="1902"/>
      <c r="J66" s="1902"/>
      <c r="K66" s="1902"/>
    </row>
    <row r="67" spans="8:11" s="1893" customFormat="1" ht="15">
      <c r="H67" s="1902"/>
      <c r="I67" s="1902"/>
      <c r="J67" s="1902"/>
      <c r="K67" s="1902"/>
    </row>
    <row r="68" spans="8:11" s="1893" customFormat="1" ht="15">
      <c r="H68" s="1902"/>
      <c r="I68" s="1902"/>
      <c r="J68" s="1902"/>
      <c r="K68" s="1902"/>
    </row>
    <row r="69" spans="8:11" s="1893" customFormat="1" ht="15">
      <c r="H69" s="1902"/>
      <c r="I69" s="1902"/>
      <c r="J69" s="1902"/>
      <c r="K69" s="1902"/>
    </row>
    <row r="70" spans="8:11" s="1893" customFormat="1" ht="15">
      <c r="H70" s="1902"/>
      <c r="I70" s="1902"/>
      <c r="J70" s="1902"/>
      <c r="K70" s="1902"/>
    </row>
    <row r="71" spans="8:11" s="1893" customFormat="1" ht="15">
      <c r="H71" s="1902"/>
      <c r="I71" s="1902"/>
      <c r="J71" s="1902"/>
      <c r="K71" s="1902"/>
    </row>
    <row r="72" spans="8:11" s="1893" customFormat="1" ht="15">
      <c r="H72" s="1902"/>
      <c r="I72" s="1902"/>
      <c r="J72" s="1902"/>
      <c r="K72" s="1902"/>
    </row>
    <row r="73" spans="8:11" s="1893" customFormat="1" ht="15">
      <c r="H73" s="1902"/>
      <c r="I73" s="1902"/>
      <c r="J73" s="1902"/>
      <c r="K73" s="1902"/>
    </row>
    <row r="74" spans="8:11" s="1893" customFormat="1" ht="15">
      <c r="H74" s="1902"/>
      <c r="I74" s="1902"/>
      <c r="J74" s="1902"/>
      <c r="K74" s="1902"/>
    </row>
    <row r="75" spans="8:11" s="1893" customFormat="1" ht="15">
      <c r="H75" s="1902"/>
      <c r="I75" s="1902"/>
      <c r="J75" s="1902"/>
      <c r="K75" s="1902"/>
    </row>
    <row r="76" spans="8:11" s="1893" customFormat="1" ht="15">
      <c r="H76" s="1902"/>
      <c r="I76" s="1902"/>
      <c r="J76" s="1902"/>
      <c r="K76" s="1902"/>
    </row>
    <row r="77" spans="8:11" s="1893" customFormat="1" ht="15">
      <c r="H77" s="1902"/>
      <c r="I77" s="1902"/>
      <c r="J77" s="1902"/>
      <c r="K77" s="1902"/>
    </row>
    <row r="78" spans="8:11" s="1893" customFormat="1" ht="15">
      <c r="H78" s="1902"/>
      <c r="I78" s="1902"/>
      <c r="J78" s="1902"/>
      <c r="K78" s="1902"/>
    </row>
    <row r="79" spans="8:11" s="1893" customFormat="1" ht="15">
      <c r="H79" s="1902"/>
      <c r="I79" s="1902"/>
      <c r="J79" s="1902"/>
      <c r="K79" s="1902"/>
    </row>
    <row r="80" spans="8:11" s="1893" customFormat="1" ht="15">
      <c r="H80" s="1902"/>
      <c r="I80" s="1902"/>
      <c r="J80" s="1902"/>
      <c r="K80" s="1902"/>
    </row>
    <row r="81" spans="8:11" s="1893" customFormat="1" ht="15">
      <c r="H81" s="1902"/>
      <c r="I81" s="1902"/>
      <c r="J81" s="1902"/>
      <c r="K81" s="1902"/>
    </row>
    <row r="82" spans="8:11" s="1893" customFormat="1" ht="15">
      <c r="H82" s="1902"/>
      <c r="I82" s="1902"/>
      <c r="J82" s="1902"/>
      <c r="K82" s="1902"/>
    </row>
    <row r="83" spans="8:11" s="1893" customFormat="1" ht="15">
      <c r="H83" s="1902"/>
      <c r="I83" s="1902"/>
      <c r="J83" s="1902"/>
      <c r="K83" s="1902"/>
    </row>
    <row r="84" spans="8:11" s="1893" customFormat="1" ht="15">
      <c r="H84" s="1902"/>
      <c r="I84" s="1902"/>
      <c r="J84" s="1902"/>
      <c r="K84" s="1902"/>
    </row>
    <row r="85" spans="8:11" s="1893" customFormat="1" ht="15">
      <c r="H85" s="1902"/>
      <c r="I85" s="1902"/>
      <c r="J85" s="1902"/>
      <c r="K85" s="1902"/>
    </row>
    <row r="86" spans="8:11" s="1893" customFormat="1" ht="15">
      <c r="H86" s="1902"/>
      <c r="I86" s="1902"/>
      <c r="J86" s="1902"/>
      <c r="K86" s="1902"/>
    </row>
    <row r="87" spans="8:11" s="1893" customFormat="1" ht="15">
      <c r="H87" s="1902"/>
      <c r="I87" s="1902"/>
      <c r="J87" s="1902"/>
      <c r="K87" s="1902"/>
    </row>
    <row r="88" spans="8:11" s="1893" customFormat="1" ht="15">
      <c r="H88" s="1902"/>
      <c r="I88" s="1902"/>
      <c r="J88" s="1902"/>
      <c r="K88" s="1902"/>
    </row>
    <row r="89" spans="8:11" s="1893" customFormat="1" ht="15">
      <c r="H89" s="1902"/>
      <c r="I89" s="1902"/>
      <c r="J89" s="1902"/>
      <c r="K89" s="1902"/>
    </row>
    <row r="90" spans="8:11" s="1893" customFormat="1" ht="15">
      <c r="H90" s="1902"/>
      <c r="I90" s="1902"/>
      <c r="J90" s="1902"/>
      <c r="K90" s="1902"/>
    </row>
    <row r="91" spans="8:11" s="1893" customFormat="1" ht="15">
      <c r="H91" s="1902"/>
      <c r="I91" s="1902"/>
      <c r="J91" s="1902"/>
      <c r="K91" s="1902"/>
    </row>
    <row r="92" spans="8:11" s="1893" customFormat="1" ht="15">
      <c r="H92" s="1902"/>
      <c r="I92" s="1902"/>
      <c r="J92" s="1902"/>
      <c r="K92" s="1902"/>
    </row>
    <row r="93" spans="8:11" s="1893" customFormat="1" ht="15">
      <c r="H93" s="1902"/>
      <c r="I93" s="1902"/>
      <c r="J93" s="1902"/>
      <c r="K93" s="1902"/>
    </row>
    <row r="94" spans="8:11" s="1893" customFormat="1" ht="15">
      <c r="H94" s="1902"/>
      <c r="I94" s="1902"/>
      <c r="J94" s="1902"/>
      <c r="K94" s="1902"/>
    </row>
    <row r="95" spans="8:11" s="1893" customFormat="1" ht="15">
      <c r="H95" s="1902"/>
      <c r="I95" s="1902"/>
      <c r="J95" s="1902"/>
      <c r="K95" s="1902"/>
    </row>
    <row r="96" spans="8:11" s="1893" customFormat="1" ht="15">
      <c r="H96" s="1902"/>
      <c r="I96" s="1902"/>
      <c r="J96" s="1902"/>
      <c r="K96" s="1902"/>
    </row>
    <row r="97" spans="8:11" s="1893" customFormat="1" ht="1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sqref="A1:F1"/>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7" t="s">
        <v>693</v>
      </c>
      <c r="B6" s="1662"/>
      <c r="C6" s="1662"/>
      <c r="D6" s="1662"/>
      <c r="E6" s="1663"/>
      <c r="F6" s="1016"/>
      <c r="G6" s="1010"/>
      <c r="H6" s="1017" t="s">
        <v>1086</v>
      </c>
      <c r="I6" s="2395" t="str">
        <f>COVER!A17</f>
        <v>East Moline SD 37</v>
      </c>
      <c r="J6" s="2396"/>
      <c r="Q6" s="1684"/>
    </row>
    <row r="7" spans="1:17">
      <c r="A7" s="2397" t="s">
        <v>924</v>
      </c>
      <c r="B7" s="2398"/>
      <c r="C7" s="2398"/>
      <c r="D7" s="2398"/>
      <c r="E7" s="2399"/>
      <c r="F7" s="1018"/>
      <c r="G7" s="1010"/>
      <c r="H7" s="1017" t="s">
        <v>390</v>
      </c>
      <c r="I7" s="2400">
        <f>COVER!A13</f>
        <v>49081037002</v>
      </c>
      <c r="J7" s="2400"/>
    </row>
    <row r="8" spans="1:17" ht="8.25" customHeight="1">
      <c r="A8" s="1664"/>
      <c r="B8" s="1665"/>
      <c r="C8" s="1665"/>
      <c r="D8" s="1665"/>
      <c r="E8" s="1666"/>
      <c r="F8" s="1019"/>
      <c r="G8" s="1020"/>
      <c r="H8" s="1020"/>
      <c r="I8" s="1020"/>
      <c r="J8" s="1020"/>
    </row>
    <row r="9" spans="1:17" ht="13.5" customHeight="1">
      <c r="A9" s="1021"/>
      <c r="B9" s="1022"/>
      <c r="C9" s="1022"/>
      <c r="D9" s="1023"/>
      <c r="E9" s="1918" t="s">
        <v>1701</v>
      </c>
      <c r="F9" s="1024"/>
      <c r="G9" s="1024"/>
      <c r="H9" s="1919" t="s">
        <v>1702</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401" t="s">
        <v>502</v>
      </c>
      <c r="B11" s="2402"/>
      <c r="C11" s="2403"/>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2">
        <f>'Expenditures 15-22'!K50</f>
        <v>200640</v>
      </c>
      <c r="F12" s="1040"/>
      <c r="G12" s="1832">
        <f t="shared" ref="G12:G18" si="0">SUM(E12:F12)</f>
        <v>200640</v>
      </c>
      <c r="H12" s="1041">
        <v>207315</v>
      </c>
      <c r="I12" s="1040"/>
      <c r="J12" s="1832">
        <f t="shared" ref="J12:J18" si="1">SUM(H12:I12)</f>
        <v>207315</v>
      </c>
    </row>
    <row r="13" spans="1:17" ht="15" customHeight="1">
      <c r="A13" s="1036">
        <v>2</v>
      </c>
      <c r="B13" s="1037" t="s">
        <v>44</v>
      </c>
      <c r="C13" s="1038"/>
      <c r="D13" s="1039">
        <v>2330</v>
      </c>
      <c r="E13" s="1832">
        <f>'Expenditures 15-22'!K51</f>
        <v>241168</v>
      </c>
      <c r="F13" s="1040"/>
      <c r="G13" s="1832">
        <f t="shared" si="0"/>
        <v>241168</v>
      </c>
      <c r="H13" s="1041">
        <v>249503</v>
      </c>
      <c r="I13" s="1040"/>
      <c r="J13" s="1832">
        <f t="shared" si="1"/>
        <v>249503</v>
      </c>
    </row>
    <row r="14" spans="1:17" ht="15" customHeight="1">
      <c r="A14" s="1036">
        <v>3</v>
      </c>
      <c r="B14" s="1037" t="s">
        <v>45</v>
      </c>
      <c r="C14" s="1038"/>
      <c r="D14" s="1042">
        <v>2490</v>
      </c>
      <c r="E14" s="1832">
        <f>'Expenditures 15-22'!K56</f>
        <v>0</v>
      </c>
      <c r="F14" s="1040"/>
      <c r="G14" s="1832">
        <f t="shared" si="0"/>
        <v>0</v>
      </c>
      <c r="H14" s="1041"/>
      <c r="I14" s="1040"/>
      <c r="J14" s="1832">
        <f t="shared" si="1"/>
        <v>0</v>
      </c>
    </row>
    <row r="15" spans="1:17" ht="15" customHeight="1">
      <c r="A15" s="1036">
        <v>4</v>
      </c>
      <c r="B15" s="1037" t="s">
        <v>1128</v>
      </c>
      <c r="C15" s="1038"/>
      <c r="D15" s="1039">
        <v>2510</v>
      </c>
      <c r="E15" s="1832">
        <f>'Expenditures 15-22'!K59</f>
        <v>136992</v>
      </c>
      <c r="F15" s="1832">
        <f>'Expenditures 15-22'!K122</f>
        <v>0</v>
      </c>
      <c r="G15" s="1832">
        <f t="shared" si="0"/>
        <v>136992</v>
      </c>
      <c r="H15" s="1041">
        <v>144078</v>
      </c>
      <c r="I15" s="1041"/>
      <c r="J15" s="1832">
        <f t="shared" si="1"/>
        <v>144078</v>
      </c>
    </row>
    <row r="16" spans="1:17" ht="15" customHeight="1">
      <c r="A16" s="1036">
        <v>5</v>
      </c>
      <c r="B16" s="1037" t="s">
        <v>103</v>
      </c>
      <c r="C16" s="1038"/>
      <c r="D16" s="1039">
        <v>2570</v>
      </c>
      <c r="E16" s="1832">
        <f>'Expenditures 15-22'!K64</f>
        <v>267282</v>
      </c>
      <c r="F16" s="1040"/>
      <c r="G16" s="1832">
        <f t="shared" si="0"/>
        <v>267282</v>
      </c>
      <c r="H16" s="1041">
        <v>272432</v>
      </c>
      <c r="I16" s="1040"/>
      <c r="J16" s="1832">
        <f t="shared" si="1"/>
        <v>272432</v>
      </c>
    </row>
    <row r="17" spans="1:10" ht="15" customHeight="1">
      <c r="A17" s="1036">
        <v>6</v>
      </c>
      <c r="B17" s="1037" t="s">
        <v>1120</v>
      </c>
      <c r="C17" s="1038"/>
      <c r="D17" s="1039">
        <v>2610</v>
      </c>
      <c r="E17" s="1832">
        <f>'Expenditures 15-22'!K67</f>
        <v>207575</v>
      </c>
      <c r="F17" s="1040"/>
      <c r="G17" s="1832">
        <f t="shared" si="0"/>
        <v>207575</v>
      </c>
      <c r="H17" s="1041">
        <v>219903</v>
      </c>
      <c r="I17" s="1040"/>
      <c r="J17" s="1832">
        <f t="shared" si="1"/>
        <v>219903</v>
      </c>
    </row>
    <row r="18" spans="1:10" ht="22.5" customHeight="1">
      <c r="A18" s="1043">
        <v>7</v>
      </c>
      <c r="B18" s="2404" t="s">
        <v>7</v>
      </c>
      <c r="C18" s="2405"/>
      <c r="D18" s="2406"/>
      <c r="E18" s="1044"/>
      <c r="F18" s="1044"/>
      <c r="G18" s="1833">
        <f t="shared" si="0"/>
        <v>0</v>
      </c>
      <c r="H18" s="1041"/>
      <c r="I18" s="1041"/>
      <c r="J18" s="1832">
        <f t="shared" si="1"/>
        <v>0</v>
      </c>
    </row>
    <row r="19" spans="1:10" ht="12.75" customHeight="1" thickBot="1">
      <c r="A19" s="1036">
        <v>8</v>
      </c>
      <c r="B19" s="1045" t="s">
        <v>1223</v>
      </c>
      <c r="D19" s="1046"/>
      <c r="E19" s="1834">
        <f t="shared" ref="E19:J19" si="2">SUM(E12:E17)-E18</f>
        <v>1053657</v>
      </c>
      <c r="F19" s="1834">
        <f t="shared" si="2"/>
        <v>0</v>
      </c>
      <c r="G19" s="1834">
        <f t="shared" si="2"/>
        <v>1053657</v>
      </c>
      <c r="H19" s="1834">
        <f t="shared" si="2"/>
        <v>1093231</v>
      </c>
      <c r="I19" s="1834">
        <f t="shared" si="2"/>
        <v>0</v>
      </c>
      <c r="J19" s="1834">
        <f t="shared" si="2"/>
        <v>1093231</v>
      </c>
    </row>
    <row r="20" spans="1:10" ht="13.5" thickTop="1">
      <c r="A20" s="1036">
        <v>9</v>
      </c>
      <c r="B20" s="2407" t="s">
        <v>1703</v>
      </c>
      <c r="C20" s="2407"/>
      <c r="D20" s="2408"/>
      <c r="E20" s="1047"/>
      <c r="F20" s="1047"/>
      <c r="G20" s="1047"/>
      <c r="H20" s="1047"/>
      <c r="I20" s="1047"/>
      <c r="J20" s="1835">
        <f>IF(AND(G19&gt;0,J19&gt;0),(((J19-G19)/G19)),"Enter Budget Data")</f>
        <v>3.7558712180529336E-2</v>
      </c>
    </row>
    <row r="21" spans="1:10" ht="9" customHeight="1">
      <c r="B21" s="1048"/>
    </row>
    <row r="22" spans="1:10">
      <c r="A22" s="1049" t="s">
        <v>135</v>
      </c>
      <c r="B22" s="1048"/>
    </row>
    <row r="23" spans="1:10">
      <c r="A23" s="1012" t="s">
        <v>1704</v>
      </c>
      <c r="B23" s="1048"/>
    </row>
    <row r="24" spans="1:10">
      <c r="A24" s="1012" t="s">
        <v>1705</v>
      </c>
      <c r="B24" s="1048"/>
    </row>
    <row r="25" spans="1:10">
      <c r="A25" s="1050"/>
      <c r="B25" s="1048"/>
    </row>
    <row r="26" spans="1:10" ht="20.100000000000001" customHeight="1">
      <c r="B26" s="1048"/>
      <c r="C26" s="2413"/>
      <c r="D26" s="2413"/>
      <c r="E26" s="1051"/>
      <c r="F26" s="2412"/>
      <c r="G26" s="2412"/>
    </row>
    <row r="27" spans="1:10">
      <c r="B27" s="1048"/>
      <c r="C27" s="1052" t="s">
        <v>1093</v>
      </c>
      <c r="D27" s="1053"/>
      <c r="E27" s="1054"/>
      <c r="F27" s="2409" t="s">
        <v>1589</v>
      </c>
      <c r="G27" s="2409"/>
    </row>
    <row r="28" spans="1:10" ht="28.5" customHeight="1">
      <c r="B28" s="1048"/>
      <c r="C28" s="2411"/>
      <c r="D28" s="2411"/>
      <c r="E28" s="1055"/>
      <c r="F28" s="2411"/>
      <c r="G28" s="2411"/>
    </row>
    <row r="29" spans="1:10">
      <c r="B29" s="1048"/>
      <c r="C29" s="1056" t="s">
        <v>1642</v>
      </c>
      <c r="E29" s="1057"/>
      <c r="F29" s="2410" t="s">
        <v>1590</v>
      </c>
      <c r="G29" s="2410"/>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392" t="s">
        <v>134</v>
      </c>
      <c r="D33" s="2393"/>
      <c r="E33" s="2393"/>
      <c r="F33" s="2393"/>
      <c r="G33" s="2393"/>
      <c r="H33" s="2393"/>
      <c r="I33" s="2393"/>
    </row>
    <row r="34" spans="1:10" ht="10.35" customHeight="1">
      <c r="C34" s="2393"/>
      <c r="D34" s="2393"/>
      <c r="E34" s="2393"/>
      <c r="F34" s="2393"/>
      <c r="G34" s="2393"/>
      <c r="H34" s="2393"/>
      <c r="I34" s="2393"/>
    </row>
    <row r="35" spans="1:10" ht="7.5" customHeight="1">
      <c r="C35" s="1063"/>
    </row>
    <row r="36" spans="1:10" ht="13.5" customHeight="1">
      <c r="B36" s="1062"/>
      <c r="C36" s="2394" t="s">
        <v>1941</v>
      </c>
      <c r="D36" s="2393"/>
      <c r="E36" s="2393"/>
      <c r="F36" s="2393"/>
      <c r="G36" s="2393"/>
      <c r="H36" s="2393"/>
      <c r="I36" s="2393"/>
      <c r="J36" s="1064"/>
    </row>
    <row r="37" spans="1:10" ht="22.5" customHeight="1">
      <c r="C37" s="2393"/>
      <c r="D37" s="2393"/>
      <c r="E37" s="2393"/>
      <c r="F37" s="2393"/>
      <c r="G37" s="2393"/>
      <c r="H37" s="2393"/>
      <c r="I37" s="2393"/>
      <c r="J37" s="1064"/>
    </row>
    <row r="38" spans="1:10" ht="7.5" customHeight="1">
      <c r="C38" s="1063"/>
      <c r="D38" s="1065"/>
      <c r="E38" s="1066"/>
      <c r="F38" s="1067"/>
      <c r="G38" s="1066"/>
    </row>
    <row r="39" spans="1:10" ht="13.5" customHeight="1">
      <c r="B39" s="1062"/>
      <c r="C39" s="2390" t="s">
        <v>937</v>
      </c>
      <c r="D39" s="2391"/>
      <c r="E39" s="2391"/>
      <c r="F39" s="2391"/>
      <c r="G39" s="2391"/>
      <c r="H39" s="2391"/>
      <c r="I39" s="2391"/>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topLeftCell="A52" zoomScaleNormal="100" workbookViewId="0">
      <selection sqref="A1:F1"/>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990">
        <v>1</v>
      </c>
      <c r="B5" s="1989" t="s">
        <v>2200</v>
      </c>
    </row>
    <row r="6" spans="1:2">
      <c r="A6" s="1990">
        <v>2</v>
      </c>
      <c r="B6" s="1989" t="s">
        <v>2201</v>
      </c>
    </row>
    <row r="7" spans="1:2">
      <c r="A7" s="1990">
        <v>3</v>
      </c>
      <c r="B7" s="1989" t="s">
        <v>2199</v>
      </c>
    </row>
    <row r="8" spans="1:2">
      <c r="A8" s="1990">
        <v>4</v>
      </c>
      <c r="B8" s="1989" t="s">
        <v>2197</v>
      </c>
    </row>
    <row r="9" spans="1:2">
      <c r="A9" s="1990">
        <v>5</v>
      </c>
      <c r="B9" s="1989" t="s">
        <v>2196</v>
      </c>
    </row>
    <row r="10" spans="1:2">
      <c r="A10" s="1990">
        <v>6</v>
      </c>
      <c r="B10" s="1989" t="s">
        <v>2194</v>
      </c>
    </row>
    <row r="11" spans="1:2">
      <c r="A11" s="1990">
        <v>7</v>
      </c>
      <c r="B11" s="1989" t="s">
        <v>2202</v>
      </c>
    </row>
    <row r="12" spans="1:2">
      <c r="A12" s="1990">
        <v>8</v>
      </c>
      <c r="B12" s="1989" t="s">
        <v>2203</v>
      </c>
    </row>
    <row r="13" spans="1:2">
      <c r="A13" s="1990">
        <v>9</v>
      </c>
      <c r="B13" s="1989" t="s">
        <v>2198</v>
      </c>
    </row>
    <row r="14" spans="1:2">
      <c r="A14" s="1990">
        <v>10</v>
      </c>
      <c r="B14" s="1989" t="s">
        <v>2195</v>
      </c>
    </row>
    <row r="15" spans="1:2">
      <c r="A15" s="1990"/>
      <c r="B15" s="1989"/>
    </row>
    <row r="16" spans="1:2">
      <c r="A16" s="1991"/>
      <c r="B16" s="1989"/>
    </row>
    <row r="17" spans="1:2">
      <c r="A17" s="1991"/>
      <c r="B17" s="675"/>
    </row>
    <row r="18" spans="1:2">
      <c r="A18" s="1069"/>
    </row>
    <row r="19" spans="1:2">
      <c r="A19" s="1069"/>
    </row>
    <row r="20" spans="1:2">
      <c r="A20" s="1069"/>
    </row>
    <row r="21" spans="1:2">
      <c r="A21" s="1069"/>
    </row>
    <row r="22" spans="1:2">
      <c r="A22" s="1069"/>
    </row>
    <row r="23" spans="1:2">
      <c r="A23" s="1069"/>
    </row>
    <row r="24" spans="1:2">
      <c r="A24" s="1069"/>
    </row>
    <row r="25" spans="1:2">
      <c r="A25" s="1069"/>
    </row>
    <row r="26" spans="1:2">
      <c r="A26" s="1069"/>
    </row>
    <row r="27" spans="1:2">
      <c r="A27" s="1069"/>
    </row>
    <row r="28" spans="1:2">
      <c r="A28" s="1069"/>
    </row>
    <row r="29" spans="1:2">
      <c r="A29" s="1069"/>
    </row>
    <row r="30" spans="1:2">
      <c r="A30" s="1069"/>
    </row>
    <row r="31" spans="1:2">
      <c r="A31" s="1069"/>
    </row>
    <row r="32" spans="1:2">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c r="B62" s="258" t="str">
        <f>COVER!A17</f>
        <v>East Moline SD 37</v>
      </c>
    </row>
    <row r="63" spans="1:2">
      <c r="B63" s="1070">
        <f>COVER!A13</f>
        <v>49081037002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4" colorId="8" zoomScaleNormal="100" workbookViewId="0">
      <selection sqref="A1:F1"/>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1573</v>
      </c>
    </row>
    <row r="15" spans="1:6">
      <c r="A15" s="389" t="s">
        <v>912</v>
      </c>
    </row>
    <row r="16" spans="1:6" s="1071" customFormat="1" ht="45" customHeight="1">
      <c r="A16" s="1073"/>
      <c r="B16" s="1073" t="s">
        <v>1783</v>
      </c>
    </row>
    <row r="17" spans="1:2" ht="6" customHeight="1"/>
    <row r="18" spans="1:2" ht="24.75" customHeight="1">
      <c r="A18" s="2414" t="s">
        <v>1784</v>
      </c>
      <c r="B18" s="241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415" t="s">
        <v>1790</v>
      </c>
      <c r="B1" s="2416"/>
      <c r="C1" s="2416"/>
      <c r="D1" s="2416"/>
      <c r="E1" s="2416"/>
      <c r="F1" s="2417"/>
    </row>
    <row r="2" spans="1:8" ht="45" customHeight="1">
      <c r="A2" s="2425" t="s">
        <v>1791</v>
      </c>
      <c r="B2" s="2426"/>
      <c r="C2" s="2426"/>
      <c r="D2" s="2426"/>
      <c r="E2" s="2426"/>
      <c r="F2" s="2427"/>
      <c r="G2" s="1074"/>
      <c r="H2" s="1074"/>
    </row>
    <row r="3" spans="1:8" ht="57" customHeight="1">
      <c r="A3" s="2428" t="s">
        <v>1786</v>
      </c>
      <c r="B3" s="2429"/>
      <c r="C3" s="2429"/>
      <c r="D3" s="2429"/>
      <c r="E3" s="2429"/>
      <c r="F3" s="2430"/>
      <c r="G3" s="1074"/>
      <c r="H3" s="1074"/>
    </row>
    <row r="4" spans="1:8" ht="14.25" customHeight="1">
      <c r="A4" s="2434" t="s">
        <v>2053</v>
      </c>
      <c r="B4" s="2435"/>
      <c r="C4" s="2435"/>
      <c r="D4" s="2435"/>
      <c r="E4" s="2435"/>
      <c r="F4" s="2436"/>
      <c r="G4" s="1074"/>
      <c r="H4" s="1074"/>
    </row>
    <row r="5" spans="1:8" ht="14.25" customHeight="1">
      <c r="A5" s="2437" t="s">
        <v>2054</v>
      </c>
      <c r="B5" s="2438"/>
      <c r="C5" s="2438"/>
      <c r="D5" s="2438"/>
      <c r="E5" s="2438"/>
      <c r="F5" s="2439"/>
      <c r="G5" s="1074"/>
      <c r="H5" s="1074"/>
    </row>
    <row r="6" spans="1:8" s="1075" customFormat="1" ht="41.25" customHeight="1">
      <c r="A6" s="2431" t="s">
        <v>1792</v>
      </c>
      <c r="B6" s="2432"/>
      <c r="C6" s="2432"/>
      <c r="D6" s="2432"/>
      <c r="E6" s="2432"/>
      <c r="F6" s="2433"/>
    </row>
    <row r="7" spans="1:8" ht="42" customHeight="1">
      <c r="A7" s="1076" t="s">
        <v>502</v>
      </c>
      <c r="B7" s="1077" t="s">
        <v>1576</v>
      </c>
      <c r="C7" s="1077" t="s">
        <v>1577</v>
      </c>
      <c r="D7" s="1077" t="s">
        <v>1575</v>
      </c>
      <c r="E7" s="1077" t="s">
        <v>1578</v>
      </c>
      <c r="F7" s="1077" t="s">
        <v>1434</v>
      </c>
    </row>
    <row r="8" spans="1:8" s="1079" customFormat="1" ht="14.25" customHeight="1">
      <c r="A8" s="1078" t="s">
        <v>1435</v>
      </c>
      <c r="B8" s="1836">
        <f>'Acct Summary 7-8'!C8</f>
        <v>26260167</v>
      </c>
      <c r="C8" s="1836">
        <f>'Acct Summary 7-8'!D8</f>
        <v>1822787</v>
      </c>
      <c r="D8" s="1836">
        <f>'Acct Summary 7-8'!F8</f>
        <v>1553517</v>
      </c>
      <c r="E8" s="1836">
        <f>'Acct Summary 7-8'!I8</f>
        <v>212230</v>
      </c>
      <c r="F8" s="1836">
        <f>SUM(B8:E8)</f>
        <v>29848701</v>
      </c>
    </row>
    <row r="9" spans="1:8" s="1079" customFormat="1" ht="14.25" customHeight="1" thickBot="1">
      <c r="A9" s="1078" t="s">
        <v>1436</v>
      </c>
      <c r="B9" s="1837">
        <f>'Acct Summary 7-8'!C17</f>
        <v>24219471</v>
      </c>
      <c r="C9" s="1837">
        <f>'Acct Summary 7-8'!D17</f>
        <v>2139207</v>
      </c>
      <c r="D9" s="1837">
        <f>'Acct Summary 7-8'!F17</f>
        <v>1501348</v>
      </c>
      <c r="E9" s="1836"/>
      <c r="F9" s="1836">
        <f>SUM(B9:E9)</f>
        <v>27860026</v>
      </c>
    </row>
    <row r="10" spans="1:8" s="1079" customFormat="1" ht="14.25" thickTop="1" thickBot="1">
      <c r="A10" s="1080" t="s">
        <v>1437</v>
      </c>
      <c r="B10" s="1838">
        <f>(B8-B9)</f>
        <v>2040696</v>
      </c>
      <c r="C10" s="1838">
        <f>(C8-C9)</f>
        <v>-316420</v>
      </c>
      <c r="D10" s="1838">
        <f>(D8-D9)</f>
        <v>52169</v>
      </c>
      <c r="E10" s="1837">
        <f>(E8-E9)</f>
        <v>212230</v>
      </c>
      <c r="F10" s="1839">
        <f>SUM(F8-F9)</f>
        <v>1988675</v>
      </c>
    </row>
    <row r="11" spans="1:8" s="1079" customFormat="1" ht="14.25" thickTop="1" thickBot="1">
      <c r="A11" s="1081" t="s">
        <v>1785</v>
      </c>
      <c r="B11" s="1840">
        <f>'Acct Summary 7-8'!C81</f>
        <v>2697378</v>
      </c>
      <c r="C11" s="1840">
        <f>'Acct Summary 7-8'!D81</f>
        <v>551465</v>
      </c>
      <c r="D11" s="1840">
        <f>'Acct Summary 7-8'!F81</f>
        <v>262107</v>
      </c>
      <c r="E11" s="1840">
        <f>'Acct Summary 7-8'!I81</f>
        <v>4938972</v>
      </c>
      <c r="F11" s="1841">
        <f>SUM(B11:E11)</f>
        <v>8449922</v>
      </c>
    </row>
    <row r="12" spans="1:8" ht="16.5" customHeight="1" thickTop="1">
      <c r="A12" s="1082"/>
      <c r="B12" s="1083"/>
      <c r="C12" s="2419" t="str">
        <f>IF(AND(F10&lt;0,F11&gt;=0,ABS(F10*3)&gt;ABS(F11)),A16,IF(AND(F10&lt;0,F11&gt;0,ABS(F10*3)&lt;=ABS(F11)),A17,IF(AND(F10&lt;0,F11&lt;0),A16,IF(F11=0,A19,A18))))</f>
        <v>Balanced - no deficit reduction plan is required.</v>
      </c>
      <c r="D12" s="2420"/>
      <c r="E12" s="2420"/>
      <c r="F12" s="2421"/>
    </row>
    <row r="13" spans="1:8" ht="19.5" customHeight="1">
      <c r="A13" s="1084"/>
      <c r="B13" s="1085"/>
      <c r="C13" s="2419"/>
      <c r="D13" s="2420"/>
      <c r="E13" s="2420"/>
      <c r="F13" s="2421"/>
      <c r="H13" s="1074"/>
    </row>
    <row r="14" spans="1:8" ht="19.5" customHeight="1">
      <c r="A14" s="1084"/>
      <c r="B14" s="1085"/>
      <c r="C14" s="2419"/>
      <c r="D14" s="2420"/>
      <c r="E14" s="2420"/>
      <c r="F14" s="2421"/>
      <c r="H14" s="1074"/>
    </row>
    <row r="15" spans="1:8" ht="17.25" customHeight="1">
      <c r="A15" s="1084"/>
      <c r="B15" s="1085"/>
      <c r="C15" s="2422"/>
      <c r="D15" s="2423"/>
      <c r="E15" s="2423"/>
      <c r="F15" s="2424"/>
      <c r="H15" s="1074"/>
    </row>
    <row r="16" spans="1:8" s="310" customFormat="1" ht="51.75" hidden="1" customHeight="1">
      <c r="A16" s="2418" t="s">
        <v>1787</v>
      </c>
      <c r="B16" s="2418"/>
      <c r="C16" s="2418"/>
      <c r="D16" s="2418"/>
      <c r="E16" s="2418"/>
      <c r="F16" s="310" t="s">
        <v>1438</v>
      </c>
    </row>
    <row r="17" spans="1:6" hidden="1">
      <c r="A17" s="316" t="s">
        <v>1788</v>
      </c>
      <c r="F17" s="1086" t="s">
        <v>1439</v>
      </c>
    </row>
    <row r="18" spans="1:6" hidden="1">
      <c r="A18" s="316" t="s">
        <v>1789</v>
      </c>
      <c r="F18" s="316" t="s">
        <v>1477</v>
      </c>
    </row>
    <row r="19" spans="1:6" hidden="1">
      <c r="A19" s="316" t="s">
        <v>1476</v>
      </c>
      <c r="F19" s="316" t="s">
        <v>1441</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920"/>
      <c r="B2" s="1921"/>
      <c r="C2" s="1922"/>
      <c r="D2" s="1923"/>
    </row>
    <row r="3" spans="1:4" ht="36" customHeight="1">
      <c r="A3" s="2440" t="s">
        <v>686</v>
      </c>
      <c r="B3" s="2441"/>
      <c r="C3" s="2441"/>
      <c r="D3" s="2442"/>
    </row>
    <row r="4" spans="1:4">
      <c r="A4" s="1152" t="s">
        <v>1793</v>
      </c>
      <c r="B4" s="1153"/>
      <c r="C4" s="1154"/>
      <c r="D4" s="1155"/>
    </row>
    <row r="5" spans="1:4" ht="21" customHeight="1">
      <c r="A5" s="1148"/>
      <c r="B5" s="1149">
        <v>1</v>
      </c>
      <c r="C5" s="1150" t="s">
        <v>1943</v>
      </c>
      <c r="D5" s="1151"/>
    </row>
    <row r="6" spans="1:4" s="669" customFormat="1" ht="14.25" customHeight="1">
      <c r="A6" s="1138"/>
      <c r="B6" s="1093">
        <f t="shared" ref="B6:B13" si="0">B5+1</f>
        <v>2</v>
      </c>
      <c r="C6" s="1094" t="s">
        <v>919</v>
      </c>
      <c r="D6" s="1095"/>
    </row>
    <row r="7" spans="1:4" s="669" customFormat="1" ht="12.75">
      <c r="A7" s="1138"/>
      <c r="B7" s="1093">
        <f t="shared" si="0"/>
        <v>3</v>
      </c>
      <c r="C7" s="2451" t="s">
        <v>1584</v>
      </c>
      <c r="D7" s="2452"/>
    </row>
    <row r="8" spans="1:4" s="669" customFormat="1" ht="12.75">
      <c r="A8" s="1138"/>
      <c r="B8" s="1093"/>
      <c r="C8" s="1096" t="s">
        <v>1583</v>
      </c>
      <c r="D8" s="1097"/>
    </row>
    <row r="9" spans="1:4" s="669" customFormat="1" ht="14.25" customHeight="1">
      <c r="A9" s="1138"/>
      <c r="B9" s="1093">
        <f>B7+1</f>
        <v>4</v>
      </c>
      <c r="C9" s="1094" t="s">
        <v>2046</v>
      </c>
      <c r="D9" s="1095"/>
    </row>
    <row r="10" spans="1:4" s="669" customFormat="1" ht="14.25" customHeight="1">
      <c r="A10" s="1138"/>
      <c r="B10" s="1093">
        <f t="shared" si="0"/>
        <v>5</v>
      </c>
      <c r="C10" s="1094" t="s">
        <v>660</v>
      </c>
      <c r="D10" s="1095"/>
    </row>
    <row r="11" spans="1:4" s="669" customFormat="1" ht="14.25" customHeight="1">
      <c r="A11" s="1138"/>
      <c r="B11" s="1093">
        <f t="shared" si="0"/>
        <v>6</v>
      </c>
      <c r="C11" s="1094" t="s">
        <v>811</v>
      </c>
      <c r="D11" s="1095"/>
    </row>
    <row r="12" spans="1:4" s="669" customFormat="1" ht="14.25" customHeight="1">
      <c r="A12" s="1138"/>
      <c r="B12" s="1093">
        <f t="shared" si="0"/>
        <v>7</v>
      </c>
      <c r="C12" s="1094" t="s">
        <v>1122</v>
      </c>
      <c r="D12" s="1095"/>
    </row>
    <row r="13" spans="1:4" s="669" customFormat="1" ht="14.25" customHeight="1">
      <c r="A13" s="1138"/>
      <c r="B13" s="1093">
        <f t="shared" si="0"/>
        <v>8</v>
      </c>
      <c r="C13" s="1134" t="s">
        <v>812</v>
      </c>
      <c r="D13" s="1095"/>
    </row>
    <row r="14" spans="1:4" s="669" customFormat="1" ht="14.25" customHeight="1">
      <c r="A14" s="1138"/>
      <c r="B14" s="1135">
        <v>9</v>
      </c>
      <c r="C14" s="1136" t="s">
        <v>1585</v>
      </c>
      <c r="D14" s="1137"/>
    </row>
    <row r="15" spans="1:4" s="669" customFormat="1" ht="21.75" customHeight="1">
      <c r="A15" s="2443" t="s">
        <v>1065</v>
      </c>
      <c r="B15" s="2444"/>
      <c r="C15" s="2444"/>
      <c r="D15" s="2445"/>
    </row>
    <row r="16" spans="1:4" s="669" customFormat="1" ht="24" customHeight="1">
      <c r="A16" s="2446" t="s">
        <v>684</v>
      </c>
      <c r="B16" s="2447"/>
      <c r="C16" s="2447"/>
      <c r="D16" s="2448"/>
    </row>
    <row r="17" spans="1:10" s="669" customFormat="1" ht="12.75" customHeight="1">
      <c r="A17" s="1156" t="s">
        <v>1794</v>
      </c>
      <c r="B17" s="1157"/>
      <c r="C17" s="1158"/>
      <c r="D17" s="1159"/>
    </row>
    <row r="18" spans="1:10" s="669" customFormat="1" ht="12.75" customHeight="1">
      <c r="A18" s="1160" t="s">
        <v>1795</v>
      </c>
      <c r="B18" s="1161"/>
      <c r="C18" s="1162"/>
      <c r="D18" s="1163"/>
    </row>
    <row r="19" spans="1:10" ht="6.75" customHeight="1" thickBot="1">
      <c r="A19" s="1164"/>
      <c r="B19" s="1165"/>
      <c r="C19" s="1166"/>
      <c r="D19" s="1167"/>
    </row>
    <row r="20" spans="1:10" s="1171" customFormat="1" ht="12.75" thickTop="1">
      <c r="A20" s="1168"/>
      <c r="B20" s="1169" t="s">
        <v>1796</v>
      </c>
      <c r="C20" s="1170"/>
      <c r="D20" s="1173" t="s">
        <v>734</v>
      </c>
    </row>
    <row r="21" spans="1:10">
      <c r="A21" s="1098"/>
      <c r="B21" s="1099">
        <v>1</v>
      </c>
      <c r="C21" s="2455" t="s">
        <v>332</v>
      </c>
      <c r="D21" s="2456"/>
    </row>
    <row r="22" spans="1:10" ht="12.75">
      <c r="A22" s="1139"/>
      <c r="B22" s="1140">
        <v>2</v>
      </c>
      <c r="C22" s="2453" t="s">
        <v>1605</v>
      </c>
      <c r="D22" s="2454"/>
    </row>
    <row r="23" spans="1:10" ht="12.2" customHeight="1">
      <c r="A23" s="1139"/>
      <c r="B23" s="1140"/>
      <c r="C23" s="1141" t="s">
        <v>1011</v>
      </c>
      <c r="D23" s="1142" t="str">
        <f>IF(COVER!O11="X","CASH",IF(COVER!O12="X","ACCRUAL ","PLEASE CHECK AN ACCOUNTING BASIS."))</f>
        <v>CASH</v>
      </c>
    </row>
    <row r="24" spans="1:10" ht="12.2" customHeight="1">
      <c r="A24" s="1139"/>
      <c r="B24" s="1140"/>
      <c r="C24" s="1141" t="s">
        <v>1399</v>
      </c>
      <c r="D24" s="1142" t="str">
        <f>IF(COVER!O11="X","OK",IF(AND('Aud Quest 2'!J90=0,'Aud Quest 2'!I77&lt;DATE(2017,12,31)),"ENTER ACCOUNTING INFO",IF(AND('Aud Quest 2'!J90&gt;0,'Aud Quest 2'!I77&lt;DATE(2017,12,31)),"OK")))</f>
        <v>OK</v>
      </c>
    </row>
    <row r="25" spans="1:10">
      <c r="A25" s="1100"/>
      <c r="B25" s="1101"/>
      <c r="C25" s="1102" t="s">
        <v>1607</v>
      </c>
      <c r="D25" s="1103" t="str">
        <f>IF(AND(COVER!J29="X",COVER!J30="X",COVER!L30&lt;&gt;"X"),"OK",IF(AND(COVER!J29="X",COVER!J30&lt;&gt;"X",COVER!L30="X"),"OK",IF(AND(COVER!L29="X",COVER!J30&lt;&gt;"X"),"OK","PLEASE CHECK YES or NO.")))</f>
        <v>OK</v>
      </c>
    </row>
    <row r="26" spans="1:10">
      <c r="A26" s="1100"/>
      <c r="B26" s="1143"/>
      <c r="C26" s="1104" t="s">
        <v>1606</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OK</v>
      </c>
    </row>
    <row r="28" spans="1:10" ht="24" hidden="1" customHeight="1">
      <c r="A28" s="1106"/>
      <c r="B28" s="1143"/>
      <c r="C28" s="1102" t="s">
        <v>897</v>
      </c>
      <c r="D28" s="1107" t="b">
        <f>IF('Aud Quest 2'!B53="X",IF('Aud Quest 2'!F53&gt;"00/00/00 ","Enter Effective Date","ok"))</f>
        <v>0</v>
      </c>
    </row>
    <row r="29" spans="1:10">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9"/>
      <c r="F31" s="359"/>
      <c r="G31" s="359"/>
      <c r="H31" s="359"/>
      <c r="I31" s="359"/>
      <c r="J31" s="359"/>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57" t="s">
        <v>557</v>
      </c>
      <c r="D43" s="2458"/>
    </row>
    <row r="44" spans="1:12">
      <c r="A44" s="1119"/>
      <c r="B44" s="1121"/>
      <c r="C44" s="1122" t="s">
        <v>1402</v>
      </c>
      <c r="D44" s="1123" t="str">
        <f>IF(SUM('Assets-Liab 5-6'!C13)&lt;&gt;SUM('Assets-Liab 5-6'!C41),"ERROR!","OK")</f>
        <v>OK</v>
      </c>
    </row>
    <row r="45" spans="1:12">
      <c r="A45" s="1119"/>
      <c r="B45" s="1121"/>
      <c r="C45" s="1122" t="s">
        <v>1403</v>
      </c>
      <c r="D45" s="1123" t="str">
        <f>IF(SUM('Assets-Liab 5-6'!D13)&lt;&gt;SUM('Assets-Liab 5-6'!D41),"ERROR!","OK")</f>
        <v>OK</v>
      </c>
    </row>
    <row r="46" spans="1:12">
      <c r="A46" s="1119"/>
      <c r="B46" s="1121"/>
      <c r="C46" s="1122" t="s">
        <v>1404</v>
      </c>
      <c r="D46" s="1123" t="str">
        <f>IF(SUM('Assets-Liab 5-6'!E13)&lt;&gt;SUM('Assets-Liab 5-6'!E41),"ERROR!","OK")</f>
        <v>OK</v>
      </c>
    </row>
    <row r="47" spans="1:12">
      <c r="A47" s="1119"/>
      <c r="B47" s="1121"/>
      <c r="C47" s="1122" t="s">
        <v>1405</v>
      </c>
      <c r="D47" s="1123" t="str">
        <f>IF(SUM('Assets-Liab 5-6'!F13)&lt;&gt;SUM('Assets-Liab 5-6'!F41),"ERROR!","OK")</f>
        <v>OK</v>
      </c>
    </row>
    <row r="48" spans="1:12">
      <c r="A48" s="1119"/>
      <c r="B48" s="1121"/>
      <c r="C48" s="1122" t="s">
        <v>1406</v>
      </c>
      <c r="D48" s="1123" t="str">
        <f>IF(SUM('Assets-Liab 5-6'!G13)&lt;&gt;SUM('Assets-Liab 5-6'!G41),"ERROR!","OK")</f>
        <v>OK</v>
      </c>
    </row>
    <row r="49" spans="1:4">
      <c r="A49" s="1119"/>
      <c r="B49" s="1121"/>
      <c r="C49" s="1122" t="s">
        <v>1407</v>
      </c>
      <c r="D49" s="1123" t="str">
        <f>IF(SUM('Assets-Liab 5-6'!H13)&lt;&gt;SUM('Assets-Liab 5-6'!H41),"ERROR!","OK")</f>
        <v>OK</v>
      </c>
    </row>
    <row r="50" spans="1:4">
      <c r="A50" s="1119"/>
      <c r="B50" s="1121"/>
      <c r="C50" s="1122" t="s">
        <v>1408</v>
      </c>
      <c r="D50" s="1123" t="str">
        <f>IF(SUM('Assets-Liab 5-6'!I13)&lt;&gt;SUM('Assets-Liab 5-6'!I41),"ERROR!","OK")</f>
        <v>OK</v>
      </c>
    </row>
    <row r="51" spans="1:4">
      <c r="A51" s="1119"/>
      <c r="B51" s="1121"/>
      <c r="C51" s="1122" t="s">
        <v>1409</v>
      </c>
      <c r="D51" s="1123" t="str">
        <f>IF(SUM('Assets-Liab 5-6'!J13)&lt;&gt;SUM('Assets-Liab 5-6'!J41),"ERROR!","OK")</f>
        <v>OK</v>
      </c>
    </row>
    <row r="52" spans="1:4">
      <c r="A52" s="1119"/>
      <c r="B52" s="1121"/>
      <c r="C52" s="1122" t="s">
        <v>1410</v>
      </c>
      <c r="D52" s="1123" t="str">
        <f>IF(SUM('Assets-Liab 5-6'!K13)&lt;&gt;SUM('Assets-Liab 5-6'!K41),"ERROR!","OK")</f>
        <v>OK</v>
      </c>
    </row>
    <row r="53" spans="1:4">
      <c r="A53" s="1119"/>
      <c r="B53" s="1121"/>
      <c r="C53" s="1122" t="s">
        <v>1411</v>
      </c>
      <c r="D53" s="1123" t="str">
        <f>IF(SUM('Assets-Liab 5-6'!L13)&lt;&gt;('Assets-Liab 5-6'!L41),"ERROR!","OK")</f>
        <v>OK</v>
      </c>
    </row>
    <row r="54" spans="1:4">
      <c r="A54" s="1119"/>
      <c r="B54" s="1121"/>
      <c r="C54" s="1122" t="s">
        <v>1412</v>
      </c>
      <c r="D54" s="1123" t="str">
        <f>IF(SUM('Assets-Liab 5-6'!M23)&lt;&gt;('Assets-Liab 5-6'!M41),"ERROR!","OK")</f>
        <v>OK</v>
      </c>
    </row>
    <row r="55" spans="1:4">
      <c r="A55" s="1119"/>
      <c r="B55" s="1121"/>
      <c r="C55" s="1122" t="s">
        <v>1413</v>
      </c>
      <c r="D55" s="1123" t="str">
        <f>IF(SUM('Assets-Liab 5-6'!N23)&lt;&gt;('Assets-Liab 5-6'!N41),"ERROR!","OK")</f>
        <v>OK</v>
      </c>
    </row>
    <row r="56" spans="1:4">
      <c r="A56" s="1100"/>
      <c r="B56" s="1120">
        <f>B43+1</f>
        <v>6</v>
      </c>
      <c r="C56" s="2449" t="s">
        <v>817</v>
      </c>
      <c r="D56" s="2450"/>
    </row>
    <row r="57" spans="1:4" s="1116" customFormat="1">
      <c r="A57" s="1100"/>
      <c r="B57" s="1110"/>
      <c r="C57" s="1118" t="s">
        <v>1414</v>
      </c>
      <c r="D57" s="1124" t="str">
        <f>IF('Assets-Liab 5-6'!C38+'Assets-Liab 5-6'!C39='Acct Summary 7-8'!C81,"OK","ERROR!")</f>
        <v>OK</v>
      </c>
    </row>
    <row r="58" spans="1:4">
      <c r="A58" s="1100"/>
      <c r="B58" s="1110"/>
      <c r="C58" s="1118" t="s">
        <v>1415</v>
      </c>
      <c r="D58" s="1124" t="str">
        <f>IF((('Assets-Liab 5-6'!D38+'Assets-Liab 5-6'!D39) ='Acct Summary 7-8'!D81), "OK", "ERROR!" )</f>
        <v>OK</v>
      </c>
    </row>
    <row r="59" spans="1:4" s="1116" customFormat="1">
      <c r="A59" s="1100"/>
      <c r="B59" s="1110"/>
      <c r="C59" s="1118" t="s">
        <v>1416</v>
      </c>
      <c r="D59" s="1124" t="str">
        <f>IF((('Assets-Liab 5-6'!E38 + 'Assets-Liab 5-6'!E39) ='Acct Summary 7-8'!E81), "OK", "ERROR!" )</f>
        <v>OK</v>
      </c>
    </row>
    <row r="60" spans="1:4">
      <c r="A60" s="1100"/>
      <c r="B60" s="1110"/>
      <c r="C60" s="1118" t="s">
        <v>1417</v>
      </c>
      <c r="D60" s="1124" t="str">
        <f>IF((('Assets-Liab 5-6'!F38 + 'Assets-Liab 5-6'!F39) ='Acct Summary 7-8'!F81), "OK", "ERROR!" )</f>
        <v>OK</v>
      </c>
    </row>
    <row r="61" spans="1:4" ht="12.75" customHeight="1">
      <c r="A61" s="1100"/>
      <c r="B61" s="1110"/>
      <c r="C61" s="1118" t="s">
        <v>1430</v>
      </c>
      <c r="D61" s="1124" t="str">
        <f>IF((('Assets-Liab 5-6'!G38 + 'Assets-Liab 5-6'!G39) ='Acct Summary 7-8'!G81), "OK", "ERROR!" )</f>
        <v>OK</v>
      </c>
    </row>
    <row r="62" spans="1:4">
      <c r="A62" s="1100"/>
      <c r="B62" s="1110"/>
      <c r="C62" s="1118" t="s">
        <v>1418</v>
      </c>
      <c r="D62" s="1124" t="str">
        <f>IF((('Assets-Liab 5-6'!H38 + 'Assets-Liab 5-6'!H39) ='Acct Summary 7-8'!H81), "OK", "ERROR!" )</f>
        <v>OK</v>
      </c>
    </row>
    <row r="63" spans="1:4" ht="12.75" customHeight="1">
      <c r="A63" s="1100"/>
      <c r="B63" s="1110"/>
      <c r="C63" s="1118" t="s">
        <v>1419</v>
      </c>
      <c r="D63" s="1124" t="str">
        <f>IF((('Assets-Liab 5-6'!I38 + 'Assets-Liab 5-6'!I39) ='Acct Summary 7-8'!I81), "OK", "ERROR!" )</f>
        <v>OK</v>
      </c>
    </row>
    <row r="64" spans="1:4">
      <c r="A64" s="1100"/>
      <c r="B64" s="1110"/>
      <c r="C64" s="1118" t="s">
        <v>1420</v>
      </c>
      <c r="D64" s="1124" t="str">
        <f>IF((('Assets-Liab 5-6'!J38 + 'Assets-Liab 5-6'!J39) ='Acct Summary 7-8'!J81), "OK", "ERROR!" )</f>
        <v>OK</v>
      </c>
    </row>
    <row r="65" spans="1:4">
      <c r="A65" s="1117"/>
      <c r="B65" s="1110"/>
      <c r="C65" s="1118" t="s">
        <v>1431</v>
      </c>
      <c r="D65" s="1124" t="str">
        <f>IF((('Assets-Liab 5-6'!K38 + 'Assets-Liab 5-6'!K39) ='Acct Summary 7-8'!K81), "OK", "ERROR!" )</f>
        <v>OK</v>
      </c>
    </row>
    <row r="66" spans="1:4">
      <c r="A66" s="1098"/>
      <c r="B66" s="1140">
        <f>B56+1+1</f>
        <v>8</v>
      </c>
      <c r="C66" s="1146" t="s">
        <v>2047</v>
      </c>
      <c r="D66" s="1125"/>
    </row>
    <row r="67" spans="1:4">
      <c r="A67" s="1119"/>
      <c r="B67" s="1140"/>
      <c r="C67" s="1147" t="s">
        <v>1079</v>
      </c>
      <c r="D67" s="1125"/>
    </row>
    <row r="68" spans="1:4">
      <c r="A68" s="1100"/>
      <c r="B68" s="1110"/>
      <c r="C68" s="1102" t="s">
        <v>2048</v>
      </c>
      <c r="D68" s="1124" t="str">
        <f>IF('Short-Term Long-Term Debt 24'!F49=SUM(,'Acct Summary 7-8'!C33:K33),"OK","ERROR!")</f>
        <v>OK</v>
      </c>
    </row>
    <row r="69" spans="1:4">
      <c r="A69" s="1100"/>
      <c r="B69" s="1110"/>
      <c r="C69" s="1102" t="s">
        <v>2049</v>
      </c>
      <c r="D69" s="1124" t="str">
        <f>IF('Expenditures 15-22'!H170&lt;&gt;'Short-Term Long-Term Debt 24'!H49,"ERROR!","OK")</f>
        <v>OK</v>
      </c>
    </row>
    <row r="70" spans="1:4">
      <c r="A70" s="1098"/>
      <c r="B70" s="1120">
        <f>B66+1</f>
        <v>9</v>
      </c>
      <c r="C70" s="2449" t="s">
        <v>1797</v>
      </c>
      <c r="D70" s="2450"/>
    </row>
    <row r="71" spans="1:4">
      <c r="A71" s="1098"/>
      <c r="B71" s="1120"/>
      <c r="C71" s="1102" t="s">
        <v>1421</v>
      </c>
      <c r="D71" s="1126" t="str">
        <f>IF(SUM('Acct Summary 7-8'!C27:K27) =SUM( 'Acct Summary 7-8'!C49:K49),"OK", "ERROR")</f>
        <v>OK</v>
      </c>
    </row>
    <row r="72" spans="1:4">
      <c r="A72" s="1100"/>
      <c r="B72" s="1110"/>
      <c r="C72" s="1118" t="s">
        <v>1422</v>
      </c>
      <c r="D72" s="1124" t="str">
        <f>IF(SUM('Acct Summary 7-8'!C28:K28)=SUM('Acct Summary 7-8'!C50:K50),"OK","ERROR!")</f>
        <v>OK</v>
      </c>
    </row>
    <row r="73" spans="1:4" ht="24">
      <c r="A73" s="1127"/>
      <c r="B73" s="1110"/>
      <c r="C73" s="1118" t="s">
        <v>1798</v>
      </c>
      <c r="D73" s="1126" t="str">
        <f>IF(SUM('Acct Summary 7-8'!C42:K42)&gt;=SUM( 'Acct Summary 7-8'!C74:K74),"OK", "ERROR")</f>
        <v>OK</v>
      </c>
    </row>
    <row r="74" spans="1:4">
      <c r="A74" s="1098"/>
      <c r="B74" s="1120">
        <f>B70+1</f>
        <v>10</v>
      </c>
      <c r="C74" s="1114" t="s">
        <v>2050</v>
      </c>
      <c r="D74" s="1128"/>
    </row>
    <row r="75" spans="1:4">
      <c r="A75" s="1100"/>
      <c r="B75" s="1110"/>
      <c r="C75" s="1118" t="s">
        <v>1444</v>
      </c>
      <c r="D75" s="1124" t="str">
        <f>IF(SUM('Assets-Liab 5-6'!C38:H38)&gt;=SUM('Rest Tax Levies-Tort Im 25'!G25:K25),"OK","ERROR")</f>
        <v>OK</v>
      </c>
    </row>
    <row r="76" spans="1:4">
      <c r="A76" s="1100"/>
      <c r="B76" s="1110"/>
      <c r="C76" s="1118" t="s">
        <v>1490</v>
      </c>
      <c r="D76" s="1124" t="str">
        <f>IF(SUM('Assets-Liab 5-6'!C39:K39)&gt;0,"OK","ENTRY IS REQUIRED!")</f>
        <v>OK</v>
      </c>
    </row>
    <row r="77" spans="1:4">
      <c r="A77" s="1100"/>
      <c r="B77" s="1129">
        <f>B74+1</f>
        <v>11</v>
      </c>
      <c r="C77" s="1174" t="s">
        <v>1445</v>
      </c>
      <c r="D77" s="1124"/>
    </row>
    <row r="78" spans="1:4">
      <c r="A78" s="1100"/>
      <c r="B78" s="1110"/>
      <c r="C78" s="1118" t="s">
        <v>2051</v>
      </c>
      <c r="D78" s="1124" t="str">
        <f>IF(ISNUMBER('Acct Summary 7-8'!C9),"OK","ENTRY IS REQUIRED!")</f>
        <v>OK</v>
      </c>
    </row>
    <row r="79" spans="1:4">
      <c r="A79" s="1119"/>
      <c r="B79" s="1120">
        <f>B74+1+1</f>
        <v>12</v>
      </c>
      <c r="C79" s="1130" t="s">
        <v>2016</v>
      </c>
      <c r="D79" s="1131" t="str">
        <f>IF(OR(COVER!$B$6="X",'PCTC-OEPP 27-28'!F78&gt;0),"OK","PLEASE ENTER 9 MO ADA.")</f>
        <v>OK</v>
      </c>
    </row>
    <row r="80" spans="1:4">
      <c r="A80" s="1098"/>
      <c r="B80" s="1120">
        <v>13</v>
      </c>
      <c r="C80" s="1130" t="s">
        <v>2052</v>
      </c>
      <c r="D80" s="1131" t="str">
        <f>IF('Contracts Paid in CY 29'!D141&gt;0,"OK","PLEASE ENTER CONTRACTS PAID IN CURRENT YEAR.")</f>
        <v>OK</v>
      </c>
    </row>
    <row r="81" spans="1:4">
      <c r="A81" s="1098"/>
      <c r="B81" s="1120">
        <v>14</v>
      </c>
      <c r="C81" s="1130" t="s">
        <v>1496</v>
      </c>
      <c r="D81" s="1123" t="str">
        <f>IF('Shared Outsourced Services 31'!B8="X","OK",IF('Shared Outsourced Services 31'!K34&gt;0,"OK","ENTRY REQUIRED!"))</f>
        <v>OK</v>
      </c>
    </row>
    <row r="82" spans="1:4">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49081037002</v>
      </c>
    </row>
    <row r="3" spans="1:2">
      <c r="A3" t="s">
        <v>1013</v>
      </c>
      <c r="B3" s="138" t="str">
        <f>COVER!A15</f>
        <v>Rock Island</v>
      </c>
    </row>
    <row r="4" spans="1:2">
      <c r="A4" t="s">
        <v>1064</v>
      </c>
      <c r="B4" s="138" t="str">
        <f>COVER!A17</f>
        <v>East Moline SD 37</v>
      </c>
    </row>
    <row r="5" spans="1:2">
      <c r="A5" t="s">
        <v>728</v>
      </c>
      <c r="B5" s="138" t="str">
        <f>COVER!A38</f>
        <v>Kristin Humphries</v>
      </c>
    </row>
    <row r="6" spans="1:2">
      <c r="A6" t="s">
        <v>733</v>
      </c>
      <c r="B6" s="138">
        <f>COVER!P35</f>
        <v>0</v>
      </c>
    </row>
    <row r="7" spans="1:2">
      <c r="A7" t="s">
        <v>729</v>
      </c>
      <c r="B7" s="138">
        <f>COVER!I38</f>
        <v>0</v>
      </c>
    </row>
    <row r="8" spans="1:2">
      <c r="A8" t="s">
        <v>730</v>
      </c>
      <c r="B8" s="138">
        <f>COVER!T38</f>
        <v>0</v>
      </c>
    </row>
    <row r="9" spans="1:2">
      <c r="A9" s="3" t="s">
        <v>1014</v>
      </c>
      <c r="B9" s="158" t="str">
        <f>AUDITCHECK!D23</f>
        <v>CASH</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066-004023</v>
      </c>
    </row>
    <row r="16" spans="1:2">
      <c r="A16" t="s">
        <v>442</v>
      </c>
      <c r="B16" s="138" t="str">
        <f>COVER!T13</f>
        <v>Wipfli LLP</v>
      </c>
    </row>
    <row r="17" spans="1:2">
      <c r="A17" t="s">
        <v>939</v>
      </c>
      <c r="B17" s="138" t="str">
        <f>COVER!T15</f>
        <v>Matthew Schueler</v>
      </c>
    </row>
    <row r="18" spans="1:2">
      <c r="A18" t="s">
        <v>1212</v>
      </c>
      <c r="B18" s="138" t="str">
        <f>COVER!T17</f>
        <v>403 East Third</v>
      </c>
    </row>
    <row r="19" spans="1:2">
      <c r="A19" t="s">
        <v>941</v>
      </c>
      <c r="B19" s="138" t="str">
        <f>COVER!T25</f>
        <v>mschueler@wipfli.com</v>
      </c>
    </row>
    <row r="20" spans="1:2">
      <c r="A20" t="s">
        <v>942</v>
      </c>
      <c r="B20" s="138" t="str">
        <f>COVER!T19</f>
        <v>Sterling</v>
      </c>
    </row>
    <row r="21" spans="1:2">
      <c r="A21" t="s">
        <v>500</v>
      </c>
      <c r="B21" s="138" t="str">
        <f>COVER!X19</f>
        <v>Illinois</v>
      </c>
    </row>
    <row r="22" spans="1:2">
      <c r="A22" t="s">
        <v>943</v>
      </c>
      <c r="B22" s="138">
        <f>COVER!Z19</f>
        <v>61081</v>
      </c>
    </row>
    <row r="23" spans="1:2">
      <c r="A23" t="s">
        <v>1214</v>
      </c>
      <c r="B23" s="138" t="str">
        <f>COVER!T21</f>
        <v>815-626-1277</v>
      </c>
    </row>
    <row r="24" spans="1:2">
      <c r="A24" t="s">
        <v>1213</v>
      </c>
      <c r="B24" s="138">
        <f>COVER!Y21</f>
        <v>0</v>
      </c>
    </row>
    <row r="25" spans="1:2">
      <c r="A25" t="s">
        <v>785</v>
      </c>
      <c r="B25" s="138" t="str">
        <f>COVER!B34</f>
        <v>x</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0</v>
      </c>
    </row>
    <row r="50" spans="1:4">
      <c r="A50" s="1" t="s">
        <v>1559</v>
      </c>
      <c r="B50" s="150">
        <f>'Aud Quest 2'!H53</f>
        <v>0</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2697149</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2697378</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2587886</v>
      </c>
      <c r="D92" s="2" t="str">
        <f t="shared" si="0"/>
        <v>Error?</v>
      </c>
    </row>
    <row r="93" spans="1:4">
      <c r="A93" s="5">
        <v>32</v>
      </c>
      <c r="B93" s="138">
        <f>'Assets-Liab 5-6'!C41</f>
        <v>2697378</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686459</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686465</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135000</v>
      </c>
      <c r="C122" s="2" t="s">
        <v>594</v>
      </c>
      <c r="D122" s="2" t="str">
        <f t="shared" si="0"/>
        <v>Error?</v>
      </c>
    </row>
    <row r="123" spans="1:4">
      <c r="A123" s="5">
        <v>62</v>
      </c>
      <c r="B123" s="138">
        <f>'Assets-Liab 5-6'!D39</f>
        <v>413488</v>
      </c>
      <c r="D123" s="2" t="str">
        <f t="shared" si="0"/>
        <v>Error?</v>
      </c>
    </row>
    <row r="124" spans="1:4">
      <c r="A124" s="5">
        <v>63</v>
      </c>
      <c r="B124" s="138">
        <f>'Assets-Liab 5-6'!D41</f>
        <v>686465</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2652960</v>
      </c>
      <c r="D129" s="2" t="str">
        <f t="shared" si="1"/>
        <v>Error?</v>
      </c>
    </row>
    <row r="130" spans="1:4">
      <c r="A130" s="5">
        <v>69</v>
      </c>
      <c r="B130" s="138">
        <f>'Assets-Liab 5-6'!E12</f>
        <v>0</v>
      </c>
      <c r="D130" s="2" t="str">
        <f t="shared" si="1"/>
        <v>Error?</v>
      </c>
    </row>
    <row r="131" spans="1:4">
      <c r="A131" s="5">
        <v>70</v>
      </c>
      <c r="B131" s="138">
        <f>'Assets-Liab 5-6'!E13</f>
        <v>2786291</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1714983</v>
      </c>
      <c r="D140" s="2" t="str">
        <f t="shared" si="1"/>
        <v>Error?</v>
      </c>
    </row>
    <row r="141" spans="1:4">
      <c r="A141" s="5">
        <v>80</v>
      </c>
      <c r="B141" s="138">
        <f>'Assets-Liab 5-6'!E41</f>
        <v>2786291</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355539</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355539</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93432</v>
      </c>
      <c r="C169" s="2" t="s">
        <v>594</v>
      </c>
      <c r="D169" s="2" t="str">
        <f t="shared" si="1"/>
        <v>Error?</v>
      </c>
    </row>
    <row r="170" spans="1:4">
      <c r="A170" s="5">
        <v>109</v>
      </c>
      <c r="B170" s="138">
        <f>'Assets-Liab 5-6'!F39</f>
        <v>262107</v>
      </c>
      <c r="D170" s="2" t="str">
        <f t="shared" si="1"/>
        <v>Error?</v>
      </c>
    </row>
    <row r="171" spans="1:4">
      <c r="A171" s="5">
        <v>110</v>
      </c>
      <c r="B171" s="138">
        <f>'Assets-Liab 5-6'!F41</f>
        <v>355539</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128903</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128903</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128903</v>
      </c>
      <c r="D189" s="2" t="str">
        <f t="shared" si="1"/>
        <v>Error?</v>
      </c>
    </row>
    <row r="190" spans="1:4">
      <c r="A190" s="5">
        <v>129</v>
      </c>
      <c r="B190" s="138">
        <f>'Assets-Liab 5-6'!G41</f>
        <v>128903</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225869</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225869</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225869</v>
      </c>
      <c r="D212" s="2" t="str">
        <f t="shared" si="2"/>
        <v>Error?</v>
      </c>
    </row>
    <row r="213" spans="1:4">
      <c r="A213" s="12">
        <v>152</v>
      </c>
      <c r="B213" s="138">
        <f>'Assets-Liab 5-6'!H41</f>
        <v>225869</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85616</v>
      </c>
      <c r="D273" s="2" t="str">
        <f t="shared" si="3"/>
        <v>Error?</v>
      </c>
    </row>
    <row r="274" spans="1:4">
      <c r="A274" s="5">
        <v>213</v>
      </c>
      <c r="B274" s="138">
        <f>'Assets-Liab 5-6'!M17</f>
        <v>38512087</v>
      </c>
      <c r="D274" s="2" t="str">
        <f t="shared" si="3"/>
        <v>Error?</v>
      </c>
    </row>
    <row r="275" spans="1:4">
      <c r="A275" s="5">
        <v>214</v>
      </c>
      <c r="B275" s="138">
        <f>'Assets-Liab 5-6'!M18</f>
        <v>152380</v>
      </c>
      <c r="D275" s="2" t="str">
        <f t="shared" si="3"/>
        <v>Error?</v>
      </c>
    </row>
    <row r="276" spans="1:4">
      <c r="A276" s="5">
        <v>215</v>
      </c>
      <c r="B276" s="138">
        <f>'Assets-Liab 5-6'!M19</f>
        <v>393697</v>
      </c>
      <c r="D276" s="2" t="str">
        <f t="shared" si="3"/>
        <v>Error?</v>
      </c>
    </row>
    <row r="277" spans="1:4">
      <c r="A277" s="10">
        <v>216</v>
      </c>
      <c r="D277" s="2" t="str">
        <f t="shared" si="3"/>
        <v>OK</v>
      </c>
    </row>
    <row r="278" spans="1:4">
      <c r="A278" s="10">
        <v>217</v>
      </c>
      <c r="D278" s="2" t="str">
        <f t="shared" si="3"/>
        <v>OK</v>
      </c>
    </row>
    <row r="279" spans="1:4">
      <c r="A279" s="5">
        <v>218</v>
      </c>
      <c r="B279" s="138">
        <f>'Assets-Liab 5-6'!M23</f>
        <v>39143780</v>
      </c>
      <c r="C279" s="2" t="s">
        <v>594</v>
      </c>
      <c r="D279" s="2" t="str">
        <f t="shared" si="3"/>
        <v>Error?</v>
      </c>
    </row>
    <row r="280" spans="1:4">
      <c r="A280" s="5">
        <v>219</v>
      </c>
      <c r="B280" s="138">
        <f>'Assets-Liab 5-6'!M40</f>
        <v>39143780</v>
      </c>
      <c r="D280" s="2" t="str">
        <f t="shared" si="3"/>
        <v>Error?</v>
      </c>
    </row>
    <row r="281" spans="1:4">
      <c r="A281" s="5">
        <v>220</v>
      </c>
      <c r="B281" s="138">
        <f>'Assets-Liab 5-6'!M41</f>
        <v>39143780</v>
      </c>
      <c r="C281" s="2" t="s">
        <v>594</v>
      </c>
      <c r="D281" s="2" t="str">
        <f t="shared" si="3"/>
        <v>Error?</v>
      </c>
    </row>
    <row r="282" spans="1:4">
      <c r="A282" s="5">
        <v>221</v>
      </c>
      <c r="B282" s="138">
        <f>'Assets-Liab 5-6'!N21</f>
        <v>2786291</v>
      </c>
      <c r="D282" s="2" t="str">
        <f t="shared" si="3"/>
        <v>Error?</v>
      </c>
    </row>
    <row r="283" spans="1:4">
      <c r="A283" s="5">
        <v>222</v>
      </c>
      <c r="B283" s="138">
        <f>'Assets-Liab 5-6'!N22</f>
        <v>22668709</v>
      </c>
      <c r="D283" s="2" t="str">
        <f t="shared" si="3"/>
        <v>Error?</v>
      </c>
    </row>
    <row r="284" spans="1:4">
      <c r="A284" s="5">
        <v>223</v>
      </c>
      <c r="B284" s="138">
        <f>'Assets-Liab 5-6'!N23</f>
        <v>25455000</v>
      </c>
      <c r="C284" s="2" t="s">
        <v>594</v>
      </c>
      <c r="D284" s="2" t="str">
        <f t="shared" si="3"/>
        <v>Error?</v>
      </c>
    </row>
    <row r="285" spans="1:4">
      <c r="A285" s="5">
        <v>224</v>
      </c>
      <c r="B285" s="138">
        <f>'Assets-Liab 5-6'!N36</f>
        <v>25455000</v>
      </c>
      <c r="D285" s="2" t="str">
        <f t="shared" si="3"/>
        <v>Error?</v>
      </c>
    </row>
    <row r="286" spans="1:4">
      <c r="A286" s="10">
        <v>225</v>
      </c>
      <c r="D286" s="2" t="str">
        <f t="shared" si="3"/>
        <v>OK</v>
      </c>
    </row>
    <row r="287" spans="1:4">
      <c r="A287" s="5">
        <v>226</v>
      </c>
      <c r="B287" s="138">
        <f>'Assets-Liab 5-6'!N37</f>
        <v>25455000</v>
      </c>
      <c r="C287" s="2" t="s">
        <v>594</v>
      </c>
      <c r="D287" s="2" t="str">
        <f t="shared" si="3"/>
        <v>Error?</v>
      </c>
    </row>
    <row r="288" spans="1:4">
      <c r="A288" s="5">
        <v>227</v>
      </c>
      <c r="B288" s="138">
        <f>'Assets-Liab 5-6'!N41</f>
        <v>25455000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8925962</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797634</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97433</v>
      </c>
      <c r="D718" s="2" t="str">
        <f t="shared" si="10"/>
        <v>Error?</v>
      </c>
    </row>
    <row r="719" spans="1:4">
      <c r="A719" s="5">
        <v>658</v>
      </c>
      <c r="B719" s="138">
        <f>'Expenditures 15-22'!C15</f>
        <v>0</v>
      </c>
      <c r="D719" s="2" t="str">
        <f t="shared" si="10"/>
        <v>Error?</v>
      </c>
    </row>
    <row r="720" spans="1:4">
      <c r="A720" s="5">
        <v>659</v>
      </c>
      <c r="B720" s="138">
        <f>'Expenditures 15-22'!C33</f>
        <v>13136321</v>
      </c>
      <c r="C720" s="2" t="s">
        <v>594</v>
      </c>
      <c r="D720" s="2" t="str">
        <f t="shared" si="10"/>
        <v>Error?</v>
      </c>
    </row>
    <row r="721" spans="1:4">
      <c r="A721" s="5">
        <v>660</v>
      </c>
      <c r="B721" s="138">
        <f>'Expenditures 15-22'!C36</f>
        <v>211417</v>
      </c>
      <c r="D721" s="2" t="str">
        <f t="shared" si="10"/>
        <v>Error?</v>
      </c>
    </row>
    <row r="722" spans="1:4">
      <c r="A722" s="5">
        <v>661</v>
      </c>
      <c r="B722" s="138">
        <f>'Expenditures 15-22'!C37</f>
        <v>637610</v>
      </c>
      <c r="D722" s="2" t="str">
        <f t="shared" si="10"/>
        <v>Error?</v>
      </c>
    </row>
    <row r="723" spans="1:4">
      <c r="A723" s="5">
        <v>662</v>
      </c>
      <c r="B723" s="138">
        <f>'Expenditures 15-22'!C38</f>
        <v>178759</v>
      </c>
      <c r="D723" s="2" t="str">
        <f t="shared" si="10"/>
        <v>Error?</v>
      </c>
    </row>
    <row r="724" spans="1:4">
      <c r="A724" s="5">
        <v>663</v>
      </c>
      <c r="B724" s="138">
        <f>'Expenditures 15-22'!C39</f>
        <v>118197</v>
      </c>
      <c r="D724" s="2" t="str">
        <f t="shared" si="10"/>
        <v>Error?</v>
      </c>
    </row>
    <row r="725" spans="1:4">
      <c r="A725" s="5">
        <v>664</v>
      </c>
      <c r="B725" s="138">
        <f>'Expenditures 15-22'!C40</f>
        <v>373959</v>
      </c>
      <c r="D725" s="2" t="str">
        <f t="shared" si="10"/>
        <v>Error?</v>
      </c>
    </row>
    <row r="726" spans="1:4">
      <c r="A726" s="5">
        <v>665</v>
      </c>
      <c r="B726" s="138">
        <f>'Expenditures 15-22'!C41</f>
        <v>180671</v>
      </c>
      <c r="D726" s="2" t="str">
        <f t="shared" si="10"/>
        <v>Error?</v>
      </c>
    </row>
    <row r="727" spans="1:4">
      <c r="A727" s="5">
        <v>666</v>
      </c>
      <c r="B727" s="138">
        <f>'Expenditures 15-22'!C42</f>
        <v>1700613</v>
      </c>
      <c r="C727" s="2" t="s">
        <v>594</v>
      </c>
      <c r="D727" s="2" t="str">
        <f t="shared" si="10"/>
        <v>Error?</v>
      </c>
    </row>
    <row r="728" spans="1:4">
      <c r="A728" s="5">
        <v>667</v>
      </c>
      <c r="B728" s="138">
        <f>'Expenditures 15-22'!C44</f>
        <v>355402</v>
      </c>
      <c r="D728" s="2" t="str">
        <f t="shared" si="10"/>
        <v>Error?</v>
      </c>
    </row>
    <row r="729" spans="1:4">
      <c r="A729" s="5">
        <v>668</v>
      </c>
      <c r="B729" s="138">
        <f>'Expenditures 15-22'!C45</f>
        <v>15013</v>
      </c>
      <c r="D729" s="2" t="str">
        <f t="shared" si="10"/>
        <v>Error?</v>
      </c>
    </row>
    <row r="730" spans="1:4">
      <c r="A730" s="5">
        <v>669</v>
      </c>
      <c r="B730" s="138">
        <f>'Expenditures 15-22'!C46</f>
        <v>41188</v>
      </c>
      <c r="D730" s="2" t="str">
        <f t="shared" si="10"/>
        <v>Error?</v>
      </c>
    </row>
    <row r="731" spans="1:4">
      <c r="A731" s="5">
        <v>670</v>
      </c>
      <c r="B731" s="138">
        <f>'Expenditures 15-22'!C47</f>
        <v>411603</v>
      </c>
      <c r="C731" s="2" t="s">
        <v>594</v>
      </c>
      <c r="D731" s="2" t="str">
        <f t="shared" si="10"/>
        <v>Error?</v>
      </c>
    </row>
    <row r="732" spans="1:4">
      <c r="A732" s="5">
        <v>671</v>
      </c>
      <c r="B732" s="138">
        <f>'Expenditures 15-22'!C49</f>
        <v>69698</v>
      </c>
      <c r="D732" s="2" t="str">
        <f t="shared" si="10"/>
        <v>Error?</v>
      </c>
    </row>
    <row r="733" spans="1:4">
      <c r="A733" s="5">
        <v>672</v>
      </c>
      <c r="B733" s="138">
        <f>'Expenditures 15-22'!C50</f>
        <v>144830</v>
      </c>
      <c r="D733" s="2" t="str">
        <f t="shared" si="10"/>
        <v>Error?</v>
      </c>
    </row>
    <row r="734" spans="1:4">
      <c r="A734" s="5">
        <v>673</v>
      </c>
      <c r="B734" s="138">
        <f>'Expenditures 15-22'!C53</f>
        <v>425706</v>
      </c>
      <c r="C734" s="2" t="s">
        <v>594</v>
      </c>
      <c r="D734" s="2" t="str">
        <f t="shared" si="10"/>
        <v>Error?</v>
      </c>
    </row>
    <row r="735" spans="1:4">
      <c r="A735" s="5">
        <v>674</v>
      </c>
      <c r="B735" s="138">
        <f>'Expenditures 15-22'!C55</f>
        <v>1216614</v>
      </c>
      <c r="D735" s="2" t="str">
        <f t="shared" si="10"/>
        <v>Error?</v>
      </c>
    </row>
    <row r="736" spans="1:4">
      <c r="A736" s="5">
        <v>675</v>
      </c>
      <c r="B736" s="138">
        <f>'Expenditures 15-22'!C56</f>
        <v>0</v>
      </c>
      <c r="D736" s="2" t="str">
        <f t="shared" si="10"/>
        <v>Error?</v>
      </c>
    </row>
    <row r="737" spans="1:4">
      <c r="A737" s="5">
        <v>676</v>
      </c>
      <c r="B737" s="138">
        <f>'Expenditures 15-22'!C57</f>
        <v>1216614</v>
      </c>
      <c r="C737" s="2" t="s">
        <v>594</v>
      </c>
      <c r="D737" s="2" t="str">
        <f t="shared" si="10"/>
        <v>Error?</v>
      </c>
    </row>
    <row r="738" spans="1:4">
      <c r="A738" s="5">
        <v>677</v>
      </c>
      <c r="B738" s="138">
        <f>'Expenditures 15-22'!C59</f>
        <v>124467</v>
      </c>
      <c r="D738" s="2" t="str">
        <f t="shared" si="10"/>
        <v>Error?</v>
      </c>
    </row>
    <row r="739" spans="1:4">
      <c r="A739" s="5">
        <v>678</v>
      </c>
      <c r="B739" s="138">
        <f>'Expenditures 15-22'!C60</f>
        <v>111140</v>
      </c>
      <c r="D739" s="2" t="str">
        <f t="shared" si="10"/>
        <v>Error?</v>
      </c>
    </row>
    <row r="740" spans="1:4">
      <c r="A740" s="5">
        <v>679</v>
      </c>
      <c r="B740" s="138">
        <f>'Expenditures 15-22'!C61</f>
        <v>0</v>
      </c>
      <c r="D740" s="2" t="str">
        <f t="shared" si="10"/>
        <v>Error?</v>
      </c>
    </row>
    <row r="741" spans="1:4">
      <c r="A741" s="5">
        <v>680</v>
      </c>
      <c r="B741" s="138">
        <f>'Expenditures 15-22'!C62</f>
        <v>16062</v>
      </c>
      <c r="D741" s="2" t="str">
        <f t="shared" si="10"/>
        <v>Error?</v>
      </c>
    </row>
    <row r="742" spans="1:4">
      <c r="A742" s="5">
        <v>681</v>
      </c>
      <c r="B742" s="138">
        <f>'Expenditures 15-22'!C63</f>
        <v>554711</v>
      </c>
      <c r="D742" s="2" t="str">
        <f t="shared" si="10"/>
        <v>Error?</v>
      </c>
    </row>
    <row r="743" spans="1:4">
      <c r="A743" s="5">
        <v>682</v>
      </c>
      <c r="B743" s="138">
        <f>'Expenditures 15-22'!C64</f>
        <v>22237</v>
      </c>
      <c r="D743" s="2" t="str">
        <f t="shared" si="10"/>
        <v>Error?</v>
      </c>
    </row>
    <row r="744" spans="1:4">
      <c r="A744" s="10">
        <v>683</v>
      </c>
      <c r="D744" s="2" t="str">
        <f t="shared" si="10"/>
        <v>OK</v>
      </c>
    </row>
    <row r="745" spans="1:4">
      <c r="A745" s="5">
        <v>684</v>
      </c>
      <c r="B745" s="138">
        <f>'Expenditures 15-22'!C65</f>
        <v>828617</v>
      </c>
      <c r="C745" s="2" t="s">
        <v>594</v>
      </c>
      <c r="D745" s="2" t="str">
        <f t="shared" si="10"/>
        <v>Error?</v>
      </c>
    </row>
    <row r="746" spans="1:4">
      <c r="A746" s="5">
        <v>685</v>
      </c>
      <c r="B746" s="138">
        <f>'Expenditures 15-22'!C67</f>
        <v>177835</v>
      </c>
      <c r="D746" s="2" t="str">
        <f t="shared" si="10"/>
        <v>Error?</v>
      </c>
    </row>
    <row r="747" spans="1:4">
      <c r="A747" s="5">
        <v>686</v>
      </c>
      <c r="B747" s="138">
        <f>'Expenditures 15-22'!C68</f>
        <v>0</v>
      </c>
      <c r="D747" s="2" t="str">
        <f t="shared" si="10"/>
        <v>Error?</v>
      </c>
    </row>
    <row r="748" spans="1:4">
      <c r="A748" s="5">
        <v>687</v>
      </c>
      <c r="B748" s="138">
        <f>'Expenditures 15-22'!C69</f>
        <v>418154</v>
      </c>
      <c r="D748" s="2" t="str">
        <f t="shared" si="10"/>
        <v>Error?</v>
      </c>
    </row>
    <row r="749" spans="1:4">
      <c r="A749" s="5">
        <v>688</v>
      </c>
      <c r="B749" s="138">
        <f>'Expenditures 15-22'!C70</f>
        <v>123990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719979</v>
      </c>
      <c r="C753" s="2" t="s">
        <v>594</v>
      </c>
      <c r="D753" s="2" t="str">
        <f t="shared" si="10"/>
        <v>Error?</v>
      </c>
    </row>
    <row r="754" spans="1:4">
      <c r="A754" s="5">
        <v>693</v>
      </c>
      <c r="B754" s="138">
        <f>'Expenditures 15-22'!C73</f>
        <v>0</v>
      </c>
      <c r="D754" s="2" t="str">
        <f t="shared" si="10"/>
        <v>Error?</v>
      </c>
    </row>
    <row r="755" spans="1:4">
      <c r="A755" s="5">
        <v>694</v>
      </c>
      <c r="B755" s="138">
        <f>'Expenditures 15-22'!C74</f>
        <v>5303132</v>
      </c>
      <c r="C755" s="2" t="s">
        <v>594</v>
      </c>
      <c r="D755" s="2" t="str">
        <f t="shared" si="10"/>
        <v>Error?</v>
      </c>
    </row>
    <row r="756" spans="1:4">
      <c r="A756" s="5">
        <v>695</v>
      </c>
      <c r="B756" s="138">
        <f>'Expenditures 15-22'!C75</f>
        <v>31587</v>
      </c>
      <c r="D756" s="2" t="str">
        <f t="shared" si="10"/>
        <v>Error?</v>
      </c>
    </row>
    <row r="757" spans="1:4">
      <c r="A757" s="5">
        <v>696</v>
      </c>
      <c r="B757" s="138">
        <f>'Expenditures 15-22'!C114</f>
        <v>18471040</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891204</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82040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2272</v>
      </c>
      <c r="D776" s="2" t="str">
        <f t="shared" si="11"/>
        <v>Error?</v>
      </c>
    </row>
    <row r="777" spans="1:4">
      <c r="A777" s="5">
        <v>716</v>
      </c>
      <c r="B777" s="138">
        <f>'Expenditures 15-22'!D15</f>
        <v>0</v>
      </c>
      <c r="D777" s="2" t="str">
        <f t="shared" si="11"/>
        <v>Error?</v>
      </c>
    </row>
    <row r="778" spans="1:4">
      <c r="A778" s="5">
        <v>717</v>
      </c>
      <c r="B778" s="138">
        <f>'Expenditures 15-22'!D33</f>
        <v>1387589</v>
      </c>
      <c r="C778" s="2" t="s">
        <v>594</v>
      </c>
      <c r="D778" s="2" t="str">
        <f t="shared" si="11"/>
        <v>Error?</v>
      </c>
    </row>
    <row r="779" spans="1:4">
      <c r="A779" s="5">
        <v>718</v>
      </c>
      <c r="B779" s="138">
        <f>'Expenditures 15-22'!D36</f>
        <v>27182</v>
      </c>
      <c r="D779" s="2" t="str">
        <f t="shared" si="11"/>
        <v>Error?</v>
      </c>
    </row>
    <row r="780" spans="1:4">
      <c r="A780" s="5">
        <v>719</v>
      </c>
      <c r="B780" s="138">
        <f>'Expenditures 15-22'!D37</f>
        <v>60044</v>
      </c>
      <c r="D780" s="2" t="str">
        <f t="shared" si="11"/>
        <v>Error?</v>
      </c>
    </row>
    <row r="781" spans="1:4">
      <c r="A781" s="5">
        <v>720</v>
      </c>
      <c r="B781" s="138">
        <f>'Expenditures 15-22'!D38</f>
        <v>25961</v>
      </c>
      <c r="D781" s="2" t="str">
        <f t="shared" si="11"/>
        <v>Error?</v>
      </c>
    </row>
    <row r="782" spans="1:4">
      <c r="A782" s="5">
        <v>721</v>
      </c>
      <c r="B782" s="138">
        <f>'Expenditures 15-22'!D39</f>
        <v>12943</v>
      </c>
      <c r="D782" s="2" t="str">
        <f t="shared" si="11"/>
        <v>Error?</v>
      </c>
    </row>
    <row r="783" spans="1:4">
      <c r="A783" s="5">
        <v>722</v>
      </c>
      <c r="B783" s="138">
        <f>'Expenditures 15-22'!D40</f>
        <v>42509</v>
      </c>
      <c r="D783" s="2" t="str">
        <f t="shared" si="11"/>
        <v>Error?</v>
      </c>
    </row>
    <row r="784" spans="1:4">
      <c r="A784" s="5">
        <v>723</v>
      </c>
      <c r="B784" s="138">
        <f>'Expenditures 15-22'!D41</f>
        <v>1313</v>
      </c>
      <c r="D784" s="2" t="str">
        <f t="shared" si="11"/>
        <v>Error?</v>
      </c>
    </row>
    <row r="785" spans="1:4">
      <c r="A785" s="5">
        <v>724</v>
      </c>
      <c r="B785" s="138">
        <f>'Expenditures 15-22'!D42</f>
        <v>169952</v>
      </c>
      <c r="C785" s="2" t="s">
        <v>594</v>
      </c>
      <c r="D785" s="2" t="str">
        <f t="shared" si="11"/>
        <v>Error?</v>
      </c>
    </row>
    <row r="786" spans="1:4">
      <c r="A786" s="5">
        <v>725</v>
      </c>
      <c r="B786" s="138">
        <f>'Expenditures 15-22'!D44</f>
        <v>40530</v>
      </c>
      <c r="D786" s="2" t="str">
        <f t="shared" si="11"/>
        <v>Error?</v>
      </c>
    </row>
    <row r="787" spans="1:4">
      <c r="A787" s="5">
        <v>726</v>
      </c>
      <c r="B787" s="138">
        <f>'Expenditures 15-22'!D45</f>
        <v>25</v>
      </c>
      <c r="D787" s="2" t="str">
        <f t="shared" si="11"/>
        <v>Error?</v>
      </c>
    </row>
    <row r="788" spans="1:4">
      <c r="A788" s="5">
        <v>727</v>
      </c>
      <c r="B788" s="138">
        <f>'Expenditures 15-22'!D46</f>
        <v>106</v>
      </c>
      <c r="D788" s="2" t="str">
        <f t="shared" si="11"/>
        <v>Error?</v>
      </c>
    </row>
    <row r="789" spans="1:4">
      <c r="A789" s="5">
        <v>728</v>
      </c>
      <c r="B789" s="138">
        <f>'Expenditures 15-22'!D47</f>
        <v>40661</v>
      </c>
      <c r="C789" s="2" t="s">
        <v>594</v>
      </c>
      <c r="D789" s="2" t="str">
        <f t="shared" si="11"/>
        <v>Error?</v>
      </c>
    </row>
    <row r="790" spans="1:4">
      <c r="A790" s="5">
        <v>729</v>
      </c>
      <c r="B790" s="138">
        <f>'Expenditures 15-22'!D49</f>
        <v>6596</v>
      </c>
      <c r="D790" s="2" t="str">
        <f t="shared" si="11"/>
        <v>Error?</v>
      </c>
    </row>
    <row r="791" spans="1:4">
      <c r="A791" s="5">
        <v>730</v>
      </c>
      <c r="B791" s="138">
        <f>'Expenditures 15-22'!D50</f>
        <v>44191</v>
      </c>
      <c r="D791" s="2" t="str">
        <f t="shared" si="11"/>
        <v>Error?</v>
      </c>
    </row>
    <row r="792" spans="1:4">
      <c r="A792" s="5">
        <v>731</v>
      </c>
      <c r="B792" s="138">
        <f>'Expenditures 15-22'!D53</f>
        <v>79683</v>
      </c>
      <c r="C792" s="2" t="s">
        <v>594</v>
      </c>
      <c r="D792" s="2" t="str">
        <f t="shared" si="11"/>
        <v>Error?</v>
      </c>
    </row>
    <row r="793" spans="1:4">
      <c r="A793" s="5">
        <v>732</v>
      </c>
      <c r="B793" s="138">
        <f>'Expenditures 15-22'!D55</f>
        <v>201964</v>
      </c>
      <c r="D793" s="2" t="str">
        <f t="shared" si="11"/>
        <v>Error?</v>
      </c>
    </row>
    <row r="794" spans="1:4">
      <c r="A794" s="5">
        <v>733</v>
      </c>
      <c r="B794" s="138">
        <f>'Expenditures 15-22'!D56</f>
        <v>0</v>
      </c>
      <c r="D794" s="2" t="str">
        <f t="shared" si="11"/>
        <v>Error?</v>
      </c>
    </row>
    <row r="795" spans="1:4">
      <c r="A795" s="5">
        <v>734</v>
      </c>
      <c r="B795" s="138">
        <f>'Expenditures 15-22'!D57</f>
        <v>201964</v>
      </c>
      <c r="C795" s="2" t="s">
        <v>594</v>
      </c>
      <c r="D795" s="2" t="str">
        <f t="shared" si="11"/>
        <v>Error?</v>
      </c>
    </row>
    <row r="796" spans="1:4">
      <c r="A796" s="5">
        <v>735</v>
      </c>
      <c r="B796" s="138">
        <f>'Expenditures 15-22'!D59</f>
        <v>10367</v>
      </c>
      <c r="D796" s="2" t="str">
        <f t="shared" si="11"/>
        <v>Error?</v>
      </c>
    </row>
    <row r="797" spans="1:4">
      <c r="A797" s="5">
        <v>736</v>
      </c>
      <c r="B797" s="138">
        <f>'Expenditures 15-22'!D60</f>
        <v>15365</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75779</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101511</v>
      </c>
      <c r="C803" s="2" t="s">
        <v>594</v>
      </c>
      <c r="D803" s="2" t="str">
        <f t="shared" si="11"/>
        <v>Error?</v>
      </c>
    </row>
    <row r="804" spans="1:4">
      <c r="A804" s="5">
        <v>743</v>
      </c>
      <c r="B804" s="138">
        <f>'Expenditures 15-22'!D67</f>
        <v>24606</v>
      </c>
      <c r="D804" s="2" t="str">
        <f t="shared" si="11"/>
        <v>Error?</v>
      </c>
    </row>
    <row r="805" spans="1:4">
      <c r="A805" s="5">
        <v>744</v>
      </c>
      <c r="B805" s="138">
        <f>'Expenditures 15-22'!D68</f>
        <v>0</v>
      </c>
      <c r="D805" s="2" t="str">
        <f t="shared" si="11"/>
        <v>Error?</v>
      </c>
    </row>
    <row r="806" spans="1:4">
      <c r="A806" s="5">
        <v>745</v>
      </c>
      <c r="B806" s="138">
        <f>'Expenditures 15-22'!D69</f>
        <v>56526</v>
      </c>
      <c r="D806" s="2" t="str">
        <f t="shared" si="11"/>
        <v>Error?</v>
      </c>
    </row>
    <row r="807" spans="1:4">
      <c r="A807" s="5">
        <v>746</v>
      </c>
      <c r="B807" s="138">
        <f>'Expenditures 15-22'!D70</f>
        <v>10225</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91357</v>
      </c>
      <c r="C811" s="2" t="s">
        <v>594</v>
      </c>
      <c r="D811" s="2" t="str">
        <f t="shared" si="11"/>
        <v>Error?</v>
      </c>
    </row>
    <row r="812" spans="1:4">
      <c r="A812" s="5">
        <v>751</v>
      </c>
      <c r="B812" s="138">
        <f>'Expenditures 15-22'!D73</f>
        <v>0</v>
      </c>
      <c r="D812" s="2" t="str">
        <f t="shared" si="11"/>
        <v>Error?</v>
      </c>
    </row>
    <row r="813" spans="1:4">
      <c r="A813" s="5">
        <v>752</v>
      </c>
      <c r="B813" s="138">
        <f>'Expenditures 15-22'!D74</f>
        <v>685128</v>
      </c>
      <c r="C813" s="2" t="s">
        <v>594</v>
      </c>
      <c r="D813" s="2" t="str">
        <f t="shared" si="11"/>
        <v>Error?</v>
      </c>
    </row>
    <row r="814" spans="1:4">
      <c r="A814" s="5">
        <v>753</v>
      </c>
      <c r="B814" s="138">
        <f>'Expenditures 15-22'!D75</f>
        <v>776</v>
      </c>
      <c r="D814" s="2" t="str">
        <f t="shared" si="11"/>
        <v>Error?</v>
      </c>
    </row>
    <row r="815" spans="1:4">
      <c r="A815" s="5">
        <v>754</v>
      </c>
      <c r="B815" s="138">
        <f>'Expenditures 15-22'!D114</f>
        <v>2073493</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61650</v>
      </c>
      <c r="D821" s="2" t="str">
        <f t="shared" si="11"/>
        <v>Error?</v>
      </c>
    </row>
    <row r="822" spans="1:4">
      <c r="A822" s="5">
        <v>761</v>
      </c>
      <c r="B822" s="138">
        <f>'Expenditures 15-22'!E16</f>
        <v>1148</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8505</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3912</v>
      </c>
      <c r="D834" s="2" t="str">
        <f t="shared" si="12"/>
        <v>Error?</v>
      </c>
    </row>
    <row r="835" spans="1:4">
      <c r="A835" s="5">
        <v>774</v>
      </c>
      <c r="B835" s="138">
        <f>'Expenditures 15-22'!E15</f>
        <v>0</v>
      </c>
      <c r="D835" s="2" t="str">
        <f t="shared" si="12"/>
        <v>Error?</v>
      </c>
    </row>
    <row r="836" spans="1:4">
      <c r="A836" s="5">
        <v>775</v>
      </c>
      <c r="B836" s="138">
        <f>'Expenditures 15-22'!E33</f>
        <v>143299</v>
      </c>
      <c r="C836" s="2" t="s">
        <v>594</v>
      </c>
      <c r="D836" s="2" t="str">
        <f t="shared" si="12"/>
        <v>Error?</v>
      </c>
    </row>
    <row r="837" spans="1:4">
      <c r="A837" s="5">
        <v>776</v>
      </c>
      <c r="B837" s="138">
        <f>'Expenditures 15-22'!E36</f>
        <v>353</v>
      </c>
      <c r="D837" s="2" t="str">
        <f t="shared" si="12"/>
        <v>Error?</v>
      </c>
    </row>
    <row r="838" spans="1:4">
      <c r="A838" s="5">
        <v>777</v>
      </c>
      <c r="B838" s="138">
        <f>'Expenditures 15-22'!E37</f>
        <v>362</v>
      </c>
      <c r="D838" s="2" t="str">
        <f t="shared" si="12"/>
        <v>Error?</v>
      </c>
    </row>
    <row r="839" spans="1:4">
      <c r="A839" s="5">
        <v>778</v>
      </c>
      <c r="B839" s="138">
        <f>'Expenditures 15-22'!E38</f>
        <v>271</v>
      </c>
      <c r="D839" s="2" t="str">
        <f t="shared" si="12"/>
        <v>Error?</v>
      </c>
    </row>
    <row r="840" spans="1:4">
      <c r="A840" s="5">
        <v>779</v>
      </c>
      <c r="B840" s="138">
        <f>'Expenditures 15-22'!E39</f>
        <v>442</v>
      </c>
      <c r="D840" s="2" t="str">
        <f t="shared" si="12"/>
        <v>Error?</v>
      </c>
    </row>
    <row r="841" spans="1:4">
      <c r="A841" s="5">
        <v>780</v>
      </c>
      <c r="B841" s="138">
        <f>'Expenditures 15-22'!E40</f>
        <v>12435</v>
      </c>
      <c r="D841" s="2" t="str">
        <f t="shared" si="12"/>
        <v>Error?</v>
      </c>
    </row>
    <row r="842" spans="1:4">
      <c r="A842" s="5">
        <v>781</v>
      </c>
      <c r="B842" s="138">
        <f>'Expenditures 15-22'!E41</f>
        <v>0</v>
      </c>
      <c r="D842" s="2" t="str">
        <f t="shared" si="12"/>
        <v>Error?</v>
      </c>
    </row>
    <row r="843" spans="1:4">
      <c r="A843" s="5">
        <v>782</v>
      </c>
      <c r="B843" s="138">
        <f>'Expenditures 15-22'!E42</f>
        <v>13863</v>
      </c>
      <c r="C843" s="2" t="s">
        <v>594</v>
      </c>
      <c r="D843" s="2" t="str">
        <f t="shared" si="12"/>
        <v>Error?</v>
      </c>
    </row>
    <row r="844" spans="1:4">
      <c r="A844" s="5">
        <v>783</v>
      </c>
      <c r="B844" s="138">
        <f>'Expenditures 15-22'!E44</f>
        <v>268440</v>
      </c>
      <c r="D844" s="2" t="str">
        <f t="shared" si="12"/>
        <v>Error?</v>
      </c>
    </row>
    <row r="845" spans="1:4">
      <c r="A845" s="5">
        <v>784</v>
      </c>
      <c r="B845" s="138">
        <f>'Expenditures 15-22'!E45</f>
        <v>0</v>
      </c>
      <c r="D845" s="2" t="str">
        <f t="shared" si="12"/>
        <v>Error?</v>
      </c>
    </row>
    <row r="846" spans="1:4">
      <c r="A846" s="5">
        <v>785</v>
      </c>
      <c r="B846" s="138">
        <f>'Expenditures 15-22'!E46</f>
        <v>51856</v>
      </c>
      <c r="D846" s="2" t="str">
        <f t="shared" si="12"/>
        <v>Error?</v>
      </c>
    </row>
    <row r="847" spans="1:4">
      <c r="A847" s="5">
        <v>786</v>
      </c>
      <c r="B847" s="138">
        <f>'Expenditures 15-22'!E47</f>
        <v>320296</v>
      </c>
      <c r="C847" s="2" t="s">
        <v>594</v>
      </c>
      <c r="D847" s="2" t="str">
        <f t="shared" si="12"/>
        <v>Error?</v>
      </c>
    </row>
    <row r="848" spans="1:4">
      <c r="A848" s="5">
        <v>787</v>
      </c>
      <c r="B848" s="138">
        <f>'Expenditures 15-22'!E49</f>
        <v>181721</v>
      </c>
      <c r="D848" s="2" t="str">
        <f t="shared" si="12"/>
        <v>Error?</v>
      </c>
    </row>
    <row r="849" spans="1:4">
      <c r="A849" s="5">
        <v>788</v>
      </c>
      <c r="B849" s="138">
        <f>'Expenditures 15-22'!E50</f>
        <v>4896</v>
      </c>
      <c r="D849" s="2" t="str">
        <f t="shared" si="12"/>
        <v>Error?</v>
      </c>
    </row>
    <row r="850" spans="1:4">
      <c r="A850" s="5">
        <v>789</v>
      </c>
      <c r="B850" s="138">
        <f>'Expenditures 15-22'!E53</f>
        <v>187082</v>
      </c>
      <c r="C850" s="2" t="s">
        <v>594</v>
      </c>
      <c r="D850" s="2" t="str">
        <f t="shared" si="12"/>
        <v>Error?</v>
      </c>
    </row>
    <row r="851" spans="1:4">
      <c r="A851" s="5">
        <v>790</v>
      </c>
      <c r="B851" s="138">
        <f>'Expenditures 15-22'!E55</f>
        <v>5994</v>
      </c>
      <c r="D851" s="2" t="str">
        <f t="shared" si="12"/>
        <v>Error?</v>
      </c>
    </row>
    <row r="852" spans="1:4">
      <c r="A852" s="5">
        <v>791</v>
      </c>
      <c r="B852" s="138">
        <f>'Expenditures 15-22'!E56</f>
        <v>0</v>
      </c>
      <c r="D852" s="2" t="str">
        <f t="shared" si="12"/>
        <v>Error?</v>
      </c>
    </row>
    <row r="853" spans="1:4">
      <c r="A853" s="5">
        <v>792</v>
      </c>
      <c r="B853" s="138">
        <f>'Expenditures 15-22'!E57</f>
        <v>5994</v>
      </c>
      <c r="C853" s="2" t="s">
        <v>594</v>
      </c>
      <c r="D853" s="2" t="str">
        <f t="shared" si="12"/>
        <v>Error?</v>
      </c>
    </row>
    <row r="854" spans="1:4">
      <c r="A854" s="5">
        <v>793</v>
      </c>
      <c r="B854" s="138">
        <f>'Expenditures 15-22'!E59</f>
        <v>1469</v>
      </c>
      <c r="D854" s="2" t="str">
        <f t="shared" si="12"/>
        <v>Error?</v>
      </c>
    </row>
    <row r="855" spans="1:4">
      <c r="A855" s="5">
        <v>794</v>
      </c>
      <c r="B855" s="138">
        <f>'Expenditures 15-22'!E60</f>
        <v>0</v>
      </c>
      <c r="D855" s="2" t="str">
        <f t="shared" si="12"/>
        <v>Error?</v>
      </c>
    </row>
    <row r="856" spans="1:4">
      <c r="A856" s="5">
        <v>795</v>
      </c>
      <c r="B856" s="138">
        <f>'Expenditures 15-22'!E61</f>
        <v>0</v>
      </c>
      <c r="D856" s="2" t="str">
        <f t="shared" si="12"/>
        <v>Error?</v>
      </c>
    </row>
    <row r="857" spans="1:4">
      <c r="A857" s="5">
        <v>796</v>
      </c>
      <c r="B857" s="138">
        <f>'Expenditures 15-22'!E62</f>
        <v>13449</v>
      </c>
      <c r="D857" s="2" t="str">
        <f t="shared" si="12"/>
        <v>Error?</v>
      </c>
    </row>
    <row r="858" spans="1:4">
      <c r="A858" s="5">
        <v>797</v>
      </c>
      <c r="B858" s="138">
        <f>'Expenditures 15-22'!E63</f>
        <v>17944</v>
      </c>
      <c r="D858" s="2" t="str">
        <f t="shared" si="12"/>
        <v>Error?</v>
      </c>
    </row>
    <row r="859" spans="1:4">
      <c r="A859" s="5">
        <v>798</v>
      </c>
      <c r="B859" s="138">
        <f>'Expenditures 15-22'!E64</f>
        <v>141381</v>
      </c>
      <c r="D859" s="2" t="str">
        <f t="shared" si="12"/>
        <v>Error?</v>
      </c>
    </row>
    <row r="860" spans="1:4">
      <c r="A860" s="10">
        <v>799</v>
      </c>
      <c r="D860" s="2" t="str">
        <f t="shared" si="12"/>
        <v>OK</v>
      </c>
    </row>
    <row r="861" spans="1:4">
      <c r="A861" s="5">
        <v>800</v>
      </c>
      <c r="B861" s="138">
        <f>'Expenditures 15-22'!E65</f>
        <v>174243</v>
      </c>
      <c r="C861" s="2" t="s">
        <v>594</v>
      </c>
      <c r="D861" s="2" t="str">
        <f t="shared" si="12"/>
        <v>Error?</v>
      </c>
    </row>
    <row r="862" spans="1:4">
      <c r="A862" s="5">
        <v>801</v>
      </c>
      <c r="B862" s="138">
        <f>'Expenditures 15-22'!E67</f>
        <v>2362</v>
      </c>
      <c r="D862" s="2" t="str">
        <f t="shared" si="12"/>
        <v>Error?</v>
      </c>
    </row>
    <row r="863" spans="1:4">
      <c r="A863" s="5">
        <v>802</v>
      </c>
      <c r="B863" s="138">
        <f>'Expenditures 15-22'!E68</f>
        <v>0</v>
      </c>
      <c r="D863" s="2" t="str">
        <f t="shared" si="12"/>
        <v>Error?</v>
      </c>
    </row>
    <row r="864" spans="1:4">
      <c r="A864" s="5">
        <v>803</v>
      </c>
      <c r="B864" s="138">
        <f>'Expenditures 15-22'!E69</f>
        <v>136673</v>
      </c>
      <c r="D864" s="2" t="str">
        <f t="shared" si="12"/>
        <v>Error?</v>
      </c>
    </row>
    <row r="865" spans="1:4">
      <c r="A865" s="5">
        <v>804</v>
      </c>
      <c r="B865" s="138">
        <f>'Expenditures 15-22'!E70</f>
        <v>1675</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140710</v>
      </c>
      <c r="C869" s="2" t="s">
        <v>594</v>
      </c>
      <c r="D869" s="2" t="str">
        <f t="shared" si="12"/>
        <v>Error?</v>
      </c>
    </row>
    <row r="870" spans="1:4">
      <c r="A870" s="5">
        <v>809</v>
      </c>
      <c r="B870" s="138">
        <f>'Expenditures 15-22'!E73</f>
        <v>0</v>
      </c>
      <c r="D870" s="2" t="str">
        <f t="shared" si="12"/>
        <v>Error?</v>
      </c>
    </row>
    <row r="871" spans="1:4">
      <c r="A871" s="5">
        <v>810</v>
      </c>
      <c r="B871" s="138">
        <f>'Expenditures 15-22'!E74</f>
        <v>842188</v>
      </c>
      <c r="C871" s="2" t="s">
        <v>594</v>
      </c>
      <c r="D871" s="2" t="str">
        <f t="shared" si="12"/>
        <v>Error?</v>
      </c>
    </row>
    <row r="872" spans="1:4">
      <c r="A872" s="5">
        <v>811</v>
      </c>
      <c r="B872" s="138">
        <f>'Expenditures 15-22'!E75</f>
        <v>20014</v>
      </c>
      <c r="D872" s="2" t="str">
        <f t="shared" si="12"/>
        <v>Error?</v>
      </c>
    </row>
    <row r="873" spans="1:4">
      <c r="A873" s="5">
        <v>812</v>
      </c>
      <c r="B873" s="138">
        <f>'Expenditures 15-22'!E114</f>
        <v>1005501</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128111</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13904</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10749</v>
      </c>
      <c r="D892" s="2" t="str">
        <f t="shared" si="12"/>
        <v>Error?</v>
      </c>
    </row>
    <row r="893" spans="1:4">
      <c r="A893" s="5">
        <v>832</v>
      </c>
      <c r="B893" s="138">
        <f>'Expenditures 15-22'!F15</f>
        <v>0</v>
      </c>
      <c r="D893" s="2" t="str">
        <f t="shared" si="12"/>
        <v>Error?</v>
      </c>
    </row>
    <row r="894" spans="1:4">
      <c r="A894" s="5">
        <v>833</v>
      </c>
      <c r="B894" s="138">
        <f>'Expenditures 15-22'!F33</f>
        <v>475209</v>
      </c>
      <c r="C894" s="2" t="s">
        <v>594</v>
      </c>
      <c r="D894" s="2" t="str">
        <f t="shared" si="12"/>
        <v>Error?</v>
      </c>
    </row>
    <row r="895" spans="1:4">
      <c r="A895" s="5">
        <v>834</v>
      </c>
      <c r="B895" s="138">
        <f>'Expenditures 15-22'!F36</f>
        <v>492</v>
      </c>
      <c r="D895" s="2" t="str">
        <f t="shared" ref="D895:D958" si="13">IF(ISBLANK(B895),"OK",IF(A895-B895=0,"OK","Error?"))</f>
        <v>Error?</v>
      </c>
    </row>
    <row r="896" spans="1:4">
      <c r="A896" s="5">
        <v>835</v>
      </c>
      <c r="B896" s="138">
        <f>'Expenditures 15-22'!F37</f>
        <v>138</v>
      </c>
      <c r="D896" s="2" t="str">
        <f t="shared" si="13"/>
        <v>Error?</v>
      </c>
    </row>
    <row r="897" spans="1:4">
      <c r="A897" s="5">
        <v>836</v>
      </c>
      <c r="B897" s="138">
        <f>'Expenditures 15-22'!F38</f>
        <v>5380</v>
      </c>
      <c r="D897" s="2" t="str">
        <f t="shared" si="13"/>
        <v>Error?</v>
      </c>
    </row>
    <row r="898" spans="1:4">
      <c r="A898" s="5">
        <v>837</v>
      </c>
      <c r="B898" s="138">
        <f>'Expenditures 15-22'!F39</f>
        <v>177</v>
      </c>
      <c r="D898" s="2" t="str">
        <f t="shared" si="13"/>
        <v>Error?</v>
      </c>
    </row>
    <row r="899" spans="1:4">
      <c r="A899" s="5">
        <v>838</v>
      </c>
      <c r="B899" s="138">
        <f>'Expenditures 15-22'!F40</f>
        <v>523</v>
      </c>
      <c r="D899" s="2" t="str">
        <f t="shared" si="13"/>
        <v>Error?</v>
      </c>
    </row>
    <row r="900" spans="1:4">
      <c r="A900" s="5">
        <v>839</v>
      </c>
      <c r="B900" s="138">
        <f>'Expenditures 15-22'!F41</f>
        <v>0</v>
      </c>
      <c r="D900" s="2" t="str">
        <f t="shared" si="13"/>
        <v>Error?</v>
      </c>
    </row>
    <row r="901" spans="1:4">
      <c r="A901" s="5">
        <v>840</v>
      </c>
      <c r="B901" s="138">
        <f>'Expenditures 15-22'!F42</f>
        <v>6710</v>
      </c>
      <c r="C901" s="2" t="s">
        <v>594</v>
      </c>
      <c r="D901" s="2" t="str">
        <f t="shared" si="13"/>
        <v>Error?</v>
      </c>
    </row>
    <row r="902" spans="1:4">
      <c r="A902" s="5">
        <v>841</v>
      </c>
      <c r="B902" s="138">
        <f>'Expenditures 15-22'!F44</f>
        <v>12552</v>
      </c>
      <c r="D902" s="2" t="str">
        <f t="shared" si="13"/>
        <v>Error?</v>
      </c>
    </row>
    <row r="903" spans="1:4">
      <c r="A903" s="5">
        <v>842</v>
      </c>
      <c r="B903" s="138">
        <f>'Expenditures 15-22'!F45</f>
        <v>52060</v>
      </c>
      <c r="D903" s="2" t="str">
        <f t="shared" si="13"/>
        <v>Error?</v>
      </c>
    </row>
    <row r="904" spans="1:4">
      <c r="A904" s="5">
        <v>843</v>
      </c>
      <c r="B904" s="138">
        <f>'Expenditures 15-22'!F46</f>
        <v>1914</v>
      </c>
      <c r="D904" s="2" t="str">
        <f t="shared" si="13"/>
        <v>Error?</v>
      </c>
    </row>
    <row r="905" spans="1:4">
      <c r="A905" s="5">
        <v>844</v>
      </c>
      <c r="B905" s="138">
        <f>'Expenditures 15-22'!F47</f>
        <v>66526</v>
      </c>
      <c r="C905" s="2" t="s">
        <v>594</v>
      </c>
      <c r="D905" s="2" t="str">
        <f t="shared" si="13"/>
        <v>Error?</v>
      </c>
    </row>
    <row r="906" spans="1:4">
      <c r="A906" s="5">
        <v>845</v>
      </c>
      <c r="B906" s="138">
        <f>'Expenditures 15-22'!F49</f>
        <v>15891</v>
      </c>
      <c r="D906" s="2" t="str">
        <f t="shared" si="13"/>
        <v>Error?</v>
      </c>
    </row>
    <row r="907" spans="1:4">
      <c r="A907" s="5">
        <v>846</v>
      </c>
      <c r="B907" s="138">
        <f>'Expenditures 15-22'!F50</f>
        <v>3189</v>
      </c>
      <c r="D907" s="2" t="str">
        <f t="shared" si="13"/>
        <v>Error?</v>
      </c>
    </row>
    <row r="908" spans="1:4">
      <c r="A908" s="5">
        <v>847</v>
      </c>
      <c r="B908" s="138">
        <f>'Expenditures 15-22'!F53</f>
        <v>19709</v>
      </c>
      <c r="C908" s="2" t="s">
        <v>594</v>
      </c>
      <c r="D908" s="2" t="str">
        <f t="shared" si="13"/>
        <v>Error?</v>
      </c>
    </row>
    <row r="909" spans="1:4">
      <c r="A909" s="5">
        <v>848</v>
      </c>
      <c r="B909" s="138">
        <f>'Expenditures 15-22'!F55</f>
        <v>14840</v>
      </c>
      <c r="D909" s="2" t="str">
        <f t="shared" si="13"/>
        <v>Error?</v>
      </c>
    </row>
    <row r="910" spans="1:4">
      <c r="A910" s="5">
        <v>849</v>
      </c>
      <c r="B910" s="138">
        <f>'Expenditures 15-22'!F56</f>
        <v>0</v>
      </c>
      <c r="D910" s="2" t="str">
        <f t="shared" si="13"/>
        <v>Error?</v>
      </c>
    </row>
    <row r="911" spans="1:4">
      <c r="A911" s="5">
        <v>850</v>
      </c>
      <c r="B911" s="138">
        <f>'Expenditures 15-22'!F57</f>
        <v>14840</v>
      </c>
      <c r="C911" s="2" t="s">
        <v>594</v>
      </c>
      <c r="D911" s="2" t="str">
        <f t="shared" si="13"/>
        <v>Error?</v>
      </c>
    </row>
    <row r="912" spans="1:4">
      <c r="A912" s="5">
        <v>851</v>
      </c>
      <c r="B912" s="138">
        <f>'Expenditures 15-22'!F59</f>
        <v>689</v>
      </c>
      <c r="D912" s="2" t="str">
        <f t="shared" si="13"/>
        <v>Error?</v>
      </c>
    </row>
    <row r="913" spans="1:4">
      <c r="A913" s="5">
        <v>852</v>
      </c>
      <c r="B913" s="138">
        <f>'Expenditures 15-22'!F60</f>
        <v>758</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738660</v>
      </c>
      <c r="D916" s="2" t="str">
        <f t="shared" si="13"/>
        <v>Error?</v>
      </c>
    </row>
    <row r="917" spans="1:4">
      <c r="A917" s="5">
        <v>856</v>
      </c>
      <c r="B917" s="138">
        <f>'Expenditures 15-22'!F64</f>
        <v>103664</v>
      </c>
      <c r="D917" s="2" t="str">
        <f t="shared" si="13"/>
        <v>Error?</v>
      </c>
    </row>
    <row r="918" spans="1:4">
      <c r="A918" s="10">
        <v>857</v>
      </c>
      <c r="D918" s="2" t="str">
        <f t="shared" si="13"/>
        <v>OK</v>
      </c>
    </row>
    <row r="919" spans="1:4">
      <c r="A919" s="5">
        <v>858</v>
      </c>
      <c r="B919" s="138">
        <f>'Expenditures 15-22'!F65</f>
        <v>843771</v>
      </c>
      <c r="C919" s="2" t="s">
        <v>594</v>
      </c>
      <c r="D919" s="2" t="str">
        <f t="shared" si="13"/>
        <v>Error?</v>
      </c>
    </row>
    <row r="920" spans="1:4">
      <c r="A920" s="5">
        <v>859</v>
      </c>
      <c r="B920" s="138">
        <f>'Expenditures 15-22'!F67</f>
        <v>2723</v>
      </c>
      <c r="D920" s="2" t="str">
        <f t="shared" si="13"/>
        <v>Error?</v>
      </c>
    </row>
    <row r="921" spans="1:4">
      <c r="A921" s="5">
        <v>860</v>
      </c>
      <c r="B921" s="138">
        <f>'Expenditures 15-22'!F68</f>
        <v>0</v>
      </c>
      <c r="D921" s="2" t="str">
        <f t="shared" si="13"/>
        <v>Error?</v>
      </c>
    </row>
    <row r="922" spans="1:4">
      <c r="A922" s="5">
        <v>861</v>
      </c>
      <c r="B922" s="138">
        <f>'Expenditures 15-22'!F69</f>
        <v>25849</v>
      </c>
      <c r="D922" s="2" t="str">
        <f t="shared" si="13"/>
        <v>Error?</v>
      </c>
    </row>
    <row r="923" spans="1:4">
      <c r="A923" s="5">
        <v>862</v>
      </c>
      <c r="B923" s="138">
        <f>'Expenditures 15-22'!F70</f>
        <v>708</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29280</v>
      </c>
      <c r="C927" s="2" t="s">
        <v>594</v>
      </c>
      <c r="D927" s="2" t="str">
        <f t="shared" si="13"/>
        <v>Error?</v>
      </c>
    </row>
    <row r="928" spans="1:4">
      <c r="A928" s="5">
        <v>867</v>
      </c>
      <c r="B928" s="138">
        <f>'Expenditures 15-22'!F73</f>
        <v>0</v>
      </c>
      <c r="D928" s="2" t="str">
        <f t="shared" si="13"/>
        <v>Error?</v>
      </c>
    </row>
    <row r="929" spans="1:4">
      <c r="A929" s="5">
        <v>868</v>
      </c>
      <c r="B929" s="138">
        <f>'Expenditures 15-22'!F74</f>
        <v>980836</v>
      </c>
      <c r="C929" s="2" t="s">
        <v>594</v>
      </c>
      <c r="D929" s="2" t="str">
        <f t="shared" si="13"/>
        <v>Error?</v>
      </c>
    </row>
    <row r="930" spans="1:4">
      <c r="A930" s="5">
        <v>869</v>
      </c>
      <c r="B930" s="138">
        <f>'Expenditures 15-22'!F75</f>
        <v>3726</v>
      </c>
      <c r="D930" s="2" t="str">
        <f t="shared" si="13"/>
        <v>Error?</v>
      </c>
    </row>
    <row r="931" spans="1:4">
      <c r="A931" s="5">
        <v>870</v>
      </c>
      <c r="B931" s="138">
        <f>'Expenditures 15-22'!F114</f>
        <v>1459771</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0</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0</v>
      </c>
      <c r="C987" s="2" t="s">
        <v>594</v>
      </c>
      <c r="D987" s="2" t="str">
        <f t="shared" si="14"/>
        <v>Error?</v>
      </c>
    </row>
    <row r="988" spans="1:4">
      <c r="A988" s="5">
        <v>927</v>
      </c>
      <c r="B988" s="138">
        <f>'Expenditures 15-22'!G75</f>
        <v>0</v>
      </c>
      <c r="D988" s="2" t="str">
        <f t="shared" si="14"/>
        <v>Error?</v>
      </c>
    </row>
    <row r="989" spans="1:4">
      <c r="A989" s="5">
        <v>928</v>
      </c>
      <c r="B989" s="138">
        <f>'Expenditures 15-22'!G114</f>
        <v>0</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3151</v>
      </c>
      <c r="C995" s="9"/>
      <c r="D995" s="2" t="str">
        <f t="shared" si="14"/>
        <v>Error?</v>
      </c>
    </row>
    <row r="996" spans="1:4">
      <c r="A996" s="5">
        <v>935</v>
      </c>
      <c r="B996" s="138">
        <f>'Expenditures 15-22'!H16</f>
        <v>3400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1200</v>
      </c>
      <c r="D1008" s="2" t="str">
        <f t="shared" si="14"/>
        <v>Error?</v>
      </c>
    </row>
    <row r="1009" spans="1:4">
      <c r="A1009" s="5">
        <v>948</v>
      </c>
      <c r="B1009" s="138">
        <f>'Expenditures 15-22'!H15</f>
        <v>0</v>
      </c>
      <c r="D1009" s="2" t="str">
        <f t="shared" si="14"/>
        <v>Error?</v>
      </c>
    </row>
    <row r="1010" spans="1:4">
      <c r="A1010" s="5">
        <v>949</v>
      </c>
      <c r="B1010" s="138">
        <f>'Expenditures 15-22'!H33</f>
        <v>7751</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185</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185</v>
      </c>
      <c r="C1021" s="2" t="s">
        <v>594</v>
      </c>
      <c r="D1021" s="2" t="str">
        <f t="shared" si="14"/>
        <v>Error?</v>
      </c>
    </row>
    <row r="1022" spans="1:4">
      <c r="A1022" s="5">
        <v>961</v>
      </c>
      <c r="B1022" s="138">
        <f>'Expenditures 15-22'!H49</f>
        <v>14809</v>
      </c>
      <c r="D1022" s="2" t="str">
        <f t="shared" si="14"/>
        <v>Error?</v>
      </c>
    </row>
    <row r="1023" spans="1:4">
      <c r="A1023" s="5">
        <v>962</v>
      </c>
      <c r="B1023" s="138">
        <f>'Expenditures 15-22'!H50</f>
        <v>3534</v>
      </c>
      <c r="D1023" s="2" t="str">
        <f t="shared" ref="D1023:D1086" si="15">IF(ISBLANK(B1023),"OK",IF(A1023-B1023=0,"OK","Error?"))</f>
        <v>Error?</v>
      </c>
    </row>
    <row r="1024" spans="1:4">
      <c r="A1024" s="5">
        <v>963</v>
      </c>
      <c r="B1024" s="138">
        <f>'Expenditures 15-22'!H53</f>
        <v>18343</v>
      </c>
      <c r="C1024" s="2" t="s">
        <v>594</v>
      </c>
      <c r="D1024" s="2" t="str">
        <f t="shared" si="15"/>
        <v>Error?</v>
      </c>
    </row>
    <row r="1025" spans="1:4">
      <c r="A1025" s="5">
        <v>964</v>
      </c>
      <c r="B1025" s="138">
        <f>'Expenditures 15-22'!H55</f>
        <v>2539</v>
      </c>
      <c r="D1025" s="2" t="str">
        <f t="shared" si="15"/>
        <v>Error?</v>
      </c>
    </row>
    <row r="1026" spans="1:4">
      <c r="A1026" s="5">
        <v>965</v>
      </c>
      <c r="B1026" s="138">
        <f>'Expenditures 15-22'!H56</f>
        <v>0</v>
      </c>
      <c r="D1026" s="2" t="str">
        <f t="shared" si="15"/>
        <v>Error?</v>
      </c>
    </row>
    <row r="1027" spans="1:4">
      <c r="A1027" s="5">
        <v>966</v>
      </c>
      <c r="B1027" s="138">
        <f>'Expenditures 15-22'!H57</f>
        <v>2539</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138</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138</v>
      </c>
      <c r="C1035" s="2" t="s">
        <v>594</v>
      </c>
      <c r="D1035" s="2" t="str">
        <f t="shared" si="15"/>
        <v>Error?</v>
      </c>
    </row>
    <row r="1036" spans="1:4">
      <c r="A1036" s="5">
        <v>975</v>
      </c>
      <c r="B1036" s="138">
        <f>'Expenditures 15-22'!H67</f>
        <v>49</v>
      </c>
      <c r="D1036" s="2" t="str">
        <f t="shared" si="15"/>
        <v>Error?</v>
      </c>
    </row>
    <row r="1037" spans="1:4">
      <c r="A1037" s="5">
        <v>976</v>
      </c>
      <c r="B1037" s="138">
        <f>'Expenditures 15-22'!H68</f>
        <v>0</v>
      </c>
      <c r="D1037" s="2" t="str">
        <f t="shared" si="15"/>
        <v>Error?</v>
      </c>
    </row>
    <row r="1038" spans="1:4">
      <c r="A1038" s="5">
        <v>977</v>
      </c>
      <c r="B1038" s="138">
        <f>'Expenditures 15-22'!H69</f>
        <v>662</v>
      </c>
      <c r="D1038" s="2" t="str">
        <f t="shared" si="15"/>
        <v>Error?</v>
      </c>
    </row>
    <row r="1039" spans="1:4">
      <c r="A1039" s="5">
        <v>978</v>
      </c>
      <c r="B1039" s="138">
        <f>'Expenditures 15-22'!H70</f>
        <v>295</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1006</v>
      </c>
      <c r="C1043" s="2" t="s">
        <v>594</v>
      </c>
      <c r="D1043" s="2" t="str">
        <f t="shared" si="15"/>
        <v>Error?</v>
      </c>
    </row>
    <row r="1044" spans="1:4">
      <c r="A1044" s="5">
        <v>983</v>
      </c>
      <c r="B1044" s="138">
        <f>'Expenditures 15-22'!H73</f>
        <v>0</v>
      </c>
      <c r="D1044" s="2" t="str">
        <f t="shared" si="15"/>
        <v>Error?</v>
      </c>
    </row>
    <row r="1045" spans="1:4">
      <c r="A1045" s="5">
        <v>984</v>
      </c>
      <c r="B1045" s="138">
        <f>'Expenditures 15-22'!H74</f>
        <v>22211</v>
      </c>
      <c r="C1045" s="2" t="s">
        <v>594</v>
      </c>
      <c r="D1045" s="2" t="str">
        <f t="shared" si="15"/>
        <v>Error?</v>
      </c>
    </row>
    <row r="1046" spans="1:4">
      <c r="A1046" s="5">
        <v>985</v>
      </c>
      <c r="B1046" s="138">
        <f>'Expenditures 15-22'!H75</f>
        <v>0</v>
      </c>
      <c r="D1046" s="2" t="str">
        <f t="shared" si="15"/>
        <v>Error?</v>
      </c>
    </row>
    <row r="1047" spans="1:4">
      <c r="A1047" s="5">
        <v>986</v>
      </c>
      <c r="B1047" s="138">
        <f>'Expenditures 15-22'!H102</f>
        <v>1109454</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1145149</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10010078</v>
      </c>
      <c r="C1093" s="2" t="s">
        <v>594</v>
      </c>
      <c r="D1093" s="2" t="str">
        <f t="shared" si="16"/>
        <v>Error?</v>
      </c>
    </row>
    <row r="1094" spans="1:4">
      <c r="A1094" s="5">
        <v>1033</v>
      </c>
      <c r="B1094" s="138">
        <f>'Expenditures 15-22'!K16</f>
        <v>4548</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902083</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115566</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15150169</v>
      </c>
      <c r="C1108" s="2" t="s">
        <v>594</v>
      </c>
      <c r="D1108" s="2" t="str">
        <f t="shared" si="16"/>
        <v>Error?</v>
      </c>
    </row>
    <row r="1109" spans="1:4">
      <c r="A1109" s="5">
        <v>1048</v>
      </c>
      <c r="B1109" s="138">
        <f>'Expenditures 15-22'!K36</f>
        <v>239444</v>
      </c>
      <c r="C1109" s="2" t="s">
        <v>594</v>
      </c>
      <c r="D1109" s="2" t="str">
        <f t="shared" si="16"/>
        <v>Error?</v>
      </c>
    </row>
    <row r="1110" spans="1:4">
      <c r="A1110" s="5">
        <v>1049</v>
      </c>
      <c r="B1110" s="138">
        <f>'Expenditures 15-22'!K37</f>
        <v>698154</v>
      </c>
      <c r="C1110" s="2" t="s">
        <v>594</v>
      </c>
      <c r="D1110" s="2" t="str">
        <f t="shared" si="16"/>
        <v>Error?</v>
      </c>
    </row>
    <row r="1111" spans="1:4">
      <c r="A1111" s="5">
        <v>1050</v>
      </c>
      <c r="B1111" s="138">
        <f>'Expenditures 15-22'!K38</f>
        <v>210371</v>
      </c>
      <c r="C1111" s="2" t="s">
        <v>594</v>
      </c>
      <c r="D1111" s="2" t="str">
        <f t="shared" si="16"/>
        <v>Error?</v>
      </c>
    </row>
    <row r="1112" spans="1:4">
      <c r="A1112" s="5">
        <v>1051</v>
      </c>
      <c r="B1112" s="138">
        <f>'Expenditures 15-22'!K39</f>
        <v>131759</v>
      </c>
      <c r="C1112" s="2" t="s">
        <v>594</v>
      </c>
      <c r="D1112" s="2" t="str">
        <f t="shared" si="16"/>
        <v>Error?</v>
      </c>
    </row>
    <row r="1113" spans="1:4">
      <c r="A1113" s="5">
        <v>1052</v>
      </c>
      <c r="B1113" s="138">
        <f>'Expenditures 15-22'!K40</f>
        <v>429426</v>
      </c>
      <c r="C1113" s="2" t="s">
        <v>594</v>
      </c>
      <c r="D1113" s="2" t="str">
        <f t="shared" si="16"/>
        <v>Error?</v>
      </c>
    </row>
    <row r="1114" spans="1:4">
      <c r="A1114" s="5">
        <v>1053</v>
      </c>
      <c r="B1114" s="138">
        <f>'Expenditures 15-22'!K41</f>
        <v>181984</v>
      </c>
      <c r="C1114" s="2" t="s">
        <v>594</v>
      </c>
      <c r="D1114" s="2" t="str">
        <f t="shared" si="16"/>
        <v>Error?</v>
      </c>
    </row>
    <row r="1115" spans="1:4">
      <c r="A1115" s="5">
        <v>1054</v>
      </c>
      <c r="B1115" s="138">
        <f>'Expenditures 15-22'!K42</f>
        <v>1891138</v>
      </c>
      <c r="C1115" s="2" t="s">
        <v>594</v>
      </c>
      <c r="D1115" s="2" t="str">
        <f t="shared" si="16"/>
        <v>Error?</v>
      </c>
    </row>
    <row r="1116" spans="1:4">
      <c r="A1116" s="5">
        <v>1055</v>
      </c>
      <c r="B1116" s="138">
        <f>'Expenditures 15-22'!K44</f>
        <v>677109</v>
      </c>
      <c r="C1116" s="2" t="s">
        <v>594</v>
      </c>
      <c r="D1116" s="2" t="str">
        <f t="shared" si="16"/>
        <v>Error?</v>
      </c>
    </row>
    <row r="1117" spans="1:4">
      <c r="A1117" s="5">
        <v>1056</v>
      </c>
      <c r="B1117" s="138">
        <f>'Expenditures 15-22'!K45</f>
        <v>67098</v>
      </c>
      <c r="C1117" s="2" t="s">
        <v>594</v>
      </c>
      <c r="D1117" s="2" t="str">
        <f t="shared" si="16"/>
        <v>Error?</v>
      </c>
    </row>
    <row r="1118" spans="1:4">
      <c r="A1118" s="5">
        <v>1057</v>
      </c>
      <c r="B1118" s="138">
        <f>'Expenditures 15-22'!K46</f>
        <v>95064</v>
      </c>
      <c r="C1118" s="2" t="s">
        <v>594</v>
      </c>
      <c r="D1118" s="2" t="str">
        <f t="shared" si="16"/>
        <v>Error?</v>
      </c>
    </row>
    <row r="1119" spans="1:4">
      <c r="A1119" s="5">
        <v>1058</v>
      </c>
      <c r="B1119" s="138">
        <f>'Expenditures 15-22'!K47</f>
        <v>839271</v>
      </c>
      <c r="C1119" s="2" t="s">
        <v>594</v>
      </c>
      <c r="D1119" s="2" t="str">
        <f t="shared" si="16"/>
        <v>Error?</v>
      </c>
    </row>
    <row r="1120" spans="1:4">
      <c r="A1120" s="5">
        <v>1059</v>
      </c>
      <c r="B1120" s="138">
        <f>'Expenditures 15-22'!K49</f>
        <v>288715</v>
      </c>
      <c r="C1120" s="2" t="s">
        <v>594</v>
      </c>
      <c r="D1120" s="2" t="str">
        <f t="shared" si="16"/>
        <v>Error?</v>
      </c>
    </row>
    <row r="1121" spans="1:4">
      <c r="A1121" s="5">
        <v>1060</v>
      </c>
      <c r="B1121" s="138">
        <f>'Expenditures 15-22'!K50</f>
        <v>200640</v>
      </c>
      <c r="C1121" s="2" t="s">
        <v>594</v>
      </c>
      <c r="D1121" s="2" t="str">
        <f t="shared" si="16"/>
        <v>Error?</v>
      </c>
    </row>
    <row r="1122" spans="1:4">
      <c r="A1122" s="5">
        <v>1061</v>
      </c>
      <c r="B1122" s="138">
        <f>'Expenditures 15-22'!K53</f>
        <v>730523</v>
      </c>
      <c r="C1122" s="2" t="s">
        <v>594</v>
      </c>
      <c r="D1122" s="2" t="str">
        <f t="shared" si="16"/>
        <v>Error?</v>
      </c>
    </row>
    <row r="1123" spans="1:4">
      <c r="A1123" s="5">
        <v>1062</v>
      </c>
      <c r="B1123" s="138">
        <f>'Expenditures 15-22'!K55</f>
        <v>1441951</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1441951</v>
      </c>
      <c r="C1125" s="2" t="s">
        <v>594</v>
      </c>
      <c r="D1125" s="2" t="str">
        <f t="shared" si="16"/>
        <v>Error?</v>
      </c>
    </row>
    <row r="1126" spans="1:4">
      <c r="A1126" s="5">
        <v>1065</v>
      </c>
      <c r="B1126" s="138">
        <f>'Expenditures 15-22'!K59</f>
        <v>136992</v>
      </c>
      <c r="C1126" s="2" t="s">
        <v>594</v>
      </c>
      <c r="D1126" s="2" t="str">
        <f t="shared" si="16"/>
        <v>Error?</v>
      </c>
    </row>
    <row r="1127" spans="1:4">
      <c r="A1127" s="5">
        <v>1066</v>
      </c>
      <c r="B1127" s="138">
        <f>'Expenditures 15-22'!K60</f>
        <v>127263</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29511</v>
      </c>
      <c r="C1129" s="2" t="s">
        <v>594</v>
      </c>
      <c r="D1129" s="2" t="str">
        <f t="shared" si="16"/>
        <v>Error?</v>
      </c>
    </row>
    <row r="1130" spans="1:4">
      <c r="A1130" s="5">
        <v>1069</v>
      </c>
      <c r="B1130" s="138">
        <f>'Expenditures 15-22'!K63</f>
        <v>1387232</v>
      </c>
      <c r="C1130" s="2" t="s">
        <v>594</v>
      </c>
      <c r="D1130" s="2" t="str">
        <f t="shared" si="16"/>
        <v>Error?</v>
      </c>
    </row>
    <row r="1131" spans="1:4">
      <c r="A1131" s="5">
        <v>1070</v>
      </c>
      <c r="B1131" s="138">
        <f>'Expenditures 15-22'!K64</f>
        <v>267282</v>
      </c>
      <c r="C1131" s="2" t="s">
        <v>594</v>
      </c>
      <c r="D1131" s="2" t="str">
        <f t="shared" si="16"/>
        <v>Error?</v>
      </c>
    </row>
    <row r="1132" spans="1:4">
      <c r="A1132" s="10">
        <v>1071</v>
      </c>
      <c r="D1132" s="2" t="str">
        <f t="shared" si="16"/>
        <v>OK</v>
      </c>
    </row>
    <row r="1133" spans="1:4">
      <c r="A1133" s="5">
        <v>1072</v>
      </c>
      <c r="B1133" s="138">
        <f>'Expenditures 15-22'!K65</f>
        <v>1948280</v>
      </c>
      <c r="C1133" s="2" t="s">
        <v>594</v>
      </c>
      <c r="D1133" s="2" t="str">
        <f t="shared" si="16"/>
        <v>Error?</v>
      </c>
    </row>
    <row r="1134" spans="1:4">
      <c r="A1134" s="5">
        <v>1073</v>
      </c>
      <c r="B1134" s="138">
        <f>'Expenditures 15-22'!K67</f>
        <v>207575</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702381</v>
      </c>
      <c r="C1136" s="2" t="s">
        <v>594</v>
      </c>
      <c r="D1136" s="2" t="str">
        <f t="shared" si="16"/>
        <v>Error?</v>
      </c>
    </row>
    <row r="1137" spans="1:4">
      <c r="A1137" s="5">
        <v>1076</v>
      </c>
      <c r="B1137" s="138">
        <f>'Expenditures 15-22'!K70</f>
        <v>136893</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1046849</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7898012</v>
      </c>
      <c r="C1143" s="2" t="s">
        <v>594</v>
      </c>
      <c r="D1143" s="2" t="str">
        <f t="shared" si="16"/>
        <v>Error?</v>
      </c>
    </row>
    <row r="1144" spans="1:4">
      <c r="A1144" s="5">
        <v>1083</v>
      </c>
      <c r="B1144" s="138">
        <f>'Expenditures 15-22'!K75</f>
        <v>56103</v>
      </c>
      <c r="C1144" s="2" t="s">
        <v>594</v>
      </c>
      <c r="D1144" s="2" t="str">
        <f t="shared" si="16"/>
        <v>Error?</v>
      </c>
    </row>
    <row r="1145" spans="1:4">
      <c r="A1145" s="5">
        <v>1084</v>
      </c>
      <c r="B1145" s="138">
        <f>'Expenditures 15-22'!K102</f>
        <v>1109454</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24219471</v>
      </c>
      <c r="C1152" s="2" t="s">
        <v>594</v>
      </c>
      <c r="D1152" s="2" t="str">
        <f t="shared" si="17"/>
        <v>Error?</v>
      </c>
    </row>
    <row r="1153" spans="1:4">
      <c r="A1153" s="5">
        <v>1092</v>
      </c>
      <c r="B1153" s="138">
        <f>'Expenditures 15-22'!K115</f>
        <v>2040696</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1281185</v>
      </c>
      <c r="D1221" s="2" t="str">
        <f t="shared" si="18"/>
        <v>Error?</v>
      </c>
    </row>
    <row r="1222" spans="1:4">
      <c r="A1222" s="10">
        <v>1161</v>
      </c>
      <c r="D1222" s="2" t="str">
        <f t="shared" si="18"/>
        <v>OK</v>
      </c>
    </row>
    <row r="1223" spans="1:4">
      <c r="A1223" s="5">
        <v>1162</v>
      </c>
      <c r="B1223" s="138">
        <f>'Expenditures 15-22'!C127</f>
        <v>1281185</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1281185</v>
      </c>
      <c r="C1225" s="2" t="s">
        <v>594</v>
      </c>
      <c r="D1225" s="2" t="str">
        <f t="shared" si="18"/>
        <v>Error?</v>
      </c>
    </row>
    <row r="1226" spans="1:4">
      <c r="A1226" s="5">
        <v>1165</v>
      </c>
      <c r="B1226" s="138">
        <f>'Expenditures 15-22'!C151</f>
        <v>1281185</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159030</v>
      </c>
      <c r="D1229" s="2" t="str">
        <f t="shared" si="18"/>
        <v>Error?</v>
      </c>
    </row>
    <row r="1230" spans="1:4">
      <c r="A1230" s="10">
        <v>1169</v>
      </c>
      <c r="D1230" s="2" t="str">
        <f t="shared" si="18"/>
        <v>OK</v>
      </c>
    </row>
    <row r="1231" spans="1:4">
      <c r="A1231" s="5">
        <v>1170</v>
      </c>
      <c r="B1231" s="138">
        <f>'Expenditures 15-22'!D127</f>
        <v>159030</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159030</v>
      </c>
      <c r="C1233" s="2" t="s">
        <v>594</v>
      </c>
      <c r="D1233" s="2" t="str">
        <f t="shared" si="18"/>
        <v>Error?</v>
      </c>
    </row>
    <row r="1234" spans="1:4">
      <c r="A1234" s="5">
        <v>1173</v>
      </c>
      <c r="B1234" s="138">
        <f>'Expenditures 15-22'!D151</f>
        <v>159030</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200395</v>
      </c>
      <c r="D1237" s="2" t="str">
        <f t="shared" si="18"/>
        <v>Error?</v>
      </c>
    </row>
    <row r="1238" spans="1:4">
      <c r="A1238" s="10">
        <v>1177</v>
      </c>
      <c r="D1238" s="2" t="str">
        <f t="shared" si="18"/>
        <v>OK</v>
      </c>
    </row>
    <row r="1239" spans="1:4">
      <c r="A1239" s="5">
        <v>1178</v>
      </c>
      <c r="B1239" s="138">
        <f>'Expenditures 15-22'!E127</f>
        <v>200395</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200395</v>
      </c>
      <c r="C1241" s="2" t="s">
        <v>594</v>
      </c>
      <c r="D1241" s="2" t="str">
        <f t="shared" si="18"/>
        <v>Error?</v>
      </c>
    </row>
    <row r="1242" spans="1:4">
      <c r="A1242" s="5">
        <v>1181</v>
      </c>
      <c r="B1242" s="138">
        <f>'Expenditures 15-22'!E151</f>
        <v>200395</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491460</v>
      </c>
      <c r="D1245" s="2" t="str">
        <f t="shared" si="18"/>
        <v>Error?</v>
      </c>
    </row>
    <row r="1246" spans="1:4">
      <c r="A1246" s="10">
        <v>1185</v>
      </c>
      <c r="D1246" s="2" t="str">
        <f t="shared" si="18"/>
        <v>OK</v>
      </c>
    </row>
    <row r="1247" spans="1:4">
      <c r="A1247" s="5">
        <v>1186</v>
      </c>
      <c r="B1247" s="138">
        <f>'Expenditures 15-22'!F127</f>
        <v>491460</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491460</v>
      </c>
      <c r="C1249" s="2" t="s">
        <v>594</v>
      </c>
      <c r="D1249" s="2" t="str">
        <f t="shared" si="18"/>
        <v>Error?</v>
      </c>
    </row>
    <row r="1250" spans="1:4">
      <c r="A1250" s="5">
        <v>1189</v>
      </c>
      <c r="B1250" s="138">
        <f>'Expenditures 15-22'!F151</f>
        <v>491460</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7137</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7137</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7137</v>
      </c>
      <c r="C1258" s="2" t="s">
        <v>594</v>
      </c>
      <c r="D1258" s="2" t="str">
        <f t="shared" si="18"/>
        <v>Error?</v>
      </c>
    </row>
    <row r="1259" spans="1:4">
      <c r="A1259" s="5">
        <v>1198</v>
      </c>
      <c r="B1259" s="138">
        <f>'Expenditures 15-22'!G151</f>
        <v>7137</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2139207</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2139207</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2139207</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2139207</v>
      </c>
      <c r="C1288" s="2" t="s">
        <v>594</v>
      </c>
      <c r="D1288" s="2" t="str">
        <f t="shared" si="19"/>
        <v>Error?</v>
      </c>
    </row>
    <row r="1289" spans="1:4">
      <c r="A1289" s="5">
        <v>1228</v>
      </c>
      <c r="B1289" s="138">
        <f>'Expenditures 15-22'!K152</f>
        <v>-316420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1001200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1855000</v>
      </c>
      <c r="D1315" s="2" t="str">
        <f t="shared" si="19"/>
        <v>Error?</v>
      </c>
    </row>
    <row r="1316" spans="1:4">
      <c r="A1316" s="5">
        <v>1255</v>
      </c>
      <c r="B1316" s="138">
        <f>'Expenditures 15-22'!H171</f>
        <v>1900</v>
      </c>
      <c r="D1316" s="2" t="str">
        <f t="shared" si="19"/>
        <v>Error?</v>
      </c>
    </row>
    <row r="1317" spans="1:4">
      <c r="A1317" s="5">
        <v>1256</v>
      </c>
      <c r="B1317" s="138">
        <f>'Expenditures 15-22'!H172</f>
        <v>2858100</v>
      </c>
      <c r="C1317" s="2" t="s">
        <v>594</v>
      </c>
      <c r="D1317" s="2" t="str">
        <f t="shared" si="19"/>
        <v>Error?</v>
      </c>
    </row>
    <row r="1318" spans="1:4">
      <c r="A1318" s="5">
        <v>1257</v>
      </c>
      <c r="B1318" s="138">
        <f>'Expenditures 15-22'!H174</f>
        <v>2858100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1001200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1855000</v>
      </c>
      <c r="C1329" s="2" t="s">
        <v>594</v>
      </c>
      <c r="D1329" s="2" t="str">
        <f t="shared" si="19"/>
        <v>Error?</v>
      </c>
    </row>
    <row r="1330" spans="1:4">
      <c r="A1330" s="5">
        <v>1269</v>
      </c>
      <c r="B1330" s="138">
        <f>'Expenditures 15-22'!K171</f>
        <v>1900</v>
      </c>
      <c r="C1330" s="2" t="s">
        <v>594</v>
      </c>
      <c r="D1330" s="2" t="str">
        <f t="shared" si="19"/>
        <v>Error?</v>
      </c>
    </row>
    <row r="1331" spans="1:4">
      <c r="A1331" s="5">
        <v>1270</v>
      </c>
      <c r="B1331" s="138">
        <f>'Expenditures 15-22'!K172</f>
        <v>2858100</v>
      </c>
      <c r="C1331" s="2" t="s">
        <v>594</v>
      </c>
      <c r="D1331" s="2" t="str">
        <f t="shared" si="19"/>
        <v>Error?</v>
      </c>
    </row>
    <row r="1332" spans="1:4">
      <c r="A1332" s="5">
        <v>1271</v>
      </c>
      <c r="B1332" s="138">
        <f>'Expenditures 15-22'!K174</f>
        <v>2858100</v>
      </c>
      <c r="C1332" s="2" t="s">
        <v>594</v>
      </c>
      <c r="D1332" s="2" t="str">
        <f t="shared" si="19"/>
        <v>Error?</v>
      </c>
    </row>
    <row r="1333" spans="1:4">
      <c r="A1333" s="5">
        <v>1272</v>
      </c>
      <c r="B1333" s="138">
        <f>'Expenditures 15-22'!K175</f>
        <v>693996</v>
      </c>
      <c r="C1333" s="2" t="s">
        <v>594</v>
      </c>
      <c r="D1333" s="2" t="str">
        <f t="shared" si="19"/>
        <v>Error?</v>
      </c>
    </row>
    <row r="1334" spans="1:4">
      <c r="A1334" s="10">
        <v>1273</v>
      </c>
      <c r="D1334" s="2" t="str">
        <f t="shared" si="19"/>
        <v>OK</v>
      </c>
    </row>
    <row r="1335" spans="1:4">
      <c r="A1335" s="5">
        <v>1274</v>
      </c>
      <c r="B1335" s="138">
        <f>'Expenditures 15-22'!C182</f>
        <v>919008</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919008</v>
      </c>
      <c r="C1339" s="2" t="s">
        <v>594</v>
      </c>
      <c r="D1339" s="2" t="str">
        <f t="shared" si="19"/>
        <v>Error?</v>
      </c>
    </row>
    <row r="1340" spans="1:4">
      <c r="A1340" s="5">
        <v>1279</v>
      </c>
      <c r="B1340" s="138">
        <f>'Expenditures 15-22'!C210</f>
        <v>919008</v>
      </c>
      <c r="C1340" s="2" t="s">
        <v>594</v>
      </c>
      <c r="D1340" s="2" t="str">
        <f t="shared" si="19"/>
        <v>Error?</v>
      </c>
    </row>
    <row r="1341" spans="1:4">
      <c r="A1341" s="5">
        <v>1280</v>
      </c>
      <c r="B1341" s="138">
        <f>'Expenditures 15-22'!D182</f>
        <v>71082</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71082</v>
      </c>
      <c r="C1345" s="2" t="s">
        <v>594</v>
      </c>
      <c r="D1345" s="2" t="str">
        <f t="shared" si="20"/>
        <v>Error?</v>
      </c>
    </row>
    <row r="1346" spans="1:4">
      <c r="A1346" s="5">
        <v>1285</v>
      </c>
      <c r="B1346" s="138">
        <f>'Expenditures 15-22'!D210</f>
        <v>71082</v>
      </c>
      <c r="C1346" s="2" t="s">
        <v>594</v>
      </c>
      <c r="D1346" s="2" t="str">
        <f t="shared" si="20"/>
        <v>Error?</v>
      </c>
    </row>
    <row r="1347" spans="1:4">
      <c r="A1347" s="5">
        <v>1286</v>
      </c>
      <c r="B1347" s="138">
        <f>'Expenditures 15-22'!E182</f>
        <v>364010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364010</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364010</v>
      </c>
      <c r="C1353" s="2" t="s">
        <v>594</v>
      </c>
      <c r="D1353" s="2" t="str">
        <f t="shared" si="20"/>
        <v>Error?</v>
      </c>
    </row>
    <row r="1354" spans="1:4">
      <c r="A1354" s="5">
        <v>1293</v>
      </c>
      <c r="B1354" s="138">
        <f>'Expenditures 15-22'!F182</f>
        <v>120192</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120192</v>
      </c>
      <c r="C1358" s="2" t="s">
        <v>594</v>
      </c>
      <c r="D1358" s="2" t="str">
        <f t="shared" si="20"/>
        <v>Error?</v>
      </c>
    </row>
    <row r="1359" spans="1:4">
      <c r="A1359" s="5">
        <v>1298</v>
      </c>
      <c r="B1359" s="138">
        <f>'Expenditures 15-22'!F210</f>
        <v>120192</v>
      </c>
      <c r="C1359" s="2" t="s">
        <v>594</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594</v>
      </c>
      <c r="D1364" s="2" t="str">
        <f t="shared" si="20"/>
        <v>Error?</v>
      </c>
    </row>
    <row r="1365" spans="1:4">
      <c r="A1365" s="5">
        <v>1304</v>
      </c>
      <c r="B1365" s="138">
        <f>'Expenditures 15-22'!G210</f>
        <v>0</v>
      </c>
      <c r="C1365" s="2" t="s">
        <v>594</v>
      </c>
      <c r="D1365" s="2" t="str">
        <f t="shared" si="20"/>
        <v>Error?</v>
      </c>
    </row>
    <row r="1366" spans="1:4">
      <c r="A1366" s="5">
        <v>1305</v>
      </c>
      <c r="B1366" s="138">
        <f>'Expenditures 15-22'!H182</f>
        <v>27056</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27056</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27056</v>
      </c>
      <c r="C1376" s="2" t="s">
        <v>594</v>
      </c>
      <c r="D1376" s="2" t="str">
        <f t="shared" si="20"/>
        <v>Error?</v>
      </c>
    </row>
    <row r="1377" spans="1:4">
      <c r="A1377" s="5">
        <v>1316</v>
      </c>
      <c r="B1377" s="138">
        <f>'Expenditures 15-22'!K182</f>
        <v>1501348</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1501348</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1501348</v>
      </c>
      <c r="C1388" s="2" t="s">
        <v>594</v>
      </c>
      <c r="D1388" s="2" t="str">
        <f t="shared" si="20"/>
        <v>Error?</v>
      </c>
    </row>
    <row r="1389" spans="1:4">
      <c r="A1389" s="5">
        <v>1328</v>
      </c>
      <c r="B1389" s="138">
        <f>'Expenditures 15-22'!K211</f>
        <v>52169</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23889</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3799</v>
      </c>
      <c r="D1408" s="2" t="str">
        <f t="shared" si="21"/>
        <v>Error?</v>
      </c>
    </row>
    <row r="1409" spans="1:4">
      <c r="A1409" s="5">
        <v>1348</v>
      </c>
      <c r="B1409" s="138">
        <f>'Expenditures 15-22'!D224</f>
        <v>0</v>
      </c>
      <c r="D1409" s="2" t="str">
        <f t="shared" si="21"/>
        <v>Error?</v>
      </c>
    </row>
    <row r="1410" spans="1:4">
      <c r="A1410" s="5">
        <v>1349</v>
      </c>
      <c r="B1410" s="138">
        <f>'Expenditures 15-22'!D229</f>
        <v>377554</v>
      </c>
      <c r="C1410" s="2" t="s">
        <v>594</v>
      </c>
      <c r="D1410" s="2" t="str">
        <f t="shared" si="21"/>
        <v>Error?</v>
      </c>
    </row>
    <row r="1411" spans="1:4">
      <c r="A1411" s="5">
        <v>1350</v>
      </c>
      <c r="B1411" s="138">
        <f>'Expenditures 15-22'!D232</f>
        <v>2878</v>
      </c>
      <c r="D1411" s="2" t="str">
        <f t="shared" si="21"/>
        <v>Error?</v>
      </c>
    </row>
    <row r="1412" spans="1:4">
      <c r="A1412" s="5">
        <v>1351</v>
      </c>
      <c r="B1412" s="138">
        <f>'Expenditures 15-22'!D233</f>
        <v>7383</v>
      </c>
      <c r="D1412" s="2" t="str">
        <f t="shared" si="21"/>
        <v>Error?</v>
      </c>
    </row>
    <row r="1413" spans="1:4">
      <c r="A1413" s="5">
        <v>1352</v>
      </c>
      <c r="B1413" s="138">
        <f>'Expenditures 15-22'!D234</f>
        <v>16862</v>
      </c>
      <c r="D1413" s="2" t="str">
        <f t="shared" si="21"/>
        <v>Error?</v>
      </c>
    </row>
    <row r="1414" spans="1:4">
      <c r="A1414" s="5">
        <v>1353</v>
      </c>
      <c r="B1414" s="138">
        <f>'Expenditures 15-22'!D235</f>
        <v>1561</v>
      </c>
      <c r="D1414" s="2" t="str">
        <f t="shared" si="21"/>
        <v>Error?</v>
      </c>
    </row>
    <row r="1415" spans="1:4">
      <c r="A1415" s="5">
        <v>1354</v>
      </c>
      <c r="B1415" s="138">
        <f>'Expenditures 15-22'!D236</f>
        <v>5249</v>
      </c>
      <c r="D1415" s="2" t="str">
        <f t="shared" si="21"/>
        <v>Error?</v>
      </c>
    </row>
    <row r="1416" spans="1:4">
      <c r="A1416" s="5">
        <v>1355</v>
      </c>
      <c r="B1416" s="138">
        <f>'Expenditures 15-22'!D237</f>
        <v>25373</v>
      </c>
      <c r="D1416" s="2" t="str">
        <f t="shared" si="21"/>
        <v>Error?</v>
      </c>
    </row>
    <row r="1417" spans="1:4">
      <c r="A1417" s="5">
        <v>1356</v>
      </c>
      <c r="B1417" s="138">
        <f>'Expenditures 15-22'!D238</f>
        <v>59306</v>
      </c>
      <c r="C1417" s="2" t="s">
        <v>594</v>
      </c>
      <c r="D1417" s="2" t="str">
        <f t="shared" si="21"/>
        <v>Error?</v>
      </c>
    </row>
    <row r="1418" spans="1:4">
      <c r="A1418" s="5">
        <v>1357</v>
      </c>
      <c r="B1418" s="138">
        <f>'Expenditures 15-22'!D240</f>
        <v>5040</v>
      </c>
      <c r="D1418" s="2" t="str">
        <f t="shared" si="21"/>
        <v>Error?</v>
      </c>
    </row>
    <row r="1419" spans="1:4">
      <c r="A1419" s="5">
        <v>1358</v>
      </c>
      <c r="B1419" s="138">
        <f>'Expenditures 15-22'!D241</f>
        <v>3052</v>
      </c>
      <c r="D1419" s="2" t="str">
        <f t="shared" si="21"/>
        <v>Error?</v>
      </c>
    </row>
    <row r="1420" spans="1:4">
      <c r="A1420" s="5">
        <v>1359</v>
      </c>
      <c r="B1420" s="138">
        <f>'Expenditures 15-22'!D242</f>
        <v>596</v>
      </c>
      <c r="D1420" s="2" t="str">
        <f t="shared" si="21"/>
        <v>Error?</v>
      </c>
    </row>
    <row r="1421" spans="1:4">
      <c r="A1421" s="5">
        <v>1360</v>
      </c>
      <c r="B1421" s="138">
        <f>'Expenditures 15-22'!D243</f>
        <v>8688</v>
      </c>
      <c r="C1421" s="2" t="s">
        <v>594</v>
      </c>
      <c r="D1421" s="2" t="str">
        <f t="shared" si="21"/>
        <v>Error?</v>
      </c>
    </row>
    <row r="1422" spans="1:4">
      <c r="A1422" s="5">
        <v>1361</v>
      </c>
      <c r="B1422" s="138">
        <f>'Expenditures 15-22'!D245</f>
        <v>13892</v>
      </c>
      <c r="D1422" s="2" t="str">
        <f t="shared" si="21"/>
        <v>Error?</v>
      </c>
    </row>
    <row r="1423" spans="1:4">
      <c r="A1423" s="5">
        <v>1362</v>
      </c>
      <c r="B1423" s="138">
        <f>'Expenditures 15-22'!D246</f>
        <v>2390</v>
      </c>
      <c r="D1423" s="2" t="str">
        <f t="shared" si="21"/>
        <v>Error?</v>
      </c>
    </row>
    <row r="1424" spans="1:4">
      <c r="A1424" s="5">
        <v>1363</v>
      </c>
      <c r="B1424" s="138">
        <f>'Expenditures 15-22'!D257</f>
        <v>36169</v>
      </c>
      <c r="C1424" s="2" t="s">
        <v>594</v>
      </c>
      <c r="D1424" s="2" t="str">
        <f t="shared" si="21"/>
        <v>Error?</v>
      </c>
    </row>
    <row r="1425" spans="1:4">
      <c r="A1425" s="5">
        <v>1364</v>
      </c>
      <c r="B1425" s="138">
        <f>'Expenditures 15-22'!D259</f>
        <v>68531</v>
      </c>
      <c r="D1425" s="2" t="str">
        <f t="shared" si="21"/>
        <v>Error?</v>
      </c>
    </row>
    <row r="1426" spans="1:4">
      <c r="A1426" s="5">
        <v>1365</v>
      </c>
      <c r="B1426" s="138">
        <f>'Expenditures 15-22'!D260</f>
        <v>0</v>
      </c>
      <c r="D1426" s="2" t="str">
        <f t="shared" si="21"/>
        <v>Error?</v>
      </c>
    </row>
    <row r="1427" spans="1:4">
      <c r="A1427" s="5">
        <v>1366</v>
      </c>
      <c r="B1427" s="138">
        <f>'Expenditures 15-22'!D261</f>
        <v>68531</v>
      </c>
      <c r="C1427" s="2" t="s">
        <v>594</v>
      </c>
      <c r="D1427" s="2" t="str">
        <f t="shared" si="21"/>
        <v>Error?</v>
      </c>
    </row>
    <row r="1428" spans="1:4">
      <c r="A1428" s="5">
        <v>1367</v>
      </c>
      <c r="B1428" s="138">
        <f>'Expenditures 15-22'!D263</f>
        <v>27507</v>
      </c>
      <c r="D1428" s="2" t="str">
        <f t="shared" si="21"/>
        <v>Error?</v>
      </c>
    </row>
    <row r="1429" spans="1:4">
      <c r="A1429" s="5">
        <v>1368</v>
      </c>
      <c r="B1429" s="138">
        <f>'Expenditures 15-22'!D264</f>
        <v>21480</v>
      </c>
      <c r="D1429" s="2" t="str">
        <f t="shared" si="21"/>
        <v>Error?</v>
      </c>
    </row>
    <row r="1430" spans="1:4">
      <c r="A1430" s="5">
        <v>1369</v>
      </c>
      <c r="B1430" s="138">
        <f>'Expenditures 15-22'!D265</f>
        <v>0</v>
      </c>
      <c r="D1430" s="2" t="str">
        <f t="shared" si="21"/>
        <v>Error?</v>
      </c>
    </row>
    <row r="1431" spans="1:4">
      <c r="A1431" s="5">
        <v>1370</v>
      </c>
      <c r="B1431" s="138">
        <f>'Expenditures 15-22'!D266</f>
        <v>250052</v>
      </c>
      <c r="D1431" s="2" t="str">
        <f t="shared" si="21"/>
        <v>Error?</v>
      </c>
    </row>
    <row r="1432" spans="1:4">
      <c r="A1432" s="5">
        <v>1371</v>
      </c>
      <c r="B1432" s="138">
        <f>'Expenditures 15-22'!D267</f>
        <v>192285</v>
      </c>
      <c r="D1432" s="2" t="str">
        <f t="shared" si="21"/>
        <v>Error?</v>
      </c>
    </row>
    <row r="1433" spans="1:4">
      <c r="A1433" s="5">
        <v>1372</v>
      </c>
      <c r="B1433" s="138">
        <f>'Expenditures 15-22'!D268</f>
        <v>102933</v>
      </c>
      <c r="D1433" s="2" t="str">
        <f t="shared" si="21"/>
        <v>Error?</v>
      </c>
    </row>
    <row r="1434" spans="1:4">
      <c r="A1434" s="5">
        <v>1373</v>
      </c>
      <c r="B1434" s="138">
        <f>'Expenditures 15-22'!D269</f>
        <v>4518</v>
      </c>
      <c r="D1434" s="2" t="str">
        <f t="shared" si="21"/>
        <v>Error?</v>
      </c>
    </row>
    <row r="1435" spans="1:4">
      <c r="A1435" s="10">
        <v>1374</v>
      </c>
      <c r="D1435" s="2" t="str">
        <f t="shared" si="21"/>
        <v>OK</v>
      </c>
    </row>
    <row r="1436" spans="1:4">
      <c r="A1436" s="5">
        <v>1375</v>
      </c>
      <c r="B1436" s="138">
        <f>'Expenditures 15-22'!D270</f>
        <v>598775</v>
      </c>
      <c r="C1436" s="2" t="s">
        <v>594</v>
      </c>
      <c r="D1436" s="2" t="str">
        <f t="shared" si="21"/>
        <v>Error?</v>
      </c>
    </row>
    <row r="1437" spans="1:4">
      <c r="A1437" s="5">
        <v>1376</v>
      </c>
      <c r="B1437" s="138">
        <f>'Expenditures 15-22'!D272</f>
        <v>11199</v>
      </c>
      <c r="D1437" s="2" t="str">
        <f t="shared" si="21"/>
        <v>Error?</v>
      </c>
    </row>
    <row r="1438" spans="1:4">
      <c r="A1438" s="5">
        <v>1377</v>
      </c>
      <c r="B1438" s="138">
        <f>'Expenditures 15-22'!D273</f>
        <v>0</v>
      </c>
      <c r="D1438" s="2" t="str">
        <f t="shared" si="21"/>
        <v>Error?</v>
      </c>
    </row>
    <row r="1439" spans="1:4">
      <c r="A1439" s="5">
        <v>1378</v>
      </c>
      <c r="B1439" s="138">
        <f>'Expenditures 15-22'!D274</f>
        <v>82360</v>
      </c>
      <c r="D1439" s="2" t="str">
        <f t="shared" si="21"/>
        <v>Error?</v>
      </c>
    </row>
    <row r="1440" spans="1:4">
      <c r="A1440" s="5">
        <v>1379</v>
      </c>
      <c r="B1440" s="138">
        <f>'Expenditures 15-22'!D275</f>
        <v>25404</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118963</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890432</v>
      </c>
      <c r="C1446" s="2" t="s">
        <v>594</v>
      </c>
      <c r="D1446" s="2" t="str">
        <f t="shared" si="21"/>
        <v>Error?</v>
      </c>
    </row>
    <row r="1447" spans="1:4">
      <c r="A1447" s="5">
        <v>1386</v>
      </c>
      <c r="B1447" s="138">
        <f>'Expenditures 15-22'!D280</f>
        <v>3766</v>
      </c>
      <c r="D1447" s="2" t="str">
        <f t="shared" si="21"/>
        <v>Error?</v>
      </c>
    </row>
    <row r="1448" spans="1:4">
      <c r="A1448" s="5">
        <v>1387</v>
      </c>
      <c r="B1448" s="138">
        <f>'Expenditures 15-22'!D295</f>
        <v>1271752</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23889</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3799</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377554</v>
      </c>
      <c r="C1474" s="2" t="s">
        <v>594</v>
      </c>
      <c r="D1474" s="2" t="str">
        <f t="shared" si="22"/>
        <v>Error?</v>
      </c>
    </row>
    <row r="1475" spans="1:4">
      <c r="A1475" s="5">
        <v>1414</v>
      </c>
      <c r="B1475" s="138">
        <f>'Expenditures 15-22'!K232</f>
        <v>2878</v>
      </c>
      <c r="C1475" s="2" t="s">
        <v>594</v>
      </c>
      <c r="D1475" s="2" t="str">
        <f t="shared" si="22"/>
        <v>Error?</v>
      </c>
    </row>
    <row r="1476" spans="1:4">
      <c r="A1476" s="5">
        <v>1415</v>
      </c>
      <c r="B1476" s="138">
        <f>'Expenditures 15-22'!K233</f>
        <v>7383</v>
      </c>
      <c r="C1476" s="2" t="s">
        <v>594</v>
      </c>
      <c r="D1476" s="2" t="str">
        <f t="shared" si="22"/>
        <v>Error?</v>
      </c>
    </row>
    <row r="1477" spans="1:4">
      <c r="A1477" s="5">
        <v>1416</v>
      </c>
      <c r="B1477" s="138">
        <f>'Expenditures 15-22'!K234</f>
        <v>16862</v>
      </c>
      <c r="C1477" s="2" t="s">
        <v>594</v>
      </c>
      <c r="D1477" s="2" t="str">
        <f t="shared" si="22"/>
        <v>Error?</v>
      </c>
    </row>
    <row r="1478" spans="1:4">
      <c r="A1478" s="5">
        <v>1417</v>
      </c>
      <c r="B1478" s="138">
        <f>'Expenditures 15-22'!K235</f>
        <v>1561</v>
      </c>
      <c r="C1478" s="2" t="s">
        <v>594</v>
      </c>
      <c r="D1478" s="2" t="str">
        <f t="shared" si="22"/>
        <v>Error?</v>
      </c>
    </row>
    <row r="1479" spans="1:4">
      <c r="A1479" s="5">
        <v>1418</v>
      </c>
      <c r="B1479" s="138">
        <f>'Expenditures 15-22'!K236</f>
        <v>5249</v>
      </c>
      <c r="C1479" s="2" t="s">
        <v>594</v>
      </c>
      <c r="D1479" s="2" t="str">
        <f t="shared" si="22"/>
        <v>Error?</v>
      </c>
    </row>
    <row r="1480" spans="1:4">
      <c r="A1480" s="5">
        <v>1419</v>
      </c>
      <c r="B1480" s="138">
        <f>'Expenditures 15-22'!K237</f>
        <v>25373</v>
      </c>
      <c r="C1480" s="2" t="s">
        <v>594</v>
      </c>
      <c r="D1480" s="2" t="str">
        <f t="shared" si="22"/>
        <v>Error?</v>
      </c>
    </row>
    <row r="1481" spans="1:4">
      <c r="A1481" s="5">
        <v>1420</v>
      </c>
      <c r="B1481" s="138">
        <f>'Expenditures 15-22'!K238</f>
        <v>59306</v>
      </c>
      <c r="C1481" s="2" t="s">
        <v>594</v>
      </c>
      <c r="D1481" s="2" t="str">
        <f t="shared" si="22"/>
        <v>Error?</v>
      </c>
    </row>
    <row r="1482" spans="1:4">
      <c r="A1482" s="5">
        <v>1421</v>
      </c>
      <c r="B1482" s="138">
        <f>'Expenditures 15-22'!K240</f>
        <v>5040</v>
      </c>
      <c r="C1482" s="2" t="s">
        <v>594</v>
      </c>
      <c r="D1482" s="2" t="str">
        <f t="shared" si="22"/>
        <v>Error?</v>
      </c>
    </row>
    <row r="1483" spans="1:4">
      <c r="A1483" s="5">
        <v>1422</v>
      </c>
      <c r="B1483" s="138">
        <f>'Expenditures 15-22'!K241</f>
        <v>3052</v>
      </c>
      <c r="C1483" s="2" t="s">
        <v>594</v>
      </c>
      <c r="D1483" s="2" t="str">
        <f t="shared" si="22"/>
        <v>Error?</v>
      </c>
    </row>
    <row r="1484" spans="1:4">
      <c r="A1484" s="5">
        <v>1423</v>
      </c>
      <c r="B1484" s="138">
        <f>'Expenditures 15-22'!K242</f>
        <v>596</v>
      </c>
      <c r="C1484" s="2" t="s">
        <v>594</v>
      </c>
      <c r="D1484" s="2" t="str">
        <f t="shared" si="22"/>
        <v>Error?</v>
      </c>
    </row>
    <row r="1485" spans="1:4">
      <c r="A1485" s="5">
        <v>1424</v>
      </c>
      <c r="B1485" s="138">
        <f>'Expenditures 15-22'!K243</f>
        <v>8688</v>
      </c>
      <c r="C1485" s="2" t="s">
        <v>594</v>
      </c>
      <c r="D1485" s="2" t="str">
        <f t="shared" si="22"/>
        <v>Error?</v>
      </c>
    </row>
    <row r="1486" spans="1:4">
      <c r="A1486" s="5">
        <v>1425</v>
      </c>
      <c r="B1486" s="138">
        <f>'Expenditures 15-22'!K245</f>
        <v>13892</v>
      </c>
      <c r="C1486" s="2" t="s">
        <v>594</v>
      </c>
      <c r="D1486" s="2" t="str">
        <f t="shared" si="22"/>
        <v>Error?</v>
      </c>
    </row>
    <row r="1487" spans="1:4">
      <c r="A1487" s="5">
        <v>1426</v>
      </c>
      <c r="B1487" s="138">
        <f>'Expenditures 15-22'!K246</f>
        <v>2390</v>
      </c>
      <c r="C1487" s="2" t="s">
        <v>594</v>
      </c>
      <c r="D1487" s="2" t="str">
        <f t="shared" si="22"/>
        <v>Error?</v>
      </c>
    </row>
    <row r="1488" spans="1:4">
      <c r="A1488" s="5">
        <v>1427</v>
      </c>
      <c r="B1488" s="138">
        <f>'Expenditures 15-22'!K257</f>
        <v>36169</v>
      </c>
      <c r="C1488" s="2" t="s">
        <v>594</v>
      </c>
      <c r="D1488" s="2" t="str">
        <f t="shared" si="22"/>
        <v>Error?</v>
      </c>
    </row>
    <row r="1489" spans="1:4">
      <c r="A1489" s="5">
        <v>1428</v>
      </c>
      <c r="B1489" s="138">
        <f>'Expenditures 15-22'!K259</f>
        <v>68531</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68531</v>
      </c>
      <c r="C1491" s="2" t="s">
        <v>594</v>
      </c>
      <c r="D1491" s="2" t="str">
        <f t="shared" si="22"/>
        <v>Error?</v>
      </c>
    </row>
    <row r="1492" spans="1:4">
      <c r="A1492" s="5">
        <v>1431</v>
      </c>
      <c r="B1492" s="138">
        <f>'Expenditures 15-22'!K263</f>
        <v>27507</v>
      </c>
      <c r="C1492" s="2" t="s">
        <v>594</v>
      </c>
      <c r="D1492" s="2" t="str">
        <f t="shared" si="22"/>
        <v>Error?</v>
      </c>
    </row>
    <row r="1493" spans="1:4">
      <c r="A1493" s="5">
        <v>1432</v>
      </c>
      <c r="B1493" s="138">
        <f>'Expenditures 15-22'!K264</f>
        <v>21480</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250052</v>
      </c>
      <c r="C1495" s="2" t="s">
        <v>594</v>
      </c>
      <c r="D1495" s="2" t="str">
        <f t="shared" si="22"/>
        <v>Error?</v>
      </c>
    </row>
    <row r="1496" spans="1:4">
      <c r="A1496" s="5">
        <v>1435</v>
      </c>
      <c r="B1496" s="138">
        <f>'Expenditures 15-22'!K267</f>
        <v>192285</v>
      </c>
      <c r="C1496" s="2" t="s">
        <v>594</v>
      </c>
      <c r="D1496" s="2" t="str">
        <f t="shared" si="22"/>
        <v>Error?</v>
      </c>
    </row>
    <row r="1497" spans="1:4">
      <c r="A1497" s="5">
        <v>1436</v>
      </c>
      <c r="B1497" s="138">
        <f>'Expenditures 15-22'!K268</f>
        <v>102933</v>
      </c>
      <c r="C1497" s="2" t="s">
        <v>594</v>
      </c>
      <c r="D1497" s="2" t="str">
        <f t="shared" si="22"/>
        <v>Error?</v>
      </c>
    </row>
    <row r="1498" spans="1:4">
      <c r="A1498" s="5">
        <v>1437</v>
      </c>
      <c r="B1498" s="138">
        <f>'Expenditures 15-22'!K269</f>
        <v>4518</v>
      </c>
      <c r="C1498" s="2" t="s">
        <v>594</v>
      </c>
      <c r="D1498" s="2" t="str">
        <f t="shared" si="22"/>
        <v>Error?</v>
      </c>
    </row>
    <row r="1499" spans="1:4">
      <c r="A1499" s="10">
        <v>1438</v>
      </c>
      <c r="D1499" s="2" t="str">
        <f t="shared" si="22"/>
        <v>OK</v>
      </c>
    </row>
    <row r="1500" spans="1:4">
      <c r="A1500" s="5">
        <v>1439</v>
      </c>
      <c r="B1500" s="138">
        <f>'Expenditures 15-22'!K270</f>
        <v>598775</v>
      </c>
      <c r="C1500" s="2" t="s">
        <v>594</v>
      </c>
      <c r="D1500" s="2" t="str">
        <f t="shared" si="22"/>
        <v>Error?</v>
      </c>
    </row>
    <row r="1501" spans="1:4">
      <c r="A1501" s="5">
        <v>1440</v>
      </c>
      <c r="B1501" s="138">
        <f>'Expenditures 15-22'!K272</f>
        <v>11199</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82360</v>
      </c>
      <c r="C1503" s="2" t="s">
        <v>594</v>
      </c>
      <c r="D1503" s="2" t="str">
        <f t="shared" si="22"/>
        <v>Error?</v>
      </c>
    </row>
    <row r="1504" spans="1:4">
      <c r="A1504" s="5">
        <v>1443</v>
      </c>
      <c r="B1504" s="138">
        <f>'Expenditures 15-22'!K275</f>
        <v>25404</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118963</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890432</v>
      </c>
      <c r="C1510" s="2" t="s">
        <v>594</v>
      </c>
      <c r="D1510" s="2" t="str">
        <f t="shared" si="22"/>
        <v>Error?</v>
      </c>
    </row>
    <row r="1511" spans="1:4">
      <c r="A1511" s="5">
        <v>1450</v>
      </c>
      <c r="B1511" s="138">
        <f>'Expenditures 15-22'!K280</f>
        <v>3766</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1271752</v>
      </c>
      <c r="C1517" s="2" t="s">
        <v>594</v>
      </c>
      <c r="D1517" s="2" t="str">
        <f t="shared" si="22"/>
        <v>Error?</v>
      </c>
    </row>
    <row r="1518" spans="1:4">
      <c r="A1518" s="5">
        <v>1457</v>
      </c>
      <c r="B1518" s="138">
        <f>'Expenditures 15-22'!K296</f>
        <v>36871</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108640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108640</v>
      </c>
      <c r="C1541" s="2" t="s">
        <v>594</v>
      </c>
      <c r="D1541" s="2" t="str">
        <f t="shared" si="23"/>
        <v>Error?</v>
      </c>
    </row>
    <row r="1542" spans="1:4">
      <c r="A1542" s="5">
        <v>1481</v>
      </c>
      <c r="B1542" s="138">
        <f>'Expenditures 15-22'!F312</f>
        <v>108640</v>
      </c>
      <c r="C1542" s="2" t="s">
        <v>594</v>
      </c>
      <c r="D1542" s="2" t="str">
        <f t="shared" si="23"/>
        <v>Error?</v>
      </c>
    </row>
    <row r="1543" spans="1:4">
      <c r="A1543" s="5">
        <v>1482</v>
      </c>
      <c r="B1543" s="138">
        <f>'Expenditures 15-22'!G301</f>
        <v>9600337</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9600337</v>
      </c>
      <c r="C1547" s="2" t="s">
        <v>594</v>
      </c>
      <c r="D1547" s="2" t="str">
        <f t="shared" si="23"/>
        <v>Error?</v>
      </c>
    </row>
    <row r="1548" spans="1:4">
      <c r="A1548" s="5">
        <v>1487</v>
      </c>
      <c r="B1548" s="138">
        <f>'Expenditures 15-22'!G312</f>
        <v>9600337</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9708977</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9708977</v>
      </c>
      <c r="C1559" s="2" t="s">
        <v>594</v>
      </c>
      <c r="D1559" s="2" t="str">
        <f t="shared" si="23"/>
        <v>Error?</v>
      </c>
    </row>
    <row r="1560" spans="1:4">
      <c r="A1560" s="5">
        <v>1499</v>
      </c>
      <c r="B1560" s="138">
        <f>'Expenditures 15-22'!K312</f>
        <v>9708977</v>
      </c>
      <c r="C1560" s="2" t="s">
        <v>594</v>
      </c>
      <c r="D1560" s="2" t="str">
        <f t="shared" si="23"/>
        <v>Error?</v>
      </c>
    </row>
    <row r="1561" spans="1:4">
      <c r="A1561" s="5">
        <v>1500</v>
      </c>
      <c r="B1561" s="138">
        <f>'Expenditures 15-22'!K313</f>
        <v>-9366094</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656682</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2697378</v>
      </c>
      <c r="C1630" s="2" t="s">
        <v>594</v>
      </c>
      <c r="D1630" s="2" t="str">
        <f t="shared" si="24"/>
        <v>Error?</v>
      </c>
    </row>
    <row r="1631" spans="1:4">
      <c r="A1631" s="5">
        <v>1570</v>
      </c>
      <c r="B1631" s="138">
        <f>'Acct Summary 7-8'!D79</f>
        <v>367885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551465</v>
      </c>
      <c r="C1644" s="2" t="s">
        <v>594</v>
      </c>
      <c r="D1644" s="2" t="str">
        <f t="shared" si="24"/>
        <v>Error?</v>
      </c>
    </row>
    <row r="1645" spans="1:4">
      <c r="A1645" s="5">
        <v>1584</v>
      </c>
      <c r="B1645" s="138">
        <f>'Acct Summary 7-8'!E79</f>
        <v>2092295</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2786291</v>
      </c>
      <c r="C1658" s="2" t="s">
        <v>594</v>
      </c>
      <c r="D1658" s="2" t="str">
        <f t="shared" si="24"/>
        <v>Error?</v>
      </c>
    </row>
    <row r="1659" spans="1:4">
      <c r="A1659" s="5">
        <v>1598</v>
      </c>
      <c r="B1659" s="138">
        <f>'Acct Summary 7-8'!F79</f>
        <v>209938</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262107</v>
      </c>
      <c r="C1672" s="2" t="s">
        <v>594</v>
      </c>
      <c r="D1672" s="2" t="str">
        <f t="shared" si="25"/>
        <v>Error?</v>
      </c>
    </row>
    <row r="1673" spans="1:4">
      <c r="A1673" s="5">
        <v>1612</v>
      </c>
      <c r="B1673" s="138">
        <f>'Acct Summary 7-8'!G79</f>
        <v>92032</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128903</v>
      </c>
      <c r="C1686" s="2" t="s">
        <v>594</v>
      </c>
      <c r="D1686" s="2" t="str">
        <f t="shared" si="25"/>
        <v>Error?</v>
      </c>
    </row>
    <row r="1687" spans="1:4">
      <c r="A1687" s="5">
        <v>1626</v>
      </c>
      <c r="B1687" s="138">
        <f>'Acct Summary 7-8'!H79</f>
        <v>9591963</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225869</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8192695</v>
      </c>
      <c r="C1744" s="2" t="s">
        <v>594</v>
      </c>
      <c r="D1744" s="2" t="str">
        <f t="shared" si="26"/>
        <v>Error?</v>
      </c>
    </row>
    <row r="1745" spans="1:5">
      <c r="A1745" s="5">
        <v>1684</v>
      </c>
      <c r="B1745" s="138">
        <f>'Tax Sched 23'!B5</f>
        <v>846353</v>
      </c>
      <c r="C1745" s="2" t="s">
        <v>594</v>
      </c>
      <c r="D1745" s="2" t="str">
        <f t="shared" si="26"/>
        <v>Error?</v>
      </c>
    </row>
    <row r="1746" spans="1:5">
      <c r="A1746" s="5">
        <v>1685</v>
      </c>
      <c r="B1746" s="138">
        <f>'Tax Sched 23'!B6</f>
        <v>2453508</v>
      </c>
      <c r="C1746" s="2" t="s">
        <v>594</v>
      </c>
      <c r="D1746" s="2" t="str">
        <f t="shared" si="26"/>
        <v>Error?</v>
      </c>
    </row>
    <row r="1747" spans="1:5">
      <c r="A1747" s="5">
        <v>1686</v>
      </c>
      <c r="B1747" s="138">
        <f>'Tax Sched 23'!B7</f>
        <v>406249</v>
      </c>
      <c r="C1747" s="2" t="s">
        <v>594</v>
      </c>
      <c r="D1747" s="2" t="str">
        <f t="shared" si="26"/>
        <v>Error?</v>
      </c>
    </row>
    <row r="1748" spans="1:5">
      <c r="A1748" s="5">
        <v>1687</v>
      </c>
      <c r="B1748" s="138">
        <f>'Tax Sched 23'!B8</f>
        <v>724810</v>
      </c>
      <c r="C1748" s="2" t="s">
        <v>594</v>
      </c>
      <c r="D1748" s="2" t="str">
        <f t="shared" si="26"/>
        <v>Error?</v>
      </c>
    </row>
    <row r="1749" spans="1:5">
      <c r="A1749" s="5">
        <v>1688</v>
      </c>
      <c r="B1749" s="138">
        <f>'Tax Sched 23'!B10</f>
        <v>169271</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917066</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67708</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14424512</v>
      </c>
      <c r="C1759" s="2" t="s">
        <v>594</v>
      </c>
      <c r="D1759" s="2" t="str">
        <f t="shared" si="26"/>
        <v>Error?</v>
      </c>
    </row>
    <row r="1760" spans="1:5">
      <c r="A1760" s="5">
        <v>1699</v>
      </c>
      <c r="B1760" s="138">
        <f>'Tax Sched 23'!D4</f>
        <v>5533041</v>
      </c>
      <c r="C1760" s="2" t="s">
        <v>594</v>
      </c>
      <c r="D1760" s="2" t="str">
        <f t="shared" si="26"/>
        <v>Error?</v>
      </c>
    </row>
    <row r="1761" spans="1:5">
      <c r="A1761" s="5">
        <v>1700</v>
      </c>
      <c r="B1761" s="138">
        <f>'Tax Sched 23'!D5</f>
        <v>571595</v>
      </c>
      <c r="C1761" s="2" t="s">
        <v>594</v>
      </c>
      <c r="D1761" s="2" t="str">
        <f t="shared" si="26"/>
        <v>Error?</v>
      </c>
    </row>
    <row r="1762" spans="1:5" s="8" customFormat="1">
      <c r="A1762" s="5">
        <v>1701</v>
      </c>
      <c r="B1762" s="138">
        <f>'Tax Sched 23'!D6</f>
        <v>1690561</v>
      </c>
      <c r="C1762" s="2" t="s">
        <v>594</v>
      </c>
      <c r="D1762" s="2" t="str">
        <f t="shared" si="26"/>
        <v>Error?</v>
      </c>
      <c r="E1762" s="9"/>
    </row>
    <row r="1763" spans="1:5">
      <c r="A1763" s="5">
        <v>1702</v>
      </c>
      <c r="B1763" s="138">
        <f>'Tax Sched 23'!D7</f>
        <v>274365</v>
      </c>
      <c r="C1763" s="2" t="s">
        <v>594</v>
      </c>
      <c r="D1763" s="2" t="str">
        <f t="shared" si="26"/>
        <v>Error?</v>
      </c>
    </row>
    <row r="1764" spans="1:5">
      <c r="A1764" s="5">
        <v>1703</v>
      </c>
      <c r="B1764" s="138">
        <f>'Tax Sched 23'!D8</f>
        <v>503465</v>
      </c>
      <c r="C1764" s="2" t="s">
        <v>594</v>
      </c>
      <c r="D1764" s="2" t="str">
        <f t="shared" si="26"/>
        <v>Error?</v>
      </c>
    </row>
    <row r="1765" spans="1:5">
      <c r="A1765" s="5">
        <v>1704</v>
      </c>
      <c r="B1765" s="138">
        <f>'Tax Sched 23'!D10</f>
        <v>114320</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632417</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45728</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9751874</v>
      </c>
      <c r="C1775" s="2" t="s">
        <v>594</v>
      </c>
      <c r="D1775" s="2" t="str">
        <f t="shared" si="26"/>
        <v>Error?</v>
      </c>
    </row>
    <row r="1776" spans="1:5">
      <c r="A1776" s="5">
        <v>1715</v>
      </c>
      <c r="B1776" s="138">
        <f>'Tax Sched 23'!C4</f>
        <v>2659654</v>
      </c>
      <c r="D1776" s="2" t="str">
        <f t="shared" si="26"/>
        <v>Error?</v>
      </c>
    </row>
    <row r="1777" spans="1:4">
      <c r="A1777" s="5">
        <v>1716</v>
      </c>
      <c r="B1777" s="138">
        <f>'Tax Sched 23'!C5</f>
        <v>274758</v>
      </c>
      <c r="D1777" s="2" t="str">
        <f t="shared" si="26"/>
        <v>Error?</v>
      </c>
    </row>
    <row r="1778" spans="1:4">
      <c r="A1778" s="5">
        <v>1717</v>
      </c>
      <c r="B1778" s="138">
        <f>'Tax Sched 23'!C6</f>
        <v>762947</v>
      </c>
      <c r="D1778" s="2" t="str">
        <f t="shared" si="26"/>
        <v>Error?</v>
      </c>
    </row>
    <row r="1779" spans="1:4">
      <c r="A1779" s="5">
        <v>1718</v>
      </c>
      <c r="B1779" s="138">
        <f>'Tax Sched 23'!C7</f>
        <v>131884</v>
      </c>
      <c r="D1779" s="2" t="str">
        <f t="shared" si="26"/>
        <v>Error?</v>
      </c>
    </row>
    <row r="1780" spans="1:4">
      <c r="A1780" s="5">
        <v>1719</v>
      </c>
      <c r="B1780" s="138">
        <f>'Tax Sched 23'!C8</f>
        <v>221345</v>
      </c>
      <c r="D1780" s="2" t="str">
        <f t="shared" si="26"/>
        <v>Error?</v>
      </c>
    </row>
    <row r="1781" spans="1:4">
      <c r="A1781" s="5">
        <v>1720</v>
      </c>
      <c r="B1781" s="138">
        <f>'Tax Sched 23'!C10</f>
        <v>54951</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284649</v>
      </c>
      <c r="D1784" s="2" t="str">
        <f t="shared" si="26"/>
        <v>Error?</v>
      </c>
    </row>
    <row r="1785" spans="1:4">
      <c r="A1785" s="5">
        <v>1724</v>
      </c>
      <c r="B1785" s="138">
        <f>'Tax Sched 23'!C12</f>
        <v>0</v>
      </c>
      <c r="D1785" s="2" t="str">
        <f t="shared" si="26"/>
        <v>Error?</v>
      </c>
    </row>
    <row r="1786" spans="1:4">
      <c r="A1786" s="5">
        <v>1725</v>
      </c>
      <c r="B1786" s="138">
        <f>'Tax Sched 23'!C14</f>
        <v>21980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4672638</v>
      </c>
      <c r="C1791" s="2" t="s">
        <v>594</v>
      </c>
      <c r="D1791" s="2" t="str">
        <f t="shared" ref="D1791:D1854" si="27">IF(ISBLANK(B1791),"OK",IF(A1791-B1791=0,"OK","Error?"))</f>
        <v>Error?</v>
      </c>
    </row>
    <row r="1792" spans="1:4">
      <c r="A1792" s="5">
        <v>1731</v>
      </c>
      <c r="B1792" s="138">
        <f>'Tax Sched 23'!F4</f>
        <v>5755325</v>
      </c>
      <c r="C1792" s="2" t="s">
        <v>594</v>
      </c>
      <c r="D1792" s="2" t="str">
        <f t="shared" si="27"/>
        <v>Error?</v>
      </c>
    </row>
    <row r="1793" spans="1:4">
      <c r="A1793" s="5">
        <v>1732</v>
      </c>
      <c r="B1793" s="138">
        <f>'Tax Sched 23'!F5</f>
        <v>594558</v>
      </c>
      <c r="C1793" s="2" t="s">
        <v>594</v>
      </c>
      <c r="D1793" s="2" t="str">
        <f t="shared" si="27"/>
        <v>Error?</v>
      </c>
    </row>
    <row r="1794" spans="1:4">
      <c r="A1794" s="5">
        <v>1733</v>
      </c>
      <c r="B1794" s="138">
        <f>'Tax Sched 23'!F6</f>
        <v>1650970</v>
      </c>
      <c r="C1794" s="2" t="s">
        <v>594</v>
      </c>
      <c r="D1794" s="2" t="str">
        <f t="shared" si="27"/>
        <v>Error?</v>
      </c>
    </row>
    <row r="1795" spans="1:4">
      <c r="A1795" s="5">
        <v>1734</v>
      </c>
      <c r="B1795" s="138">
        <f>'Tax Sched 23'!F7</f>
        <v>285388</v>
      </c>
      <c r="C1795" s="2" t="s">
        <v>594</v>
      </c>
      <c r="D1795" s="2" t="str">
        <f t="shared" si="27"/>
        <v>Error?</v>
      </c>
    </row>
    <row r="1796" spans="1:4">
      <c r="A1796" s="5">
        <v>1735</v>
      </c>
      <c r="B1796" s="138">
        <f>'Tax Sched 23'!F8</f>
        <v>478976</v>
      </c>
      <c r="C1796" s="2" t="s">
        <v>594</v>
      </c>
      <c r="D1796" s="2" t="str">
        <f t="shared" si="27"/>
        <v>Error?</v>
      </c>
    </row>
    <row r="1797" spans="1:4">
      <c r="A1797" s="5">
        <v>1736</v>
      </c>
      <c r="B1797" s="138">
        <f>'Tax Sched 23'!F10</f>
        <v>118912</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615962</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47565</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10111297</v>
      </c>
      <c r="C1807" s="2" t="s">
        <v>594</v>
      </c>
      <c r="D1807" s="2" t="str">
        <f t="shared" si="27"/>
        <v>Error?</v>
      </c>
    </row>
    <row r="1808" spans="1:4">
      <c r="A1808" s="5">
        <v>1747</v>
      </c>
      <c r="B1808" s="138">
        <f>'Tax Sched 23'!E4</f>
        <v>8414979</v>
      </c>
      <c r="D1808" s="2" t="str">
        <f t="shared" si="27"/>
        <v>Error?</v>
      </c>
    </row>
    <row r="1809" spans="1:4">
      <c r="A1809" s="5">
        <v>1748</v>
      </c>
      <c r="B1809" s="138">
        <f>'Tax Sched 23'!E5</f>
        <v>869316</v>
      </c>
      <c r="D1809" s="2" t="str">
        <f t="shared" si="27"/>
        <v>Error?</v>
      </c>
    </row>
    <row r="1810" spans="1:4">
      <c r="A1810" s="5">
        <v>1749</v>
      </c>
      <c r="B1810" s="138">
        <f>'Tax Sched 23'!E6</f>
        <v>2413917</v>
      </c>
      <c r="D1810" s="2" t="str">
        <f t="shared" si="27"/>
        <v>Error?</v>
      </c>
    </row>
    <row r="1811" spans="1:4">
      <c r="A1811" s="5">
        <v>1750</v>
      </c>
      <c r="B1811" s="138">
        <f>'Tax Sched 23'!E7</f>
        <v>417272</v>
      </c>
      <c r="D1811" s="2" t="str">
        <f t="shared" si="27"/>
        <v>Error?</v>
      </c>
    </row>
    <row r="1812" spans="1:4">
      <c r="A1812" s="5">
        <v>1751</v>
      </c>
      <c r="B1812" s="138">
        <f>'Tax Sched 23'!E8</f>
        <v>700321</v>
      </c>
      <c r="D1812" s="2" t="str">
        <f t="shared" si="27"/>
        <v>Error?</v>
      </c>
    </row>
    <row r="1813" spans="1:4">
      <c r="A1813" s="5">
        <v>1752</v>
      </c>
      <c r="B1813" s="138">
        <f>'Tax Sched 23'!E10</f>
        <v>173863</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900611</v>
      </c>
      <c r="D1816" s="2" t="str">
        <f t="shared" si="27"/>
        <v>Error?</v>
      </c>
    </row>
    <row r="1817" spans="1:4">
      <c r="A1817" s="5">
        <v>1756</v>
      </c>
      <c r="B1817" s="138">
        <f>'Tax Sched 23'!E12</f>
        <v>0</v>
      </c>
      <c r="D1817" s="2" t="str">
        <f t="shared" si="27"/>
        <v>Error?</v>
      </c>
    </row>
    <row r="1818" spans="1:4">
      <c r="A1818" s="5">
        <v>1757</v>
      </c>
      <c r="B1818" s="138">
        <f>'Tax Sched 23'!E14</f>
        <v>69545</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14783935</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27310000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67708</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67708</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67708</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85616</v>
      </c>
      <c r="D2008" s="2" t="str">
        <f t="shared" si="30"/>
        <v>Error?</v>
      </c>
    </row>
    <row r="2009" spans="1:4">
      <c r="A2009" s="5">
        <v>1948</v>
      </c>
      <c r="B2009" s="138">
        <f>'Cap Outlay Deprec 26'!C8</f>
        <v>41764281</v>
      </c>
      <c r="D2009" s="2" t="str">
        <f t="shared" si="30"/>
        <v>Error?</v>
      </c>
    </row>
    <row r="2010" spans="1:4">
      <c r="A2010" s="5">
        <v>1949</v>
      </c>
      <c r="B2010" s="138">
        <f>'Cap Outlay Deprec 26'!C10</f>
        <v>1507638</v>
      </c>
      <c r="D2010" s="2" t="str">
        <f t="shared" si="30"/>
        <v>Error?</v>
      </c>
    </row>
    <row r="2011" spans="1:4">
      <c r="A2011" s="5">
        <v>1950</v>
      </c>
      <c r="B2011" s="138">
        <f>'Cap Outlay Deprec 26'!C12</f>
        <v>3541479</v>
      </c>
      <c r="D2011" s="2" t="str">
        <f t="shared" si="30"/>
        <v>Error?</v>
      </c>
    </row>
    <row r="2012" spans="1:4">
      <c r="A2012" s="5">
        <v>1951</v>
      </c>
      <c r="B2012" s="138">
        <f>'Cap Outlay Deprec 26'!C13</f>
        <v>2297091</v>
      </c>
      <c r="D2012" s="2" t="str">
        <f t="shared" si="30"/>
        <v>Error?</v>
      </c>
    </row>
    <row r="2013" spans="1:4">
      <c r="A2013" s="5">
        <v>1952</v>
      </c>
      <c r="B2013" s="138">
        <f>'Cap Outlay Deprec 26'!C16</f>
        <v>53707542</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11237711</v>
      </c>
      <c r="D2015" s="2" t="str">
        <f t="shared" si="30"/>
        <v>Error?</v>
      </c>
    </row>
    <row r="2016" spans="1:4">
      <c r="A2016" s="5">
        <v>1955</v>
      </c>
      <c r="B2016" s="138">
        <f>'Cap Outlay Deprec 26'!D10</f>
        <v>0</v>
      </c>
      <c r="D2016" s="2" t="str">
        <f t="shared" si="30"/>
        <v>Error?</v>
      </c>
    </row>
    <row r="2017" spans="1:4">
      <c r="A2017" s="5">
        <v>1956</v>
      </c>
      <c r="B2017" s="138">
        <f>'Cap Outlay Deprec 26'!D12</f>
        <v>70307</v>
      </c>
      <c r="D2017" s="2" t="str">
        <f t="shared" si="30"/>
        <v>Error?</v>
      </c>
    </row>
    <row r="2018" spans="1:4">
      <c r="A2018" s="5">
        <v>1957</v>
      </c>
      <c r="B2018" s="138">
        <f>'Cap Outlay Deprec 26'!D13</f>
        <v>0</v>
      </c>
      <c r="D2018" s="2" t="str">
        <f t="shared" si="30"/>
        <v>Error?</v>
      </c>
    </row>
    <row r="2019" spans="1:4">
      <c r="A2019" s="5">
        <v>1958</v>
      </c>
      <c r="B2019" s="138">
        <f>'Cap Outlay Deprec 26'!D16</f>
        <v>11308018</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1700544</v>
      </c>
      <c r="C2025" s="2" t="s">
        <v>594</v>
      </c>
      <c r="D2025" s="2" t="str">
        <f t="shared" si="30"/>
        <v>Error?</v>
      </c>
    </row>
    <row r="2026" spans="1:4">
      <c r="A2026" s="5">
        <v>1965</v>
      </c>
      <c r="B2026" s="138">
        <f>'Cap Outlay Deprec 26'!F5</f>
        <v>85616</v>
      </c>
      <c r="C2026" s="2" t="s">
        <v>594</v>
      </c>
      <c r="D2026" s="2" t="str">
        <f t="shared" si="30"/>
        <v>Error?</v>
      </c>
    </row>
    <row r="2027" spans="1:4">
      <c r="A2027" s="5">
        <v>1966</v>
      </c>
      <c r="B2027" s="138">
        <f>'Cap Outlay Deprec 26'!F8</f>
        <v>53001992</v>
      </c>
      <c r="C2027" s="2" t="s">
        <v>594</v>
      </c>
      <c r="D2027" s="2" t="str">
        <f t="shared" si="30"/>
        <v>Error?</v>
      </c>
    </row>
    <row r="2028" spans="1:4">
      <c r="A2028" s="5">
        <v>1967</v>
      </c>
      <c r="B2028" s="138">
        <f>'Cap Outlay Deprec 26'!F10</f>
        <v>1507638</v>
      </c>
      <c r="C2028" s="2" t="s">
        <v>594</v>
      </c>
      <c r="D2028" s="2" t="str">
        <f t="shared" si="30"/>
        <v>Error?</v>
      </c>
    </row>
    <row r="2029" spans="1:4">
      <c r="A2029" s="5">
        <v>1968</v>
      </c>
      <c r="B2029" s="138">
        <f>'Cap Outlay Deprec 26'!F12</f>
        <v>3611786</v>
      </c>
      <c r="C2029" s="2" t="s">
        <v>594</v>
      </c>
      <c r="D2029" s="2" t="str">
        <f t="shared" si="30"/>
        <v>Error?</v>
      </c>
    </row>
    <row r="2030" spans="1:4">
      <c r="A2030" s="5">
        <v>1969</v>
      </c>
      <c r="B2030" s="138">
        <f>'Cap Outlay Deprec 26'!F13</f>
        <v>2297091</v>
      </c>
      <c r="C2030" s="2" t="s">
        <v>594</v>
      </c>
      <c r="D2030" s="2" t="str">
        <f t="shared" si="30"/>
        <v>Error?</v>
      </c>
    </row>
    <row r="2031" spans="1:4">
      <c r="A2031" s="5">
        <v>1970</v>
      </c>
      <c r="B2031" s="138">
        <f>'Cap Outlay Deprec 26'!F16</f>
        <v>63315016</v>
      </c>
      <c r="C2031" s="2" t="s">
        <v>594</v>
      </c>
      <c r="D2031" s="2" t="str">
        <f t="shared" si="30"/>
        <v>Error?</v>
      </c>
    </row>
    <row r="2032" spans="1:4">
      <c r="A2032" s="10">
        <v>1971</v>
      </c>
      <c r="D2032" s="2" t="str">
        <f t="shared" si="30"/>
        <v>OK</v>
      </c>
    </row>
    <row r="2033" spans="1:4">
      <c r="A2033" s="5">
        <v>1972</v>
      </c>
      <c r="B2033" s="138">
        <f>'Cap Outlay Deprec 26'!H8</f>
        <v>13475531</v>
      </c>
      <c r="D2033" s="2" t="str">
        <f t="shared" si="30"/>
        <v>Error?</v>
      </c>
    </row>
    <row r="2034" spans="1:4">
      <c r="A2034" s="5">
        <v>1973</v>
      </c>
      <c r="B2034" s="138">
        <f>'Cap Outlay Deprec 26'!H10</f>
        <v>1325523</v>
      </c>
      <c r="D2034" s="2" t="str">
        <f t="shared" si="30"/>
        <v>Error?</v>
      </c>
    </row>
    <row r="2035" spans="1:4">
      <c r="A2035" s="5">
        <v>1974</v>
      </c>
      <c r="B2035" s="138">
        <f>'Cap Outlay Deprec 26'!H12</f>
        <v>3408830</v>
      </c>
      <c r="D2035" s="2" t="str">
        <f t="shared" si="30"/>
        <v>Error?</v>
      </c>
    </row>
    <row r="2036" spans="1:4">
      <c r="A2036" s="5">
        <v>1975</v>
      </c>
      <c r="B2036" s="138">
        <f>'Cap Outlay Deprec 26'!H13</f>
        <v>1902733</v>
      </c>
      <c r="D2036" s="2" t="str">
        <f t="shared" si="30"/>
        <v>Error?</v>
      </c>
    </row>
    <row r="2037" spans="1:4">
      <c r="A2037" s="5">
        <v>1976</v>
      </c>
      <c r="B2037" s="138">
        <f>'Cap Outlay Deprec 26'!H16</f>
        <v>22923510</v>
      </c>
      <c r="C2037" s="2" t="s">
        <v>594</v>
      </c>
      <c r="D2037" s="2" t="str">
        <f t="shared" si="30"/>
        <v>Error?</v>
      </c>
    </row>
    <row r="2038" spans="1:4">
      <c r="A2038" s="10">
        <v>1977</v>
      </c>
      <c r="D2038" s="2" t="str">
        <f t="shared" si="30"/>
        <v>OK</v>
      </c>
    </row>
    <row r="2039" spans="1:4">
      <c r="A2039" s="5">
        <v>1978</v>
      </c>
      <c r="B2039" s="138">
        <f>'Cap Outlay Deprec 26'!I8</f>
        <v>1014374</v>
      </c>
      <c r="D2039" s="2" t="str">
        <f t="shared" si="30"/>
        <v>Error?</v>
      </c>
    </row>
    <row r="2040" spans="1:4">
      <c r="A2040" s="5">
        <v>1979</v>
      </c>
      <c r="B2040" s="138">
        <f>'Cap Outlay Deprec 26'!I10</f>
        <v>29735</v>
      </c>
      <c r="D2040" s="2" t="str">
        <f t="shared" si="30"/>
        <v>Error?</v>
      </c>
    </row>
    <row r="2041" spans="1:4">
      <c r="A2041" s="5">
        <v>1980</v>
      </c>
      <c r="B2041" s="138">
        <f>'Cap Outlay Deprec 26'!I12</f>
        <v>51417</v>
      </c>
      <c r="D2041" s="2" t="str">
        <f t="shared" si="30"/>
        <v>Error?</v>
      </c>
    </row>
    <row r="2042" spans="1:4">
      <c r="A2042" s="5">
        <v>1981</v>
      </c>
      <c r="B2042" s="138">
        <f>'Cap Outlay Deprec 26'!I13</f>
        <v>152200</v>
      </c>
      <c r="D2042" s="2" t="str">
        <f t="shared" si="30"/>
        <v>Error?</v>
      </c>
    </row>
    <row r="2043" spans="1:4">
      <c r="A2043" s="5">
        <v>1982</v>
      </c>
      <c r="B2043" s="138">
        <f>'Cap Outlay Deprec 26'!I16</f>
        <v>1247726</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14489905</v>
      </c>
      <c r="C2051" s="2" t="s">
        <v>594</v>
      </c>
      <c r="D2051" s="2" t="str">
        <f t="shared" si="31"/>
        <v>Error?</v>
      </c>
    </row>
    <row r="2052" spans="1:4">
      <c r="A2052" s="5">
        <v>1991</v>
      </c>
      <c r="B2052" s="138">
        <f>'Cap Outlay Deprec 26'!K10</f>
        <v>1355258</v>
      </c>
      <c r="C2052" s="2" t="s">
        <v>594</v>
      </c>
      <c r="D2052" s="2" t="str">
        <f t="shared" si="31"/>
        <v>Error?</v>
      </c>
    </row>
    <row r="2053" spans="1:4">
      <c r="A2053" s="5">
        <v>1992</v>
      </c>
      <c r="B2053" s="138">
        <f>'Cap Outlay Deprec 26'!K12</f>
        <v>3460247</v>
      </c>
      <c r="C2053" s="2" t="s">
        <v>594</v>
      </c>
      <c r="D2053" s="2" t="str">
        <f t="shared" si="31"/>
        <v>Error?</v>
      </c>
    </row>
    <row r="2054" spans="1:4">
      <c r="A2054" s="5">
        <v>1993</v>
      </c>
      <c r="B2054" s="138">
        <f>'Cap Outlay Deprec 26'!K13</f>
        <v>2054933</v>
      </c>
      <c r="C2054" s="2" t="s">
        <v>594</v>
      </c>
      <c r="D2054" s="2" t="str">
        <f t="shared" si="31"/>
        <v>Error?</v>
      </c>
    </row>
    <row r="2055" spans="1:4">
      <c r="A2055" s="5">
        <v>1994</v>
      </c>
      <c r="B2055" s="138">
        <f>'Cap Outlay Deprec 26'!K16</f>
        <v>24171236</v>
      </c>
      <c r="C2055" s="2" t="s">
        <v>594</v>
      </c>
      <c r="D2055" s="2" t="str">
        <f t="shared" si="31"/>
        <v>Error?</v>
      </c>
    </row>
    <row r="2056" spans="1:4">
      <c r="A2056" s="5">
        <v>1995</v>
      </c>
      <c r="B2056" s="138">
        <f>'Cap Outlay Deprec 26'!L5</f>
        <v>85616</v>
      </c>
      <c r="C2056" s="2" t="s">
        <v>594</v>
      </c>
      <c r="D2056" s="2" t="str">
        <f t="shared" si="31"/>
        <v>Error?</v>
      </c>
    </row>
    <row r="2057" spans="1:4">
      <c r="A2057" s="5">
        <v>1996</v>
      </c>
      <c r="B2057" s="138">
        <f>'Cap Outlay Deprec 26'!L8</f>
        <v>38512087</v>
      </c>
      <c r="C2057" s="2" t="s">
        <v>594</v>
      </c>
      <c r="D2057" s="2" t="str">
        <f t="shared" si="31"/>
        <v>Error?</v>
      </c>
    </row>
    <row r="2058" spans="1:4">
      <c r="A2058" s="5">
        <v>1997</v>
      </c>
      <c r="B2058" s="138">
        <f>'Cap Outlay Deprec 26'!L10</f>
        <v>152380</v>
      </c>
      <c r="C2058" s="2" t="s">
        <v>594</v>
      </c>
      <c r="D2058" s="2" t="str">
        <f t="shared" si="31"/>
        <v>Error?</v>
      </c>
    </row>
    <row r="2059" spans="1:4">
      <c r="A2059" s="5">
        <v>1998</v>
      </c>
      <c r="B2059" s="138">
        <f>'Cap Outlay Deprec 26'!L12</f>
        <v>151539</v>
      </c>
      <c r="C2059" s="2" t="s">
        <v>594</v>
      </c>
      <c r="D2059" s="2" t="str">
        <f t="shared" si="31"/>
        <v>Error?</v>
      </c>
    </row>
    <row r="2060" spans="1:4">
      <c r="A2060" s="5">
        <v>1999</v>
      </c>
      <c r="B2060" s="138">
        <f>'Cap Outlay Deprec 26'!L13</f>
        <v>242158</v>
      </c>
      <c r="C2060" s="2" t="s">
        <v>594</v>
      </c>
      <c r="D2060" s="2" t="str">
        <f t="shared" si="31"/>
        <v>Error?</v>
      </c>
    </row>
    <row r="2061" spans="1:4">
      <c r="A2061" s="5">
        <v>2000</v>
      </c>
      <c r="B2061" s="138">
        <f>'Cap Outlay Deprec 26'!L16</f>
        <v>39143780</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209240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209240</v>
      </c>
      <c r="C2088" s="2" t="s">
        <v>594</v>
      </c>
      <c r="D2088" s="2" t="str">
        <f t="shared" si="31"/>
        <v>Error?</v>
      </c>
    </row>
    <row r="2089" spans="1:4">
      <c r="A2089" s="5">
        <v>2028</v>
      </c>
      <c r="B2089" s="138">
        <f>'Expenditures 15-22'!K92</f>
        <v>900214</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500000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109492</v>
      </c>
      <c r="D2435" s="2" t="str">
        <f t="shared" si="37"/>
        <v>Error?</v>
      </c>
    </row>
    <row r="2436" spans="1:4">
      <c r="A2436" s="10">
        <v>2375</v>
      </c>
      <c r="D2436" s="2" t="str">
        <f t="shared" si="37"/>
        <v>OK</v>
      </c>
    </row>
    <row r="2437" spans="1:4">
      <c r="A2437" s="5">
        <v>2376</v>
      </c>
      <c r="B2437" s="138">
        <f>'Assets-Liab 5-6'!D38</f>
        <v>137977</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1071308</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10212442</v>
      </c>
      <c r="C2551" s="2" t="s">
        <v>594</v>
      </c>
      <c r="D2551" s="2" t="str">
        <f t="shared" si="38"/>
        <v>Error?</v>
      </c>
    </row>
    <row r="2552" spans="1:4">
      <c r="A2552" s="10">
        <v>2491</v>
      </c>
      <c r="D2552" s="2" t="str">
        <f t="shared" si="38"/>
        <v>OK</v>
      </c>
    </row>
    <row r="2553" spans="1:4">
      <c r="A2553" s="5">
        <v>2492</v>
      </c>
      <c r="B2553" s="138">
        <f>'Acct Summary 7-8'!C6</f>
        <v>12361274</v>
      </c>
      <c r="C2553" s="2" t="s">
        <v>594</v>
      </c>
      <c r="D2553" s="2" t="str">
        <f t="shared" si="38"/>
        <v>Error?</v>
      </c>
    </row>
    <row r="2554" spans="1:4">
      <c r="A2554" s="5">
        <v>2493</v>
      </c>
      <c r="B2554" s="138">
        <f>'Acct Summary 7-8'!C7</f>
        <v>3686451</v>
      </c>
      <c r="C2554" s="2" t="s">
        <v>594</v>
      </c>
      <c r="D2554" s="2" t="str">
        <f t="shared" si="38"/>
        <v>Error?</v>
      </c>
    </row>
    <row r="2555" spans="1:4">
      <c r="A2555" s="5">
        <v>2494</v>
      </c>
      <c r="B2555" s="138">
        <f>'Acct Summary 7-8'!C8</f>
        <v>26260167</v>
      </c>
      <c r="C2555" s="2" t="s">
        <v>594</v>
      </c>
      <c r="D2555" s="2" t="str">
        <f t="shared" si="38"/>
        <v>Error?</v>
      </c>
    </row>
    <row r="2556" spans="1:4">
      <c r="A2556" s="5">
        <v>2495</v>
      </c>
      <c r="B2556" s="138">
        <f>'Acct Summary 7-8'!C12</f>
        <v>15150169</v>
      </c>
      <c r="C2556" s="2" t="s">
        <v>594</v>
      </c>
      <c r="D2556" s="2" t="str">
        <f t="shared" si="38"/>
        <v>Error?</v>
      </c>
    </row>
    <row r="2557" spans="1:4">
      <c r="A2557" s="5">
        <v>2496</v>
      </c>
      <c r="B2557" s="138">
        <f>'Acct Summary 7-8'!C13</f>
        <v>7898012</v>
      </c>
      <c r="C2557" s="2" t="s">
        <v>594</v>
      </c>
      <c r="D2557" s="2" t="str">
        <f t="shared" si="38"/>
        <v>Error?</v>
      </c>
    </row>
    <row r="2558" spans="1:4">
      <c r="A2558" s="5">
        <v>2497</v>
      </c>
      <c r="B2558" s="138">
        <f>'Acct Summary 7-8'!C14</f>
        <v>56103</v>
      </c>
      <c r="C2558" s="2" t="s">
        <v>594</v>
      </c>
      <c r="D2558" s="2" t="str">
        <f t="shared" si="38"/>
        <v>Error?</v>
      </c>
    </row>
    <row r="2559" spans="1:4">
      <c r="A2559" s="5">
        <v>2498</v>
      </c>
      <c r="B2559" s="138">
        <f>'Acct Summary 7-8'!C15</f>
        <v>1109454</v>
      </c>
      <c r="C2559" s="2" t="s">
        <v>594</v>
      </c>
      <c r="D2559" s="2" t="str">
        <f t="shared" ref="D2559:D2622" si="39">IF(ISBLANK(B2559),"OK",IF(A2559-B2559=0,"OK","Error?"))</f>
        <v>Error?</v>
      </c>
    </row>
    <row r="2560" spans="1:4">
      <c r="A2560" s="5">
        <v>2499</v>
      </c>
      <c r="B2560" s="138">
        <f>'Acct Summary 7-8'!C16</f>
        <v>5733</v>
      </c>
      <c r="C2560" s="2" t="s">
        <v>594</v>
      </c>
      <c r="D2560" s="2" t="str">
        <f t="shared" si="39"/>
        <v>Error?</v>
      </c>
    </row>
    <row r="2561" spans="1:4">
      <c r="A2561" s="5">
        <v>2500</v>
      </c>
      <c r="B2561" s="138">
        <f>'Acct Summary 7-8'!C17</f>
        <v>24219471</v>
      </c>
      <c r="C2561" s="2" t="s">
        <v>594</v>
      </c>
      <c r="D2561" s="2" t="str">
        <f t="shared" si="39"/>
        <v>Error?</v>
      </c>
    </row>
    <row r="2562" spans="1:4">
      <c r="A2562" s="5">
        <v>2501</v>
      </c>
      <c r="B2562" s="138">
        <f>'Acct Summary 7-8'!C20</f>
        <v>2040696</v>
      </c>
      <c r="C2562" s="2" t="s">
        <v>594</v>
      </c>
      <c r="D2562" s="2" t="str">
        <f t="shared" si="39"/>
        <v>Error?</v>
      </c>
    </row>
    <row r="2563" spans="1:4">
      <c r="A2563" s="5">
        <v>2502</v>
      </c>
      <c r="B2563" s="138">
        <f>'Acct Summary 7-8'!C80</f>
        <v>0</v>
      </c>
      <c r="D2563" s="2" t="str">
        <f t="shared" si="39"/>
        <v>Error?</v>
      </c>
    </row>
    <row r="2564" spans="1:4">
      <c r="A2564" s="5">
        <v>2503</v>
      </c>
      <c r="B2564" s="138">
        <f>'Acct Summary 7-8'!D4</f>
        <v>1822787</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1822787</v>
      </c>
      <c r="C2568" s="2" t="s">
        <v>594</v>
      </c>
      <c r="D2568" s="2" t="str">
        <f t="shared" si="39"/>
        <v>Error?</v>
      </c>
    </row>
    <row r="2569" spans="1:4">
      <c r="A2569" s="5">
        <v>2508</v>
      </c>
      <c r="B2569" s="138">
        <f>'Acct Summary 7-8'!D13</f>
        <v>2139207</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2139207</v>
      </c>
      <c r="C2573" s="2" t="s">
        <v>594</v>
      </c>
      <c r="D2573" s="2" t="str">
        <f t="shared" si="39"/>
        <v>Error?</v>
      </c>
    </row>
    <row r="2574" spans="1:4">
      <c r="A2574" s="5">
        <v>2513</v>
      </c>
      <c r="B2574" s="138">
        <f>'Acct Summary 7-8'!D20</f>
        <v>-316420</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668515</v>
      </c>
      <c r="C2591" s="2" t="s">
        <v>594</v>
      </c>
      <c r="D2591" s="2" t="str">
        <f t="shared" si="39"/>
        <v>Error?</v>
      </c>
    </row>
    <row r="2592" spans="1:4">
      <c r="A2592" s="10">
        <v>2531</v>
      </c>
      <c r="D2592" s="2" t="str">
        <f t="shared" si="39"/>
        <v>OK</v>
      </c>
    </row>
    <row r="2593" spans="1:4">
      <c r="A2593" s="5">
        <v>2532</v>
      </c>
      <c r="B2593" s="138">
        <f>'Acct Summary 7-8'!F6</f>
        <v>885002</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1553517</v>
      </c>
      <c r="C2595" s="2" t="s">
        <v>594</v>
      </c>
      <c r="D2595" s="2" t="str">
        <f t="shared" si="39"/>
        <v>Error?</v>
      </c>
    </row>
    <row r="2596" spans="1:4">
      <c r="A2596" s="5">
        <v>2535</v>
      </c>
      <c r="B2596" s="138">
        <f>'Acct Summary 7-8'!F13</f>
        <v>1501348</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1501348</v>
      </c>
      <c r="C2600" s="2" t="s">
        <v>594</v>
      </c>
      <c r="D2600" s="2" t="str">
        <f t="shared" si="39"/>
        <v>Error?</v>
      </c>
    </row>
    <row r="2601" spans="1:4">
      <c r="A2601" s="5">
        <v>2540</v>
      </c>
      <c r="B2601" s="138">
        <f>'Acct Summary 7-8'!F20</f>
        <v>52169</v>
      </c>
      <c r="C2601" s="2" t="s">
        <v>594</v>
      </c>
      <c r="D2601" s="2" t="str">
        <f t="shared" si="39"/>
        <v>Error?</v>
      </c>
    </row>
    <row r="2602" spans="1:4">
      <c r="A2602" s="5">
        <v>2541</v>
      </c>
      <c r="B2602" s="138">
        <f>'Acct Summary 7-8'!F80</f>
        <v>0</v>
      </c>
      <c r="D2602" s="2" t="str">
        <f t="shared" si="39"/>
        <v>Error?</v>
      </c>
    </row>
    <row r="2603" spans="1:4">
      <c r="A2603" s="5">
        <v>2542</v>
      </c>
      <c r="B2603" s="138">
        <f>'Acct Summary 7-8'!G4</f>
        <v>1308623</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1308623</v>
      </c>
      <c r="C2606" s="2" t="s">
        <v>594</v>
      </c>
      <c r="D2606" s="2" t="str">
        <f t="shared" si="39"/>
        <v>Error?</v>
      </c>
    </row>
    <row r="2607" spans="1:4">
      <c r="A2607" s="5">
        <v>2546</v>
      </c>
      <c r="B2607" s="138">
        <f>'Acct Summary 7-8'!G12</f>
        <v>377554</v>
      </c>
      <c r="C2607" s="2" t="s">
        <v>594</v>
      </c>
      <c r="D2607" s="2" t="str">
        <f t="shared" si="39"/>
        <v>Error?</v>
      </c>
    </row>
    <row r="2608" spans="1:4">
      <c r="A2608" s="5">
        <v>2547</v>
      </c>
      <c r="B2608" s="138">
        <f>'Acct Summary 7-8'!G13</f>
        <v>890432</v>
      </c>
      <c r="C2608" s="2" t="s">
        <v>594</v>
      </c>
      <c r="D2608" s="2" t="str">
        <f t="shared" si="39"/>
        <v>Error?</v>
      </c>
    </row>
    <row r="2609" spans="1:4">
      <c r="A2609" s="5">
        <v>2548</v>
      </c>
      <c r="B2609" s="138">
        <f>'Acct Summary 7-8'!G14</f>
        <v>3766</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1271752</v>
      </c>
      <c r="C2612" s="2" t="s">
        <v>594</v>
      </c>
      <c r="D2612" s="2" t="str">
        <f t="shared" si="39"/>
        <v>Error?</v>
      </c>
    </row>
    <row r="2613" spans="1:4">
      <c r="A2613" s="5">
        <v>2552</v>
      </c>
      <c r="B2613" s="138">
        <f>'Acct Summary 7-8'!G20</f>
        <v>36871</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3552096</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3552096</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2858100</v>
      </c>
      <c r="C2634" s="2" t="s">
        <v>594</v>
      </c>
      <c r="D2634" s="2" t="str">
        <f t="shared" si="40"/>
        <v>Error?</v>
      </c>
    </row>
    <row r="2635" spans="1:4">
      <c r="A2635" s="5">
        <v>2574</v>
      </c>
      <c r="B2635" s="138">
        <f>'Acct Summary 7-8'!E17</f>
        <v>2858100</v>
      </c>
      <c r="C2635" s="2" t="s">
        <v>594</v>
      </c>
      <c r="D2635" s="2" t="str">
        <f t="shared" si="40"/>
        <v>Error?</v>
      </c>
    </row>
    <row r="2636" spans="1:4">
      <c r="A2636" s="5">
        <v>2575</v>
      </c>
      <c r="B2636" s="138">
        <f>'Acct Summary 7-8'!E20</f>
        <v>693996</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342883</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342883</v>
      </c>
      <c r="C2658" s="2" t="s">
        <v>594</v>
      </c>
      <c r="D2658" s="2" t="str">
        <f t="shared" si="40"/>
        <v>Error?</v>
      </c>
    </row>
    <row r="2659" spans="1:4">
      <c r="A2659" s="5">
        <v>2598</v>
      </c>
      <c r="B2659" s="138">
        <f>'Acct Summary 7-8'!H13</f>
        <v>9708977</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9708977</v>
      </c>
      <c r="C2661" s="2" t="s">
        <v>594</v>
      </c>
      <c r="D2661" s="2" t="str">
        <f t="shared" si="40"/>
        <v>Error?</v>
      </c>
    </row>
    <row r="2662" spans="1:4">
      <c r="A2662" s="5">
        <v>2601</v>
      </c>
      <c r="B2662" s="138">
        <f>'Acct Summary 7-8'!H20</f>
        <v>-9366094</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211178</v>
      </c>
      <c r="D2718" s="2" t="str">
        <f t="shared" si="41"/>
        <v>Error?</v>
      </c>
    </row>
    <row r="2719" spans="1:4">
      <c r="A2719" s="5">
        <v>2658</v>
      </c>
      <c r="B2719" s="138">
        <f>'Expenditures 15-22'!D51</f>
        <v>28896</v>
      </c>
      <c r="D2719" s="2" t="str">
        <f t="shared" si="41"/>
        <v>Error?</v>
      </c>
    </row>
    <row r="2720" spans="1:4">
      <c r="A2720" s="5">
        <v>2659</v>
      </c>
      <c r="B2720" s="138">
        <f>'Expenditures 15-22'!E51</f>
        <v>465</v>
      </c>
      <c r="D2720" s="2" t="str">
        <f t="shared" si="41"/>
        <v>Error?</v>
      </c>
    </row>
    <row r="2721" spans="1:4">
      <c r="A2721" s="5">
        <v>2660</v>
      </c>
      <c r="B2721" s="138">
        <f>'Expenditures 15-22'!F51</f>
        <v>629</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241168</v>
      </c>
      <c r="C2724" s="2" t="s">
        <v>594</v>
      </c>
      <c r="D2724" s="2" t="str">
        <f t="shared" si="41"/>
        <v>Error?</v>
      </c>
    </row>
    <row r="2725" spans="1:4">
      <c r="A2725" s="5">
        <v>2664</v>
      </c>
      <c r="B2725" s="138">
        <f>'Expenditures 15-22'!D247</f>
        <v>19887</v>
      </c>
      <c r="D2725" s="2" t="str">
        <f t="shared" si="41"/>
        <v>Error?</v>
      </c>
    </row>
    <row r="2726" spans="1:4">
      <c r="A2726" s="5">
        <v>2665</v>
      </c>
      <c r="B2726" s="138">
        <f>'Expenditures 15-22'!K247</f>
        <v>19887</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4710540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4938972</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162028</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4938972</v>
      </c>
      <c r="D2912" s="2" t="str">
        <f t="shared" si="44"/>
        <v>Error?</v>
      </c>
    </row>
    <row r="2913" spans="1:4">
      <c r="A2913" s="5">
        <v>2852</v>
      </c>
      <c r="B2913" s="138">
        <f>'Assets-Liab 5-6'!I41</f>
        <v>4938972</v>
      </c>
      <c r="C2913" s="2" t="s">
        <v>594</v>
      </c>
      <c r="D2913" s="2" t="str">
        <f t="shared" si="44"/>
        <v>Error?</v>
      </c>
    </row>
    <row r="2914" spans="1:4">
      <c r="A2914" s="5">
        <v>2853</v>
      </c>
      <c r="B2914" s="138">
        <f>'Assets-Liab 5-6'!L33</f>
        <v>162028</v>
      </c>
      <c r="D2914" s="2" t="str">
        <f t="shared" si="44"/>
        <v>Error?</v>
      </c>
    </row>
    <row r="2915" spans="1:4">
      <c r="A2915" s="10">
        <v>2854</v>
      </c>
      <c r="D2915" s="2" t="str">
        <f t="shared" si="44"/>
        <v>OK</v>
      </c>
    </row>
    <row r="2916" spans="1:4">
      <c r="A2916" s="5">
        <v>2855</v>
      </c>
      <c r="B2916" s="138">
        <f>'Assets-Liab 5-6'!L34</f>
        <v>162028</v>
      </c>
      <c r="C2916" s="2" t="s">
        <v>594</v>
      </c>
      <c r="D2916" s="2" t="str">
        <f t="shared" si="44"/>
        <v>Error?</v>
      </c>
    </row>
    <row r="2917" spans="1:4">
      <c r="A2917" s="5">
        <v>2856</v>
      </c>
      <c r="B2917" s="138">
        <f>'Assets-Liab 5-6'!L41</f>
        <v>162028</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11680</v>
      </c>
      <c r="D2955" s="2" t="str">
        <f t="shared" si="45"/>
        <v>Error?</v>
      </c>
    </row>
    <row r="2956" spans="1:4">
      <c r="A2956" s="5">
        <v>2895</v>
      </c>
      <c r="B2956" s="138">
        <f>'Expenditures 15-22'!H79</f>
        <v>197560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11680</v>
      </c>
      <c r="C2973" s="2" t="s">
        <v>594</v>
      </c>
      <c r="D2973" s="2" t="str">
        <f t="shared" si="45"/>
        <v>Error?</v>
      </c>
    </row>
    <row r="2974" spans="1:4">
      <c r="A2974" s="5">
        <v>2913</v>
      </c>
      <c r="B2974" s="138">
        <f>'Expenditures 15-22'!K79</f>
        <v>197560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423519</v>
      </c>
      <c r="D3055" s="2" t="str">
        <f t="shared" si="46"/>
        <v>Error?</v>
      </c>
    </row>
    <row r="3056" spans="1:4">
      <c r="A3056" s="5">
        <v>2995</v>
      </c>
      <c r="B3056" s="138">
        <f>'Expenditures 15-22'!D10</f>
        <v>86358</v>
      </c>
      <c r="D3056" s="2" t="str">
        <f t="shared" si="46"/>
        <v>Error?</v>
      </c>
    </row>
    <row r="3057" spans="1:4">
      <c r="A3057" s="5">
        <v>2996</v>
      </c>
      <c r="B3057" s="138">
        <f>'Expenditures 15-22'!E10</f>
        <v>48050</v>
      </c>
      <c r="D3057" s="2" t="str">
        <f t="shared" si="46"/>
        <v>Error?</v>
      </c>
    </row>
    <row r="3058" spans="1:4">
      <c r="A3058" s="5">
        <v>2997</v>
      </c>
      <c r="B3058" s="138">
        <f>'Expenditures 15-22'!F10</f>
        <v>294710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852637</v>
      </c>
      <c r="C3062" s="2" t="s">
        <v>594</v>
      </c>
      <c r="D3062" s="2" t="str">
        <f t="shared" si="46"/>
        <v>Error?</v>
      </c>
    </row>
    <row r="3063" spans="1:4">
      <c r="A3063" s="10">
        <v>3002</v>
      </c>
      <c r="D3063" s="2" t="str">
        <f t="shared" si="46"/>
        <v>OK</v>
      </c>
    </row>
    <row r="3064" spans="1:4">
      <c r="A3064" s="5">
        <v>3003</v>
      </c>
      <c r="B3064" s="138">
        <f>'Expenditures 15-22'!D219</f>
        <v>52934</v>
      </c>
      <c r="D3064" s="2" t="str">
        <f t="shared" si="46"/>
        <v>Error?</v>
      </c>
    </row>
    <row r="3065" spans="1:4">
      <c r="A3065" s="5">
        <v>3004</v>
      </c>
      <c r="B3065" s="138">
        <f>'Expenditures 15-22'!K219</f>
        <v>52934</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212230</v>
      </c>
      <c r="C3225" s="2" t="s">
        <v>594</v>
      </c>
      <c r="D3225" s="2" t="str">
        <f t="shared" si="49"/>
        <v>Error?</v>
      </c>
    </row>
    <row r="3226" spans="1:4">
      <c r="A3226" s="5">
        <v>3165</v>
      </c>
      <c r="B3226" s="138">
        <f>'Acct Summary 7-8'!I8</f>
        <v>212230</v>
      </c>
      <c r="C3226" s="2" t="s">
        <v>594</v>
      </c>
      <c r="D3226" s="2" t="str">
        <f t="shared" si="49"/>
        <v>Error?</v>
      </c>
    </row>
    <row r="3227" spans="1:4">
      <c r="A3227" s="5">
        <v>3166</v>
      </c>
      <c r="B3227" s="138">
        <f>'Acct Summary 7-8'!I20</f>
        <v>212230</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2040696</v>
      </c>
      <c r="C3233" s="2" t="s">
        <v>594</v>
      </c>
      <c r="D3233" s="2" t="str">
        <f t="shared" si="49"/>
        <v>Error?</v>
      </c>
    </row>
    <row r="3234" spans="1:4">
      <c r="A3234" s="5">
        <v>3173</v>
      </c>
      <c r="B3234" s="138">
        <f>'Acct Summary 7-8'!D43</f>
        <v>0</v>
      </c>
      <c r="D3234" s="2" t="str">
        <f t="shared" si="49"/>
        <v>Error?</v>
      </c>
    </row>
    <row r="3235" spans="1:4">
      <c r="A3235" s="5">
        <v>3174</v>
      </c>
      <c r="B3235" s="138">
        <f>'Acct Summary 7-8'!D44</f>
        <v>500000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500000</v>
      </c>
      <c r="C3238" s="2" t="s">
        <v>594</v>
      </c>
      <c r="D3238" s="2" t="str">
        <f t="shared" si="49"/>
        <v>Error?</v>
      </c>
    </row>
    <row r="3239" spans="1:4">
      <c r="A3239" s="5">
        <v>3178</v>
      </c>
      <c r="B3239" s="138">
        <f>'Acct Summary 7-8'!D78</f>
        <v>183580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0</v>
      </c>
      <c r="C3255" s="2" t="s">
        <v>594</v>
      </c>
      <c r="D3255" s="2" t="str">
        <f t="shared" si="49"/>
        <v>Error?</v>
      </c>
    </row>
    <row r="3256" spans="1:4">
      <c r="A3256" s="5">
        <v>3195</v>
      </c>
      <c r="B3256" s="138">
        <f>'Acct Summary 7-8'!F78</f>
        <v>52169</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36871</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693996</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-9366094</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500000</v>
      </c>
      <c r="C3318" s="2" t="s">
        <v>594</v>
      </c>
      <c r="D3318" s="2" t="str">
        <f t="shared" si="50"/>
        <v>Error?</v>
      </c>
    </row>
    <row r="3319" spans="1:4">
      <c r="A3319" s="5">
        <v>3258</v>
      </c>
      <c r="B3319" s="138">
        <f>'Acct Summary 7-8'!I77</f>
        <v>-500000</v>
      </c>
      <c r="C3319" s="2" t="s">
        <v>594</v>
      </c>
      <c r="D3319" s="2" t="str">
        <f t="shared" si="50"/>
        <v>Error?</v>
      </c>
    </row>
    <row r="3320" spans="1:4">
      <c r="A3320" s="5">
        <v>3259</v>
      </c>
      <c r="B3320" s="138">
        <f>'Acct Summary 7-8'!I78</f>
        <v>-287770</v>
      </c>
      <c r="C3320" s="2" t="s">
        <v>594</v>
      </c>
      <c r="D3320" s="2" t="str">
        <f t="shared" si="50"/>
        <v>Error?</v>
      </c>
    </row>
    <row r="3321" spans="1:4">
      <c r="A3321" s="5">
        <v>3260</v>
      </c>
      <c r="B3321" s="138">
        <f>'Acct Summary 7-8'!I79</f>
        <v>5226742</v>
      </c>
      <c r="D3321" s="2" t="str">
        <f t="shared" si="50"/>
        <v>Error?</v>
      </c>
    </row>
    <row r="3322" spans="1:4">
      <c r="A3322" s="5">
        <v>3261</v>
      </c>
      <c r="B3322" s="138">
        <f>'Acct Summary 7-8'!I80</f>
        <v>0</v>
      </c>
      <c r="D3322" s="2" t="str">
        <f t="shared" si="50"/>
        <v>Error?</v>
      </c>
    </row>
    <row r="3323" spans="1:4">
      <c r="A3323" s="5">
        <v>3262</v>
      </c>
      <c r="B3323" s="138">
        <f>'Acct Summary 7-8'!I81</f>
        <v>4938972</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2678604</v>
      </c>
      <c r="D3366" s="2" t="str">
        <f t="shared" si="51"/>
        <v>Error?</v>
      </c>
    </row>
    <row r="3367" spans="1:4">
      <c r="A3367" s="5">
        <v>3306</v>
      </c>
      <c r="B3367" s="138">
        <f>'Expenditures 15-22'!C19</f>
        <v>0</v>
      </c>
      <c r="D3367" s="2" t="str">
        <f t="shared" si="51"/>
        <v>Error?</v>
      </c>
    </row>
    <row r="3368" spans="1:4">
      <c r="A3368" s="5">
        <v>3307</v>
      </c>
      <c r="B3368" s="138">
        <f>'Expenditures 15-22'!D8</f>
        <v>309479</v>
      </c>
      <c r="D3368" s="2" t="str">
        <f t="shared" si="51"/>
        <v>Error?</v>
      </c>
    </row>
    <row r="3369" spans="1:4">
      <c r="A3369" s="5">
        <v>3308</v>
      </c>
      <c r="B3369" s="138">
        <f>'Expenditures 15-22'!D19</f>
        <v>0</v>
      </c>
      <c r="D3369" s="2" t="str">
        <f t="shared" si="51"/>
        <v>Error?</v>
      </c>
    </row>
    <row r="3370" spans="1:4">
      <c r="A3370" s="5">
        <v>3309</v>
      </c>
      <c r="B3370" s="138">
        <f>'Expenditures 15-22'!E8</f>
        <v>15316</v>
      </c>
      <c r="D3370" s="2" t="str">
        <f t="shared" si="51"/>
        <v>Error?</v>
      </c>
    </row>
    <row r="3371" spans="1:4">
      <c r="A3371" s="5">
        <v>3310</v>
      </c>
      <c r="B3371" s="138">
        <f>'Expenditures 15-22'!E19</f>
        <v>0</v>
      </c>
      <c r="D3371" s="2" t="str">
        <f t="shared" si="51"/>
        <v>Error?</v>
      </c>
    </row>
    <row r="3372" spans="1:4">
      <c r="A3372" s="5">
        <v>3311</v>
      </c>
      <c r="B3372" s="138">
        <f>'Expenditures 15-22'!F8</f>
        <v>16432</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3019831</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153197</v>
      </c>
      <c r="D3387" s="2" t="str">
        <f t="shared" si="51"/>
        <v>Error?</v>
      </c>
    </row>
    <row r="3388" spans="1:4">
      <c r="A3388" s="5">
        <v>3327</v>
      </c>
      <c r="B3388" s="138">
        <f>'Expenditures 15-22'!D217</f>
        <v>132462</v>
      </c>
      <c r="D3388" s="2" t="str">
        <f t="shared" si="51"/>
        <v>Error?</v>
      </c>
    </row>
    <row r="3389" spans="1:4">
      <c r="A3389" s="5">
        <v>3328</v>
      </c>
      <c r="B3389" s="138">
        <f>'Expenditures 15-22'!D228</f>
        <v>0</v>
      </c>
      <c r="D3389" s="2" t="str">
        <f t="shared" si="51"/>
        <v>Error?</v>
      </c>
    </row>
    <row r="3390" spans="1:4">
      <c r="A3390" s="5">
        <v>3329</v>
      </c>
      <c r="B3390" s="138">
        <f>'Expenditures 15-22'!K215</f>
        <v>153197</v>
      </c>
      <c r="C3390" s="2" t="s">
        <v>594</v>
      </c>
      <c r="D3390" s="2" t="str">
        <f t="shared" si="51"/>
        <v>Error?</v>
      </c>
    </row>
    <row r="3391" spans="1:4">
      <c r="A3391" s="5">
        <v>3330</v>
      </c>
      <c r="B3391" s="138">
        <f>'Expenditures 15-22'!K217</f>
        <v>132462</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229</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133331</v>
      </c>
      <c r="D3417" s="2" t="str">
        <f t="shared" si="52"/>
        <v>Error?</v>
      </c>
    </row>
    <row r="3418" spans="1:4">
      <c r="A3418" s="10">
        <v>3357</v>
      </c>
      <c r="D3418" s="2" t="str">
        <f t="shared" si="52"/>
        <v>OK</v>
      </c>
    </row>
    <row r="3419" spans="1:4">
      <c r="A3419" s="5">
        <v>3358</v>
      </c>
      <c r="B3419" s="138">
        <f>'Assets-Liab 5-6'!F4</f>
        <v>0</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162028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477581</v>
      </c>
      <c r="C3446" s="2" t="s">
        <v>594</v>
      </c>
      <c r="D3446" s="2" t="str">
        <f t="shared" si="52"/>
        <v>Error?</v>
      </c>
    </row>
    <row r="3447" spans="1:4">
      <c r="A3447" s="5">
        <v>3386</v>
      </c>
      <c r="B3447" s="138">
        <f>'Tax Sched 23'!D16</f>
        <v>272062</v>
      </c>
      <c r="C3447" s="2" t="s">
        <v>594</v>
      </c>
      <c r="D3447" s="2" t="str">
        <f t="shared" si="52"/>
        <v>Error?</v>
      </c>
    </row>
    <row r="3448" spans="1:4">
      <c r="A3448" s="5">
        <v>3387</v>
      </c>
      <c r="B3448" s="138">
        <f>'Tax Sched 23'!C16</f>
        <v>205519</v>
      </c>
      <c r="D3448" s="2" t="str">
        <f t="shared" si="52"/>
        <v>Error?</v>
      </c>
    </row>
    <row r="3449" spans="1:4">
      <c r="A3449" s="5">
        <v>3388</v>
      </c>
      <c r="B3449" s="138">
        <f>'Tax Sched 23'!F16</f>
        <v>444729</v>
      </c>
      <c r="C3449" s="2" t="s">
        <v>594</v>
      </c>
      <c r="D3449" s="2" t="str">
        <f t="shared" si="52"/>
        <v>Error?</v>
      </c>
    </row>
    <row r="3450" spans="1:4">
      <c r="A3450" s="5">
        <v>3389</v>
      </c>
      <c r="B3450" s="138">
        <f>'Tax Sched 23'!E16</f>
        <v>650248</v>
      </c>
      <c r="D3450" s="2" t="str">
        <f t="shared" si="52"/>
        <v>Error?</v>
      </c>
    </row>
    <row r="3451" spans="1:4">
      <c r="A3451" s="5">
        <v>3390</v>
      </c>
      <c r="B3451" s="138">
        <f>'Cap Outlay Deprec 26'!C15</f>
        <v>1700544</v>
      </c>
      <c r="D3451" s="2" t="str">
        <f t="shared" si="52"/>
        <v>Error?</v>
      </c>
    </row>
    <row r="3452" spans="1:4">
      <c r="A3452" s="5">
        <v>3391</v>
      </c>
      <c r="B3452" s="138">
        <f>'Cap Outlay Deprec 26'!D15</f>
        <v>0</v>
      </c>
      <c r="D3452" s="2" t="str">
        <f t="shared" si="52"/>
        <v>Error?</v>
      </c>
    </row>
    <row r="3453" spans="1:4">
      <c r="A3453" s="5">
        <v>3392</v>
      </c>
      <c r="B3453" s="138">
        <f>'Cap Outlay Deprec 26'!E15</f>
        <v>1700544</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118120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168160</v>
      </c>
      <c r="D3550" s="2" t="str">
        <f t="shared" si="54"/>
        <v>Error?</v>
      </c>
    </row>
    <row r="3551" spans="1:4">
      <c r="A3551" s="5">
        <v>3490</v>
      </c>
      <c r="B3551" s="138">
        <f>'Assets-Liab 5-6'!K12</f>
        <v>0</v>
      </c>
      <c r="D3551" s="2" t="str">
        <f t="shared" si="54"/>
        <v>Error?</v>
      </c>
    </row>
    <row r="3552" spans="1:4">
      <c r="A3552" s="5">
        <v>3491</v>
      </c>
      <c r="B3552" s="138">
        <f>'Assets-Liab 5-6'!K13</f>
        <v>286280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286280</v>
      </c>
      <c r="D3567" s="2" t="str">
        <f t="shared" si="54"/>
        <v>Error?</v>
      </c>
    </row>
    <row r="3568" spans="1:4">
      <c r="A3568" s="5">
        <v>3507</v>
      </c>
      <c r="B3568" s="138">
        <f>'Assets-Liab 5-6'!K41</f>
        <v>286280</v>
      </c>
      <c r="C3568" s="2" t="s">
        <v>594</v>
      </c>
      <c r="D3568" s="2" t="str">
        <f t="shared" si="54"/>
        <v>Error?</v>
      </c>
    </row>
    <row r="3569" spans="1:4">
      <c r="A3569" s="5">
        <v>3508</v>
      </c>
      <c r="B3569" s="138">
        <f>'Acct Summary 7-8'!K4</f>
        <v>2471</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2471</v>
      </c>
      <c r="C3571" s="2" t="s">
        <v>594</v>
      </c>
      <c r="D3571" s="2" t="str">
        <f t="shared" si="54"/>
        <v>Error?</v>
      </c>
    </row>
    <row r="3572" spans="1:4">
      <c r="A3572" s="5">
        <v>3511</v>
      </c>
      <c r="B3572" s="138">
        <f>'Acct Summary 7-8'!K13</f>
        <v>20244</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20244</v>
      </c>
      <c r="C3575" s="2" t="s">
        <v>594</v>
      </c>
      <c r="D3575" s="2" t="str">
        <f t="shared" si="54"/>
        <v>Error?</v>
      </c>
    </row>
    <row r="3576" spans="1:4">
      <c r="A3576" s="5">
        <v>3515</v>
      </c>
      <c r="B3576" s="138">
        <f>'Acct Summary 7-8'!K20</f>
        <v>-17773</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-17773</v>
      </c>
      <c r="C3588" s="2" t="s">
        <v>594</v>
      </c>
      <c r="D3588" s="2" t="str">
        <f t="shared" si="55"/>
        <v>Error?</v>
      </c>
    </row>
    <row r="3589" spans="1:4">
      <c r="A3589" s="5">
        <v>3528</v>
      </c>
      <c r="B3589" s="138">
        <f>'Acct Summary 7-8'!K79</f>
        <v>304053</v>
      </c>
      <c r="D3589" s="2" t="str">
        <f t="shared" si="55"/>
        <v>Error?</v>
      </c>
    </row>
    <row r="3590" spans="1:4">
      <c r="A3590" s="5">
        <v>3529</v>
      </c>
      <c r="B3590" s="138">
        <f>'Acct Summary 7-8'!K80</f>
        <v>0</v>
      </c>
      <c r="D3590" s="2" t="str">
        <f t="shared" si="55"/>
        <v>Error?</v>
      </c>
    </row>
    <row r="3591" spans="1:4">
      <c r="A3591" s="5">
        <v>3530</v>
      </c>
      <c r="B3591" s="138">
        <f>'Acct Summary 7-8'!K81</f>
        <v>286280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20244</v>
      </c>
      <c r="D3632" s="2" t="str">
        <f t="shared" si="55"/>
        <v>Error?</v>
      </c>
    </row>
    <row r="3633" spans="1:4">
      <c r="A3633" s="5">
        <v>3572</v>
      </c>
      <c r="B3633" s="138">
        <f>'Expenditures 15-22'!E350</f>
        <v>20244</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20244</v>
      </c>
      <c r="C3635" s="2" t="s">
        <v>594</v>
      </c>
      <c r="D3635" s="2" t="str">
        <f t="shared" si="55"/>
        <v>Error?</v>
      </c>
    </row>
    <row r="3636" spans="1:4">
      <c r="A3636" s="5">
        <v>3575</v>
      </c>
      <c r="B3636" s="138">
        <f>'Expenditures 15-22'!E367</f>
        <v>20244</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20244</v>
      </c>
      <c r="C3669" s="2" t="s">
        <v>594</v>
      </c>
      <c r="D3669" s="2" t="str">
        <f t="shared" si="56"/>
        <v>Error?</v>
      </c>
    </row>
    <row r="3670" spans="1:4">
      <c r="A3670" s="5">
        <v>3609</v>
      </c>
      <c r="B3670" s="138">
        <f>'Expenditures 15-22'!K350</f>
        <v>20244</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20244</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20244</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-17773</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169271</v>
      </c>
      <c r="C3725" s="2" t="s">
        <v>594</v>
      </c>
      <c r="D3725" s="2" t="str">
        <f t="shared" si="57"/>
        <v>Error?</v>
      </c>
    </row>
    <row r="3726" spans="1:4">
      <c r="A3726" s="5">
        <v>3665</v>
      </c>
      <c r="B3726" s="138">
        <f>'Tax Sched 23'!D13</f>
        <v>114320</v>
      </c>
      <c r="C3726" s="2" t="s">
        <v>594</v>
      </c>
      <c r="D3726" s="2" t="str">
        <f t="shared" si="57"/>
        <v>Error?</v>
      </c>
    </row>
    <row r="3727" spans="1:4">
      <c r="A3727" s="5">
        <v>3666</v>
      </c>
      <c r="B3727" s="138">
        <f>'Tax Sched 23'!C13</f>
        <v>54951</v>
      </c>
      <c r="D3727" s="2" t="str">
        <f t="shared" si="57"/>
        <v>Error?</v>
      </c>
    </row>
    <row r="3728" spans="1:4">
      <c r="A3728" s="5">
        <v>3667</v>
      </c>
      <c r="B3728" s="138">
        <f>'Tax Sched 23'!F13</f>
        <v>118912</v>
      </c>
      <c r="C3728" s="2" t="s">
        <v>594</v>
      </c>
      <c r="D3728" s="2" t="str">
        <f t="shared" si="57"/>
        <v>Error?</v>
      </c>
    </row>
    <row r="3729" spans="1:4">
      <c r="A3729" s="5">
        <v>3668</v>
      </c>
      <c r="B3729" s="138">
        <f>'Tax Sched 23'!E13</f>
        <v>173863</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11004921</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37265088</v>
      </c>
      <c r="C4122" s="2" t="s">
        <v>594</v>
      </c>
      <c r="D4122" s="2" t="str">
        <f t="shared" si="63"/>
        <v>Error?</v>
      </c>
    </row>
    <row r="4123" spans="1:4">
      <c r="A4123" s="5">
        <v>4062</v>
      </c>
      <c r="B4123" s="138">
        <f>'Acct Summary 7-8'!D10</f>
        <v>1822787</v>
      </c>
      <c r="C4123" s="2" t="s">
        <v>594</v>
      </c>
      <c r="D4123" s="2" t="str">
        <f t="shared" si="63"/>
        <v>Error?</v>
      </c>
    </row>
    <row r="4124" spans="1:4">
      <c r="A4124" s="5">
        <v>4063</v>
      </c>
      <c r="B4124" s="138">
        <f>'Acct Summary 7-8'!E10</f>
        <v>3552096</v>
      </c>
      <c r="C4124" s="2" t="s">
        <v>594</v>
      </c>
      <c r="D4124" s="2" t="str">
        <f t="shared" si="63"/>
        <v>Error?</v>
      </c>
    </row>
    <row r="4125" spans="1:4">
      <c r="A4125" s="5">
        <v>4064</v>
      </c>
      <c r="B4125" s="138">
        <f>'Acct Summary 7-8'!F10</f>
        <v>1553517</v>
      </c>
      <c r="C4125" s="2" t="s">
        <v>594</v>
      </c>
      <c r="D4125" s="2" t="str">
        <f t="shared" si="63"/>
        <v>Error?</v>
      </c>
    </row>
    <row r="4126" spans="1:4">
      <c r="A4126" s="5">
        <v>4065</v>
      </c>
      <c r="B4126" s="138">
        <f>'Acct Summary 7-8'!G10</f>
        <v>1308623</v>
      </c>
      <c r="C4126" s="2" t="s">
        <v>594</v>
      </c>
      <c r="D4126" s="2" t="str">
        <f t="shared" si="63"/>
        <v>Error?</v>
      </c>
    </row>
    <row r="4127" spans="1:4">
      <c r="A4127" s="5">
        <v>4066</v>
      </c>
      <c r="B4127" s="138">
        <f>'Acct Summary 7-8'!H10</f>
        <v>342883</v>
      </c>
      <c r="C4127" s="2" t="s">
        <v>594</v>
      </c>
      <c r="D4127" s="2" t="str">
        <f t="shared" si="63"/>
        <v>Error?</v>
      </c>
    </row>
    <row r="4128" spans="1:4">
      <c r="A4128" s="5">
        <v>4067</v>
      </c>
      <c r="B4128" s="138">
        <f>'Acct Summary 7-8'!I10</f>
        <v>212230</v>
      </c>
      <c r="C4128" s="2" t="s">
        <v>594</v>
      </c>
      <c r="D4128" s="2" t="str">
        <f t="shared" si="63"/>
        <v>Error?</v>
      </c>
    </row>
    <row r="4129" spans="1:4">
      <c r="A4129" s="10">
        <v>4068</v>
      </c>
      <c r="C4129" s="2" t="s">
        <v>594</v>
      </c>
      <c r="D4129" s="2" t="str">
        <f t="shared" si="63"/>
        <v>OK</v>
      </c>
    </row>
    <row r="4130" spans="1:4">
      <c r="A4130" s="5">
        <v>4069</v>
      </c>
      <c r="B4130" s="138">
        <f>'Acct Summary 7-8'!K10</f>
        <v>2471</v>
      </c>
      <c r="C4130" s="2" t="s">
        <v>594</v>
      </c>
      <c r="D4130" s="2" t="str">
        <f t="shared" si="63"/>
        <v>Error?</v>
      </c>
    </row>
    <row r="4131" spans="1:4">
      <c r="A4131" s="5">
        <v>4070</v>
      </c>
      <c r="B4131" s="138">
        <f>'Acct Summary 7-8'!C18</f>
        <v>11004921</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35224392</v>
      </c>
      <c r="C4136" s="2" t="s">
        <v>594</v>
      </c>
      <c r="D4136" s="2" t="str">
        <f t="shared" si="63"/>
        <v>Error?</v>
      </c>
    </row>
    <row r="4137" spans="1:4">
      <c r="A4137" s="5">
        <v>4076</v>
      </c>
      <c r="B4137" s="138">
        <f>'Acct Summary 7-8'!D19</f>
        <v>2139207</v>
      </c>
      <c r="C4137" s="2" t="s">
        <v>594</v>
      </c>
      <c r="D4137" s="2" t="str">
        <f t="shared" si="63"/>
        <v>Error?</v>
      </c>
    </row>
    <row r="4138" spans="1:4">
      <c r="A4138" s="5">
        <v>4077</v>
      </c>
      <c r="B4138" s="138">
        <f>'Acct Summary 7-8'!E19</f>
        <v>2858100</v>
      </c>
      <c r="C4138" s="2" t="s">
        <v>594</v>
      </c>
      <c r="D4138" s="2" t="str">
        <f t="shared" si="63"/>
        <v>Error?</v>
      </c>
    </row>
    <row r="4139" spans="1:4">
      <c r="A4139" s="5">
        <v>4078</v>
      </c>
      <c r="B4139" s="138">
        <f>'Acct Summary 7-8'!F19</f>
        <v>1501348</v>
      </c>
      <c r="C4139" s="2" t="s">
        <v>594</v>
      </c>
      <c r="D4139" s="2" t="str">
        <f t="shared" si="63"/>
        <v>Error?</v>
      </c>
    </row>
    <row r="4140" spans="1:4">
      <c r="A4140" s="5">
        <v>4079</v>
      </c>
      <c r="B4140" s="138">
        <f>'Acct Summary 7-8'!G19</f>
        <v>1271752</v>
      </c>
      <c r="C4140" s="2" t="s">
        <v>594</v>
      </c>
      <c r="D4140" s="2" t="str">
        <f t="shared" si="63"/>
        <v>Error?</v>
      </c>
    </row>
    <row r="4141" spans="1:4">
      <c r="A4141" s="5">
        <v>4080</v>
      </c>
      <c r="B4141" s="138">
        <f>'Acct Summary 7-8'!H19</f>
        <v>9708977</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20244</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25455000</v>
      </c>
      <c r="C4171" s="2" t="s">
        <v>594</v>
      </c>
      <c r="D4171" s="2" t="str">
        <f t="shared" si="64"/>
        <v>Error?</v>
      </c>
    </row>
    <row r="4172" spans="1:4">
      <c r="A4172" s="5">
        <v>4111</v>
      </c>
      <c r="B4172" s="138">
        <f>'Short-Term Long-Term Debt 24'!J49</f>
        <v>22668709</v>
      </c>
      <c r="C4172" s="2" t="s">
        <v>594</v>
      </c>
      <c r="D4172" s="2" t="str">
        <f t="shared" si="64"/>
        <v>Error?</v>
      </c>
    </row>
    <row r="4173" spans="1:4">
      <c r="A4173" s="5">
        <v>4112</v>
      </c>
      <c r="B4173" s="138">
        <f>'Short-Term Long-Term Debt 24'!H49</f>
        <v>1855000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2420</v>
      </c>
      <c r="C4265" s="2" t="s">
        <v>594</v>
      </c>
      <c r="D4265" s="2" t="str">
        <f t="shared" si="65"/>
        <v>Error?</v>
      </c>
      <c r="E4265" s="128"/>
    </row>
    <row r="4266" spans="1:5">
      <c r="A4266" s="12">
        <v>4205</v>
      </c>
      <c r="B4266" s="138">
        <f>('FP Info 3'!F10)*100000</f>
        <v>250</v>
      </c>
      <c r="C4266" s="2" t="s">
        <v>594</v>
      </c>
      <c r="D4266" s="2" t="str">
        <f t="shared" si="65"/>
        <v>Error?</v>
      </c>
      <c r="E4266" s="128"/>
    </row>
    <row r="4267" spans="1:5">
      <c r="A4267" s="12">
        <v>4206</v>
      </c>
      <c r="B4267" s="138">
        <f>('FP Info 3'!H10)*100000</f>
        <v>119.99999999999999</v>
      </c>
      <c r="C4267" s="2" t="s">
        <v>594</v>
      </c>
      <c r="D4267" s="2" t="str">
        <f t="shared" si="65"/>
        <v>Error?</v>
      </c>
      <c r="E4267" s="128"/>
    </row>
    <row r="4268" spans="1:5">
      <c r="A4268" s="12">
        <v>4207</v>
      </c>
      <c r="B4268" s="138">
        <f>('FP Info 3'!J10)*100000</f>
        <v>2790</v>
      </c>
      <c r="C4268" s="2" t="s">
        <v>594</v>
      </c>
      <c r="D4268" s="2" t="str">
        <f t="shared" si="65"/>
        <v>Error?</v>
      </c>
    </row>
    <row r="4269" spans="1:5">
      <c r="A4269" s="12">
        <v>4208</v>
      </c>
      <c r="B4269" s="138">
        <f>'FP Info 3'!J16</f>
        <v>8449922</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88388</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139605</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95881</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95881</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96637</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26593</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50806</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3683</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347726420</v>
      </c>
      <c r="D4995" s="2" t="str">
        <f t="shared" si="77"/>
        <v>Error?</v>
      </c>
    </row>
    <row r="4996" spans="1:4">
      <c r="A4996" s="12">
        <v>4935</v>
      </c>
      <c r="B4996" s="138">
        <f>'FP Info 3'!H31</f>
        <v>23993122.98</v>
      </c>
      <c r="D4996" s="2" t="str">
        <f t="shared" si="77"/>
        <v>Error?</v>
      </c>
    </row>
    <row r="4997" spans="1:4">
      <c r="A4997" s="12">
        <v>4936</v>
      </c>
      <c r="B4997" s="138">
        <f>'FP Info 3'!H37</f>
        <v>25455000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169271</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8192695</v>
      </c>
      <c r="D5061" s="2" t="str">
        <f t="shared" si="78"/>
        <v>Error?</v>
      </c>
    </row>
    <row r="5062" spans="1:4">
      <c r="A5062" s="10">
        <v>5001</v>
      </c>
      <c r="D5062" s="2" t="str">
        <f t="shared" si="78"/>
        <v>OK</v>
      </c>
    </row>
    <row r="5063" spans="1:4">
      <c r="A5063" s="5">
        <v>5002</v>
      </c>
      <c r="B5063" s="138">
        <f>'Revenues 9-14'!C7</f>
        <v>67708</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8429674</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863830</v>
      </c>
      <c r="D5069" s="2" t="str">
        <f t="shared" si="78"/>
        <v>Error?</v>
      </c>
    </row>
    <row r="5070" spans="1:4">
      <c r="A5070" s="5">
        <v>5009</v>
      </c>
      <c r="B5070" s="138">
        <f>'Revenues 9-14'!C17</f>
        <v>0</v>
      </c>
      <c r="D5070" s="2" t="str">
        <f t="shared" si="78"/>
        <v>Error?</v>
      </c>
    </row>
    <row r="5071" spans="1:4">
      <c r="A5071" s="5">
        <v>5010</v>
      </c>
      <c r="B5071" s="138">
        <f>'Revenues 9-14'!C18</f>
        <v>863830</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594</v>
      </c>
      <c r="D5087" s="2" t="str">
        <f t="shared" si="78"/>
        <v>Error?</v>
      </c>
    </row>
    <row r="5088" spans="1:4">
      <c r="A5088" s="5">
        <v>5027</v>
      </c>
      <c r="B5088" s="138">
        <f>'Revenues 9-14'!C65</f>
        <v>28256</v>
      </c>
      <c r="D5088" s="2" t="str">
        <f t="shared" si="78"/>
        <v>Error?</v>
      </c>
    </row>
    <row r="5089" spans="1:4">
      <c r="A5089" s="5">
        <v>5028</v>
      </c>
      <c r="B5089" s="138">
        <f>'Revenues 9-14'!C66</f>
        <v>0</v>
      </c>
      <c r="D5089" s="2" t="str">
        <f t="shared" si="78"/>
        <v>Error?</v>
      </c>
    </row>
    <row r="5090" spans="1:4">
      <c r="A5090" s="5">
        <v>5029</v>
      </c>
      <c r="B5090" s="138">
        <f>'Revenues 9-14'!C67</f>
        <v>28256</v>
      </c>
      <c r="C5090" s="2" t="s">
        <v>594</v>
      </c>
      <c r="D5090" s="2" t="str">
        <f t="shared" si="78"/>
        <v>Error?</v>
      </c>
    </row>
    <row r="5091" spans="1:4">
      <c r="A5091" s="5">
        <v>5030</v>
      </c>
      <c r="B5091" s="138">
        <f>'Revenues 9-14'!C70</f>
        <v>0</v>
      </c>
      <c r="D5091" s="2" t="str">
        <f t="shared" si="78"/>
        <v>Error?</v>
      </c>
    </row>
    <row r="5092" spans="1:4">
      <c r="A5092" s="5">
        <v>5031</v>
      </c>
      <c r="B5092" s="138">
        <f>'Revenues 9-14'!C71</f>
        <v>10468</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135</v>
      </c>
      <c r="D5095" s="2" t="str">
        <f t="shared" si="78"/>
        <v>Error?</v>
      </c>
    </row>
    <row r="5096" spans="1:4">
      <c r="A5096" s="5">
        <v>5035</v>
      </c>
      <c r="B5096" s="138">
        <f>'Revenues 9-14'!C75</f>
        <v>10603</v>
      </c>
      <c r="C5096" s="2" t="s">
        <v>594</v>
      </c>
      <c r="D5096" s="2" t="str">
        <f t="shared" si="78"/>
        <v>Error?</v>
      </c>
    </row>
    <row r="5097" spans="1:4">
      <c r="A5097" s="5">
        <v>5036</v>
      </c>
      <c r="B5097" s="138">
        <f>'Revenues 9-14'!C77</f>
        <v>0</v>
      </c>
      <c r="D5097" s="2" t="str">
        <f t="shared" si="78"/>
        <v>Error?</v>
      </c>
    </row>
    <row r="5098" spans="1:4">
      <c r="A5098" s="5">
        <v>5037</v>
      </c>
      <c r="B5098" s="138">
        <f>'Revenues 9-14'!C78</f>
        <v>0</v>
      </c>
      <c r="D5098" s="2" t="str">
        <f t="shared" si="78"/>
        <v>Error?</v>
      </c>
    </row>
    <row r="5099" spans="1:4">
      <c r="A5099" s="5">
        <v>5038</v>
      </c>
      <c r="B5099" s="138">
        <f>'Revenues 9-14'!C79</f>
        <v>8080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8080</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0</v>
      </c>
      <c r="C5112" s="2" t="s">
        <v>594</v>
      </c>
      <c r="D5112" s="2" t="str">
        <f t="shared" si="78"/>
        <v>Error?</v>
      </c>
    </row>
    <row r="5113" spans="1:4">
      <c r="A5113" s="5">
        <v>5052</v>
      </c>
      <c r="B5113" s="138">
        <f>'Revenues 9-14'!C95</f>
        <v>0</v>
      </c>
      <c r="D5113" s="2" t="str">
        <f t="shared" si="78"/>
        <v>Error?</v>
      </c>
    </row>
    <row r="5114" spans="1:4">
      <c r="A5114" s="5">
        <v>5053</v>
      </c>
      <c r="B5114" s="138">
        <f>'Revenues 9-14'!C96</f>
        <v>139952</v>
      </c>
      <c r="D5114" s="2" t="str">
        <f t="shared" si="78"/>
        <v>Error?</v>
      </c>
    </row>
    <row r="5115" spans="1:4">
      <c r="A5115" s="5">
        <v>5054</v>
      </c>
      <c r="B5115" s="138">
        <f>'Revenues 9-14'!C98</f>
        <v>51698</v>
      </c>
      <c r="D5115" s="2" t="str">
        <f t="shared" si="78"/>
        <v>Error?</v>
      </c>
    </row>
    <row r="5116" spans="1:4">
      <c r="A5116" s="5">
        <v>5055</v>
      </c>
      <c r="B5116" s="138">
        <f>'Revenues 9-14'!C99</f>
        <v>743</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3709</v>
      </c>
      <c r="D5119" s="2" t="str">
        <f t="shared" ref="D5119:D5182" si="79">IF(ISBLANK(B5119),"OK",IF(A5119-B5119=0,"OK","Error?"))</f>
        <v>Error?</v>
      </c>
    </row>
    <row r="5120" spans="1:4">
      <c r="A5120" s="5">
        <v>5059</v>
      </c>
      <c r="B5120" s="138">
        <f>'Revenues 9-14'!C108</f>
        <v>871999</v>
      </c>
      <c r="C5120" s="2" t="s">
        <v>594</v>
      </c>
      <c r="D5120" s="2" t="str">
        <f t="shared" si="79"/>
        <v>Error?</v>
      </c>
    </row>
    <row r="5121" spans="1:4">
      <c r="A5121" s="5">
        <v>5060</v>
      </c>
      <c r="B5121" s="138">
        <f>'Revenues 9-14'!C109</f>
        <v>10212442</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11284916</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11284916</v>
      </c>
      <c r="C5132" s="2" t="s">
        <v>594</v>
      </c>
      <c r="D5132" s="2" t="str">
        <f t="shared" si="79"/>
        <v>Error?</v>
      </c>
    </row>
    <row r="5133" spans="1:4">
      <c r="A5133" s="5">
        <v>5072</v>
      </c>
      <c r="B5133" s="138">
        <f>'Revenues 9-14'!C124</f>
        <v>41277</v>
      </c>
      <c r="D5133" s="2" t="str">
        <f t="shared" si="79"/>
        <v>Error?</v>
      </c>
    </row>
    <row r="5134" spans="1:4">
      <c r="A5134" s="5">
        <v>5073</v>
      </c>
      <c r="B5134" s="138">
        <f>'Revenues 9-14'!C125</f>
        <v>198122</v>
      </c>
      <c r="D5134" s="2" t="str">
        <f t="shared" si="79"/>
        <v>Error?</v>
      </c>
    </row>
    <row r="5135" spans="1:4">
      <c r="A5135" s="5">
        <v>5074</v>
      </c>
      <c r="B5135" s="138">
        <f>'Revenues 9-14'!C126</f>
        <v>212160</v>
      </c>
      <c r="D5135" s="2" t="str">
        <f t="shared" si="79"/>
        <v>Error?</v>
      </c>
    </row>
    <row r="5136" spans="1:4">
      <c r="A5136" s="10">
        <v>5075</v>
      </c>
      <c r="D5136" s="2" t="str">
        <f t="shared" si="79"/>
        <v>OK</v>
      </c>
    </row>
    <row r="5137" spans="1:4">
      <c r="A5137" s="5">
        <v>5076</v>
      </c>
      <c r="B5137" s="138">
        <f>'Revenues 9-14'!C127</f>
        <v>19740</v>
      </c>
      <c r="D5137" s="2" t="str">
        <f t="shared" si="79"/>
        <v>Error?</v>
      </c>
    </row>
    <row r="5138" spans="1:4">
      <c r="A5138" s="10">
        <v>5077</v>
      </c>
      <c r="D5138" s="2" t="str">
        <f t="shared" si="79"/>
        <v>OK</v>
      </c>
    </row>
    <row r="5139" spans="1:4">
      <c r="A5139" s="5">
        <v>5078</v>
      </c>
      <c r="B5139" s="138">
        <f>'Revenues 9-14'!C128</f>
        <v>7334</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478633</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273753</v>
      </c>
      <c r="D5163" s="2" t="str">
        <f t="shared" si="79"/>
        <v>Error?</v>
      </c>
    </row>
    <row r="5164" spans="1:4">
      <c r="A5164" s="5">
        <v>5103</v>
      </c>
      <c r="B5164" s="138">
        <f>'Revenues 9-14'!C143</f>
        <v>0</v>
      </c>
      <c r="D5164" s="2" t="str">
        <f t="shared" si="79"/>
        <v>Error?</v>
      </c>
    </row>
    <row r="5165" spans="1:4">
      <c r="A5165" s="5">
        <v>5104</v>
      </c>
      <c r="B5165" s="138">
        <f>'Revenues 9-14'!C144</f>
        <v>273753</v>
      </c>
      <c r="C5165" s="2" t="s">
        <v>594</v>
      </c>
      <c r="D5165" s="2" t="str">
        <f t="shared" si="79"/>
        <v>Error?</v>
      </c>
    </row>
    <row r="5166" spans="1:4">
      <c r="A5166" s="10">
        <v>5105</v>
      </c>
      <c r="D5166" s="2" t="str">
        <f t="shared" si="79"/>
        <v>OK</v>
      </c>
    </row>
    <row r="5167" spans="1:4">
      <c r="A5167" s="5">
        <v>5106</v>
      </c>
      <c r="B5167" s="138">
        <f>'Revenues 9-14'!C145</f>
        <v>29545</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290744</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1076358</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12361274</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1253962</v>
      </c>
      <c r="D5239" s="2" t="str">
        <f t="shared" si="80"/>
        <v>Error?</v>
      </c>
    </row>
    <row r="5240" spans="1:4">
      <c r="A5240" s="5">
        <v>5179</v>
      </c>
      <c r="B5240" s="138">
        <f>'Revenues 9-14'!C195</f>
        <v>0</v>
      </c>
      <c r="D5240" s="2" t="str">
        <f t="shared" si="80"/>
        <v>Error?</v>
      </c>
    </row>
    <row r="5241" spans="1:4">
      <c r="A5241" s="5">
        <v>5180</v>
      </c>
      <c r="B5241" s="138">
        <f>'Revenues 9-14'!C196</f>
        <v>394683</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1673909</v>
      </c>
      <c r="C5246" s="2" t="s">
        <v>594</v>
      </c>
      <c r="D5246" s="2" t="str">
        <f t="shared" si="80"/>
        <v>Error?</v>
      </c>
    </row>
    <row r="5247" spans="1:4">
      <c r="A5247" s="5">
        <v>5186</v>
      </c>
      <c r="B5247" s="138">
        <f>'Revenues 9-14'!C203</f>
        <v>1062798</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1062798</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496237</v>
      </c>
      <c r="D5278" s="2" t="str">
        <f t="shared" si="81"/>
        <v>Error?</v>
      </c>
    </row>
    <row r="5279" spans="1:4">
      <c r="A5279" s="5">
        <v>5218</v>
      </c>
      <c r="B5279" s="138">
        <f>'Revenues 9-14'!C221</f>
        <v>3887</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500124</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2516</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3686451</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3686451</v>
      </c>
      <c r="C5326" s="2" t="s">
        <v>594</v>
      </c>
      <c r="D5326" s="2" t="str">
        <f t="shared" si="82"/>
        <v>Error?</v>
      </c>
    </row>
    <row r="5327" spans="1:4">
      <c r="A5327" s="5">
        <v>5266</v>
      </c>
      <c r="B5327" s="138">
        <f>'Revenues 9-14'!C275</f>
        <v>26260167</v>
      </c>
      <c r="C5327" s="2" t="s">
        <v>594</v>
      </c>
      <c r="D5327" s="2" t="str">
        <f t="shared" si="82"/>
        <v>Error?</v>
      </c>
    </row>
    <row r="5328" spans="1:4">
      <c r="A5328" s="5">
        <v>5267</v>
      </c>
      <c r="B5328" s="138">
        <f>'Revenues 9-14'!D5</f>
        <v>846353</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846353</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837308</v>
      </c>
      <c r="D5337" s="2" t="str">
        <f t="shared" si="82"/>
        <v>Error?</v>
      </c>
    </row>
    <row r="5338" spans="1:4">
      <c r="A5338" s="5">
        <v>5277</v>
      </c>
      <c r="B5338" s="138">
        <f>'Revenues 9-14'!D17</f>
        <v>0</v>
      </c>
      <c r="D5338" s="2" t="str">
        <f t="shared" si="82"/>
        <v>Error?</v>
      </c>
    </row>
    <row r="5339" spans="1:4">
      <c r="A5339" s="5">
        <v>5278</v>
      </c>
      <c r="B5339" s="138">
        <f>'Revenues 9-14'!D18</f>
        <v>837308</v>
      </c>
      <c r="C5339" s="2" t="s">
        <v>594</v>
      </c>
      <c r="D5339" s="2" t="str">
        <f t="shared" si="82"/>
        <v>Error?</v>
      </c>
    </row>
    <row r="5340" spans="1:4">
      <c r="A5340" s="5">
        <v>5279</v>
      </c>
      <c r="B5340" s="138">
        <f>'Revenues 9-14'!D65</f>
        <v>5744</v>
      </c>
      <c r="D5340" s="2" t="str">
        <f t="shared" si="82"/>
        <v>Error?</v>
      </c>
    </row>
    <row r="5341" spans="1:4">
      <c r="A5341" s="5">
        <v>5280</v>
      </c>
      <c r="B5341" s="138">
        <f>'Revenues 9-14'!D66</f>
        <v>0</v>
      </c>
      <c r="D5341" s="2" t="str">
        <f t="shared" si="82"/>
        <v>Error?</v>
      </c>
    </row>
    <row r="5342" spans="1:4">
      <c r="A5342" s="5">
        <v>5281</v>
      </c>
      <c r="B5342" s="138">
        <f>'Revenues 9-14'!D67</f>
        <v>5744</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31142</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10092</v>
      </c>
      <c r="D5352" s="2" t="str">
        <f t="shared" si="82"/>
        <v>Error?</v>
      </c>
    </row>
    <row r="5353" spans="1:4">
      <c r="A5353" s="5">
        <v>5292</v>
      </c>
      <c r="B5353" s="138">
        <f>'Revenues 9-14'!D104</f>
        <v>0</v>
      </c>
      <c r="D5353" s="2" t="str">
        <f t="shared" si="82"/>
        <v>Error?</v>
      </c>
    </row>
    <row r="5354" spans="1:4">
      <c r="A5354" s="5">
        <v>5293</v>
      </c>
      <c r="B5354" s="138">
        <f>'Revenues 9-14'!D107</f>
        <v>92148</v>
      </c>
      <c r="D5354" s="2" t="str">
        <f t="shared" si="82"/>
        <v>Error?</v>
      </c>
    </row>
    <row r="5355" spans="1:4">
      <c r="A5355" s="5">
        <v>5294</v>
      </c>
      <c r="B5355" s="138">
        <f>'Revenues 9-14'!D108</f>
        <v>133382</v>
      </c>
      <c r="C5355" s="2" t="s">
        <v>594</v>
      </c>
      <c r="D5355" s="2" t="str">
        <f t="shared" si="82"/>
        <v>Error?</v>
      </c>
    </row>
    <row r="5356" spans="1:4">
      <c r="A5356" s="5">
        <v>5295</v>
      </c>
      <c r="B5356" s="138">
        <f>'Revenues 9-14'!D109</f>
        <v>1822787</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1822787</v>
      </c>
      <c r="C5508" s="2" t="s">
        <v>594</v>
      </c>
      <c r="D5508" s="2" t="str">
        <f t="shared" si="85"/>
        <v>Error?</v>
      </c>
    </row>
    <row r="5509" spans="1:4">
      <c r="A5509" s="5">
        <v>5448</v>
      </c>
      <c r="B5509" s="138">
        <f>'Revenues 9-14'!E5</f>
        <v>2453508</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2453508</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27280</v>
      </c>
      <c r="D5519" s="2" t="str">
        <f t="shared" si="85"/>
        <v>Error?</v>
      </c>
    </row>
    <row r="5520" spans="1:4">
      <c r="A5520" s="5">
        <v>5459</v>
      </c>
      <c r="B5520" s="138">
        <f>'Revenues 9-14'!E66</f>
        <v>0</v>
      </c>
      <c r="D5520" s="2" t="str">
        <f t="shared" si="85"/>
        <v>Error?</v>
      </c>
    </row>
    <row r="5521" spans="1:4">
      <c r="A5521" s="5">
        <v>5460</v>
      </c>
      <c r="B5521" s="138">
        <f>'Revenues 9-14'!E67</f>
        <v>27280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1071308</v>
      </c>
      <c r="C5526" s="2" t="s">
        <v>594</v>
      </c>
      <c r="D5526" s="2" t="str">
        <f t="shared" si="85"/>
        <v>Error?</v>
      </c>
    </row>
    <row r="5527" spans="1:4">
      <c r="A5527" s="5">
        <v>5466</v>
      </c>
      <c r="B5527" s="138">
        <f>'Revenues 9-14'!E109</f>
        <v>3552096</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3552096</v>
      </c>
      <c r="C5552" s="2" t="s">
        <v>594</v>
      </c>
      <c r="D5552" s="2" t="str">
        <f t="shared" si="85"/>
        <v>Error?</v>
      </c>
    </row>
    <row r="5553" spans="1:4">
      <c r="A5553" s="5">
        <v>5492</v>
      </c>
      <c r="B5553" s="138">
        <f>'Revenues 9-14'!F5</f>
        <v>406249</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406249</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196844</v>
      </c>
      <c r="D5560" s="2" t="str">
        <f t="shared" si="85"/>
        <v>Error?</v>
      </c>
    </row>
    <row r="5561" spans="1:4">
      <c r="A5561" s="5">
        <v>5500</v>
      </c>
      <c r="B5561" s="138">
        <f>'Revenues 9-14'!F17</f>
        <v>0</v>
      </c>
      <c r="D5561" s="2" t="str">
        <f t="shared" si="85"/>
        <v>Error?</v>
      </c>
    </row>
    <row r="5562" spans="1:4">
      <c r="A5562" s="5">
        <v>5501</v>
      </c>
      <c r="B5562" s="138">
        <f>'Revenues 9-14'!F18</f>
        <v>196844</v>
      </c>
      <c r="C5562" s="2" t="s">
        <v>594</v>
      </c>
      <c r="D5562" s="2" t="str">
        <f t="shared" si="85"/>
        <v>Error?</v>
      </c>
    </row>
    <row r="5563" spans="1:4">
      <c r="A5563" s="5">
        <v>5502</v>
      </c>
      <c r="B5563" s="138">
        <f>'Revenues 9-14'!F42</f>
        <v>18425</v>
      </c>
      <c r="D5563" s="2" t="str">
        <f t="shared" si="85"/>
        <v>Error?</v>
      </c>
    </row>
    <row r="5564" spans="1:4">
      <c r="A5564" s="5">
        <v>5503</v>
      </c>
      <c r="B5564" s="138">
        <f>'Revenues 9-14'!F43</f>
        <v>0</v>
      </c>
      <c r="D5564" s="2" t="str">
        <f t="shared" si="85"/>
        <v>Error?</v>
      </c>
    </row>
    <row r="5565" spans="1:4">
      <c r="A5565" s="5">
        <v>5504</v>
      </c>
      <c r="B5565" s="138">
        <f>'Revenues 9-14'!F44</f>
        <v>20785</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39210</v>
      </c>
      <c r="C5579" s="2" t="s">
        <v>594</v>
      </c>
      <c r="D5579" s="2" t="str">
        <f t="shared" si="86"/>
        <v>Error?</v>
      </c>
    </row>
    <row r="5580" spans="1:4">
      <c r="A5580" s="5">
        <v>5519</v>
      </c>
      <c r="B5580" s="138">
        <f>'Revenues 9-14'!F65</f>
        <v>2972</v>
      </c>
      <c r="D5580" s="2" t="str">
        <f t="shared" si="86"/>
        <v>Error?</v>
      </c>
    </row>
    <row r="5581" spans="1:4">
      <c r="A5581" s="5">
        <v>5520</v>
      </c>
      <c r="B5581" s="138">
        <f>'Revenues 9-14'!F66</f>
        <v>0</v>
      </c>
      <c r="D5581" s="2" t="str">
        <f t="shared" si="86"/>
        <v>Error?</v>
      </c>
    </row>
    <row r="5582" spans="1:4">
      <c r="A5582" s="5">
        <v>5521</v>
      </c>
      <c r="B5582" s="138">
        <f>'Revenues 9-14'!F67</f>
        <v>2972</v>
      </c>
      <c r="C5582" s="2" t="s">
        <v>594</v>
      </c>
      <c r="D5582" s="2" t="str">
        <f t="shared" si="86"/>
        <v>Error?</v>
      </c>
    </row>
    <row r="5583" spans="1:4">
      <c r="A5583" s="5">
        <v>5522</v>
      </c>
      <c r="B5583" s="138">
        <f>'Revenues 9-14'!F96</f>
        <v>0</v>
      </c>
      <c r="D5583" s="2" t="str">
        <f t="shared" si="86"/>
        <v>Error?</v>
      </c>
    </row>
    <row r="5584" spans="1:4">
      <c r="A5584" s="5">
        <v>5523</v>
      </c>
      <c r="B5584" s="138">
        <f>'Revenues 9-14'!F98</f>
        <v>2800</v>
      </c>
      <c r="D5584" s="2" t="str">
        <f t="shared" si="86"/>
        <v>Error?</v>
      </c>
    </row>
    <row r="5585" spans="1:4">
      <c r="A5585" s="5">
        <v>5524</v>
      </c>
      <c r="B5585" s="138">
        <f>'Revenues 9-14'!F99</f>
        <v>93</v>
      </c>
      <c r="D5585" s="2" t="str">
        <f t="shared" si="86"/>
        <v>Error?</v>
      </c>
    </row>
    <row r="5586" spans="1:4">
      <c r="A5586" s="5">
        <v>5525</v>
      </c>
      <c r="B5586" s="138">
        <f>'Revenues 9-14'!F107</f>
        <v>20347</v>
      </c>
      <c r="D5586" s="2" t="str">
        <f t="shared" si="86"/>
        <v>Error?</v>
      </c>
    </row>
    <row r="5587" spans="1:4">
      <c r="A5587" s="5">
        <v>5526</v>
      </c>
      <c r="B5587" s="138">
        <f>'Revenues 9-14'!F108</f>
        <v>23240</v>
      </c>
      <c r="C5587" s="2" t="s">
        <v>594</v>
      </c>
      <c r="D5587" s="2" t="str">
        <f t="shared" si="86"/>
        <v>Error?</v>
      </c>
    </row>
    <row r="5588" spans="1:4">
      <c r="A5588" s="5">
        <v>5527</v>
      </c>
      <c r="B5588" s="138">
        <f>'Revenues 9-14'!F109</f>
        <v>668515</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494471</v>
      </c>
      <c r="D5615" s="2" t="str">
        <f t="shared" si="86"/>
        <v>Error?</v>
      </c>
    </row>
    <row r="5616" spans="1:4">
      <c r="A5616" s="10">
        <v>5555</v>
      </c>
      <c r="D5616" s="2" t="str">
        <f t="shared" si="86"/>
        <v>OK</v>
      </c>
    </row>
    <row r="5617" spans="1:4">
      <c r="A5617" s="5">
        <v>5556</v>
      </c>
      <c r="B5617" s="138">
        <f>'Revenues 9-14'!F152</f>
        <v>306329</v>
      </c>
      <c r="D5617" s="2" t="str">
        <f t="shared" si="86"/>
        <v>Error?</v>
      </c>
    </row>
    <row r="5618" spans="1:4">
      <c r="A5618" s="5">
        <v>5557</v>
      </c>
      <c r="B5618" s="138">
        <f>'Revenues 9-14'!F154</f>
        <v>800800</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84202</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885002</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885002</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1553517</v>
      </c>
      <c r="C5720" s="2" t="s">
        <v>594</v>
      </c>
      <c r="D5720" s="2" t="str">
        <f t="shared" si="88"/>
        <v>Error?</v>
      </c>
    </row>
    <row r="5721" spans="1:4">
      <c r="A5721" s="5">
        <v>5660</v>
      </c>
      <c r="B5721" s="138">
        <f>'Revenues 9-14'!G5</f>
        <v>724810</v>
      </c>
      <c r="D5721" s="2" t="str">
        <f t="shared" si="88"/>
        <v>Error?</v>
      </c>
    </row>
    <row r="5722" spans="1:4">
      <c r="A5722" s="5">
        <v>5661</v>
      </c>
      <c r="B5722" s="138">
        <f>'Revenues 9-14'!G7</f>
        <v>0</v>
      </c>
      <c r="D5722" s="2" t="str">
        <f t="shared" si="88"/>
        <v>Error?</v>
      </c>
    </row>
    <row r="5723" spans="1:4">
      <c r="A5723" s="5">
        <v>5662</v>
      </c>
      <c r="B5723" s="138">
        <f>'Revenues 9-14'!G8</f>
        <v>477581</v>
      </c>
      <c r="D5723" s="2" t="str">
        <f t="shared" si="88"/>
        <v>Error?</v>
      </c>
    </row>
    <row r="5724" spans="1:4">
      <c r="A5724" s="5">
        <v>5663</v>
      </c>
      <c r="B5724" s="138">
        <f>'Revenues 9-14'!G11</f>
        <v>0</v>
      </c>
      <c r="D5724" s="2" t="str">
        <f t="shared" si="88"/>
        <v>Error?</v>
      </c>
    </row>
    <row r="5725" spans="1:4">
      <c r="A5725" s="5">
        <v>5664</v>
      </c>
      <c r="B5725" s="138">
        <f>'Revenues 9-14'!G12</f>
        <v>1202391</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103273</v>
      </c>
      <c r="D5728" s="2" t="str">
        <f t="shared" si="88"/>
        <v>Error?</v>
      </c>
    </row>
    <row r="5729" spans="1:4">
      <c r="A5729" s="5">
        <v>5668</v>
      </c>
      <c r="B5729" s="138">
        <f>'Revenues 9-14'!G17</f>
        <v>0</v>
      </c>
      <c r="D5729" s="2" t="str">
        <f t="shared" si="88"/>
        <v>Error?</v>
      </c>
    </row>
    <row r="5730" spans="1:4">
      <c r="A5730" s="5">
        <v>5669</v>
      </c>
      <c r="B5730" s="138">
        <f>'Revenues 9-14'!G18</f>
        <v>103273</v>
      </c>
      <c r="C5730" s="2" t="s">
        <v>594</v>
      </c>
      <c r="D5730" s="2" t="str">
        <f t="shared" si="88"/>
        <v>Error?</v>
      </c>
    </row>
    <row r="5731" spans="1:4">
      <c r="A5731" s="5">
        <v>5670</v>
      </c>
      <c r="B5731" s="138">
        <f>'Revenues 9-14'!G65</f>
        <v>2832</v>
      </c>
      <c r="D5731" s="2" t="str">
        <f t="shared" si="88"/>
        <v>Error?</v>
      </c>
    </row>
    <row r="5732" spans="1:4">
      <c r="A5732" s="5">
        <v>5671</v>
      </c>
      <c r="B5732" s="138">
        <f>'Revenues 9-14'!G66</f>
        <v>0</v>
      </c>
      <c r="D5732" s="2" t="str">
        <f t="shared" si="88"/>
        <v>Error?</v>
      </c>
    </row>
    <row r="5733" spans="1:4">
      <c r="A5733" s="5">
        <v>5672</v>
      </c>
      <c r="B5733" s="138">
        <f>'Revenues 9-14'!G67</f>
        <v>2832</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127</v>
      </c>
      <c r="D5736" s="2" t="str">
        <f t="shared" si="88"/>
        <v>Error?</v>
      </c>
    </row>
    <row r="5737" spans="1:4">
      <c r="A5737" s="5">
        <v>5676</v>
      </c>
      <c r="B5737" s="138">
        <f>'Revenues 9-14'!G108</f>
        <v>127</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1308623</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21117</v>
      </c>
      <c r="D5879" s="2" t="str">
        <f t="shared" si="90"/>
        <v>Error?</v>
      </c>
    </row>
    <row r="5880" spans="1:4">
      <c r="A5880" s="5">
        <v>5819</v>
      </c>
      <c r="B5880" s="138">
        <f>'Revenues 9-14'!H66</f>
        <v>0</v>
      </c>
      <c r="D5880" s="2" t="str">
        <f t="shared" si="90"/>
        <v>Error?</v>
      </c>
    </row>
    <row r="5881" spans="1:4">
      <c r="A5881" s="5">
        <v>5820</v>
      </c>
      <c r="B5881" s="138">
        <f>'Revenues 9-14'!H67</f>
        <v>21117</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321766</v>
      </c>
      <c r="D5885" s="2" t="str">
        <f t="shared" si="90"/>
        <v>Error?</v>
      </c>
    </row>
    <row r="5886" spans="1:4">
      <c r="A5886" s="5">
        <v>5825</v>
      </c>
      <c r="B5886" s="138">
        <f>'Revenues 9-14'!H108</f>
        <v>321766</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342883</v>
      </c>
      <c r="C5915" s="2" t="s">
        <v>594</v>
      </c>
      <c r="D5915" s="2" t="str">
        <f t="shared" si="91"/>
        <v>Error?</v>
      </c>
    </row>
    <row r="5916" spans="1:4">
      <c r="A5916" s="5">
        <v>5855</v>
      </c>
      <c r="B5916" s="138">
        <f>'Revenues 9-14'!I5</f>
        <v>169271</v>
      </c>
      <c r="D5916" s="2" t="str">
        <f t="shared" si="91"/>
        <v>Error?</v>
      </c>
    </row>
    <row r="5917" spans="1:4">
      <c r="A5917" s="5">
        <v>5856</v>
      </c>
      <c r="B5917" s="138">
        <f>'Revenues 9-14'!I11</f>
        <v>0</v>
      </c>
      <c r="D5917" s="2" t="str">
        <f t="shared" si="91"/>
        <v>Error?</v>
      </c>
    </row>
    <row r="5918" spans="1:4">
      <c r="A5918" s="5">
        <v>5857</v>
      </c>
      <c r="B5918" s="138">
        <f>'Revenues 9-14'!I12</f>
        <v>169271</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42959</v>
      </c>
      <c r="D5924" s="2" t="str">
        <f t="shared" si="91"/>
        <v>Error?</v>
      </c>
    </row>
    <row r="5925" spans="1:4">
      <c r="A5925" s="5">
        <v>5864</v>
      </c>
      <c r="B5925" s="138">
        <f>'Revenues 9-14'!I66</f>
        <v>0</v>
      </c>
      <c r="D5925" s="2" t="str">
        <f t="shared" si="91"/>
        <v>Error?</v>
      </c>
    </row>
    <row r="5926" spans="1:4">
      <c r="A5926" s="5">
        <v>5865</v>
      </c>
      <c r="B5926" s="138">
        <f>'Revenues 9-14'!I67</f>
        <v>42959</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212230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2471</v>
      </c>
      <c r="D5993" s="2" t="str">
        <f t="shared" si="92"/>
        <v>Error?</v>
      </c>
    </row>
    <row r="5994" spans="1:4">
      <c r="A5994" s="5">
        <v>5933</v>
      </c>
      <c r="B5994" s="138">
        <f>'Revenues 9-14'!K66</f>
        <v>0</v>
      </c>
      <c r="D5994" s="2" t="str">
        <f t="shared" si="92"/>
        <v>Error?</v>
      </c>
    </row>
    <row r="5995" spans="1:4">
      <c r="A5995" s="5">
        <v>5934</v>
      </c>
      <c r="B5995" s="138">
        <f>'Revenues 9-14'!K67</f>
        <v>2471</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2471</v>
      </c>
      <c r="C6023" s="2" t="s">
        <v>594</v>
      </c>
      <c r="D6023" s="2" t="str">
        <f t="shared" si="93"/>
        <v>Error?</v>
      </c>
    </row>
    <row r="6024" spans="1:5">
      <c r="A6024" s="5">
        <v>5963</v>
      </c>
      <c r="B6024" s="138">
        <f>'Revenues 9-14'!G109</f>
        <v>1308623</v>
      </c>
      <c r="C6024" s="2" t="s">
        <v>594</v>
      </c>
      <c r="D6024" s="2" t="str">
        <f t="shared" si="93"/>
        <v>Error?</v>
      </c>
    </row>
    <row r="6025" spans="1:5">
      <c r="A6025" s="5">
        <v>5964</v>
      </c>
      <c r="B6025" s="138">
        <f>'Revenues 9-14'!H109</f>
        <v>342883</v>
      </c>
      <c r="C6025" s="2" t="s">
        <v>594</v>
      </c>
      <c r="D6025" s="2" t="str">
        <f t="shared" si="93"/>
        <v>Error?</v>
      </c>
    </row>
    <row r="6026" spans="1:5">
      <c r="A6026" s="5">
        <v>5965</v>
      </c>
      <c r="B6026" s="138">
        <f>'Revenues 9-14'!I109</f>
        <v>212230</v>
      </c>
      <c r="C6026" s="2" t="s">
        <v>594</v>
      </c>
      <c r="D6026" s="2" t="str">
        <f t="shared" si="93"/>
        <v>Error?</v>
      </c>
    </row>
    <row r="6027" spans="1:5">
      <c r="A6027" s="10">
        <v>5966</v>
      </c>
      <c r="C6027" s="2" t="s">
        <v>594</v>
      </c>
      <c r="D6027" s="2" t="str">
        <f t="shared" si="93"/>
        <v>OK</v>
      </c>
    </row>
    <row r="6028" spans="1:5">
      <c r="A6028" s="5">
        <v>5967</v>
      </c>
      <c r="B6028" s="138">
        <f>'Revenues 9-14'!K109</f>
        <v>2471</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154680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2461.04</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228432</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331824</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135000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93432</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331824</v>
      </c>
      <c r="D6215" s="2" t="str">
        <f t="shared" si="96"/>
        <v>Error?</v>
      </c>
      <c r="E6215" s="2" t="s">
        <v>199</v>
      </c>
    </row>
    <row r="6216" spans="1:5">
      <c r="A6216">
        <v>6155</v>
      </c>
      <c r="B6216" s="138">
        <f>'Assets-Liab 5-6'!J41</f>
        <v>331824</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331824</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938148</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938148</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938148</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767913</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767913</v>
      </c>
      <c r="D6229" s="2" t="str">
        <f t="shared" si="96"/>
        <v>Error?</v>
      </c>
      <c r="E6229" s="2" t="s">
        <v>199</v>
      </c>
    </row>
    <row r="6230" spans="1:5">
      <c r="A6230">
        <v>6169</v>
      </c>
      <c r="B6230" s="138">
        <f>'Acct Summary 7-8'!J20</f>
        <v>170235</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170235</v>
      </c>
      <c r="D6263" s="2" t="str">
        <f t="shared" si="96"/>
        <v>Error?</v>
      </c>
      <c r="E6263" s="2" t="s">
        <v>199</v>
      </c>
    </row>
    <row r="6264" spans="1:5">
      <c r="A6264">
        <v>6203</v>
      </c>
      <c r="B6264" s="138">
        <f>'Acct Summary 7-8'!J79</f>
        <v>161589</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331824</v>
      </c>
      <c r="D6266" s="2" t="str">
        <f t="shared" si="96"/>
        <v>Error?</v>
      </c>
      <c r="E6266" s="2" t="s">
        <v>199</v>
      </c>
    </row>
    <row r="6267" spans="1:5">
      <c r="A6267">
        <v>6206</v>
      </c>
      <c r="B6267" s="138">
        <f>'Acct Summary 7-8'!C82</f>
        <v>2040696</v>
      </c>
      <c r="D6267" s="2" t="str">
        <f t="shared" si="96"/>
        <v>Error?</v>
      </c>
      <c r="E6267" s="2" t="s">
        <v>199</v>
      </c>
    </row>
    <row r="6268" spans="1:5">
      <c r="A6268">
        <v>6207</v>
      </c>
      <c r="B6268" s="138">
        <f>'Acct Summary 7-8'!D82</f>
        <v>183580</v>
      </c>
      <c r="D6268" s="2" t="str">
        <f t="shared" si="96"/>
        <v>Error?</v>
      </c>
      <c r="E6268" s="2" t="s">
        <v>199</v>
      </c>
    </row>
    <row r="6269" spans="1:5">
      <c r="A6269">
        <v>6208</v>
      </c>
      <c r="B6269" s="138">
        <f>'Acct Summary 7-8'!E82</f>
        <v>693996</v>
      </c>
      <c r="D6269" s="2" t="str">
        <f t="shared" si="96"/>
        <v>Error?</v>
      </c>
      <c r="E6269" s="2" t="s">
        <v>199</v>
      </c>
    </row>
    <row r="6270" spans="1:5">
      <c r="A6270">
        <v>6209</v>
      </c>
      <c r="B6270" s="138">
        <f>'Acct Summary 7-8'!F82</f>
        <v>52169</v>
      </c>
      <c r="D6270" s="2" t="str">
        <f t="shared" si="96"/>
        <v>Error?</v>
      </c>
      <c r="E6270" s="2" t="s">
        <v>199</v>
      </c>
    </row>
    <row r="6271" spans="1:5">
      <c r="A6271">
        <v>6210</v>
      </c>
      <c r="B6271" s="138">
        <f>'Acct Summary 7-8'!G82</f>
        <v>36871</v>
      </c>
      <c r="D6271" s="2" t="str">
        <f t="shared" ref="D6271:D6334" si="97">IF(ISBLANK(B6271),"OK",IF(A6271-B6271=0,"OK","Error?"))</f>
        <v>Error?</v>
      </c>
      <c r="E6271" s="2" t="s">
        <v>199</v>
      </c>
    </row>
    <row r="6272" spans="1:5">
      <c r="A6272">
        <v>6211</v>
      </c>
      <c r="B6272" s="138">
        <f>'Acct Summary 7-8'!H82</f>
        <v>-9366094</v>
      </c>
      <c r="D6272" s="2" t="str">
        <f t="shared" si="97"/>
        <v>Error?</v>
      </c>
      <c r="E6272" s="2" t="s">
        <v>199</v>
      </c>
    </row>
    <row r="6273" spans="1:5">
      <c r="A6273">
        <v>6212</v>
      </c>
      <c r="B6273" s="138">
        <f>'Acct Summary 7-8'!I82</f>
        <v>-287770</v>
      </c>
      <c r="D6273" s="2" t="str">
        <f t="shared" si="97"/>
        <v>Error?</v>
      </c>
      <c r="E6273" s="2" t="s">
        <v>199</v>
      </c>
    </row>
    <row r="6274" spans="1:5">
      <c r="A6274">
        <v>6213</v>
      </c>
      <c r="B6274" s="138">
        <f>'Acct Summary 7-8'!J82</f>
        <v>170235</v>
      </c>
      <c r="D6274" s="2" t="str">
        <f t="shared" si="97"/>
        <v>Error?</v>
      </c>
      <c r="E6274" s="2" t="s">
        <v>199</v>
      </c>
    </row>
    <row r="6275" spans="1:5">
      <c r="A6275">
        <v>6214</v>
      </c>
      <c r="B6275" s="138">
        <f>'Acct Summary 7-8'!K82</f>
        <v>-17773</v>
      </c>
      <c r="D6275" s="2" t="str">
        <f t="shared" si="97"/>
        <v>Error?</v>
      </c>
      <c r="E6275" s="2" t="s">
        <v>199</v>
      </c>
    </row>
    <row r="6276" spans="1:5">
      <c r="A6276">
        <v>6215</v>
      </c>
      <c r="B6276" s="138">
        <f>'Acct Summary 7-8'!C83</f>
        <v>0.75654802552701184</v>
      </c>
      <c r="D6276" s="2" t="str">
        <f t="shared" si="97"/>
        <v>Error?</v>
      </c>
      <c r="E6276" s="2" t="s">
        <v>199</v>
      </c>
    </row>
    <row r="6277" spans="1:5">
      <c r="A6277">
        <v>6216</v>
      </c>
      <c r="B6277" s="138">
        <f>'Acct Summary 7-8'!D83</f>
        <v>0.33289510667041428</v>
      </c>
      <c r="D6277" s="2" t="str">
        <f t="shared" si="97"/>
        <v>Error?</v>
      </c>
      <c r="E6277" s="2" t="s">
        <v>199</v>
      </c>
    </row>
    <row r="6278" spans="1:5">
      <c r="A6278">
        <v>6217</v>
      </c>
      <c r="B6278" s="138">
        <f>'Acct Summary 7-8'!E83</f>
        <v>0.24907520427694022</v>
      </c>
      <c r="D6278" s="2" t="str">
        <f t="shared" si="97"/>
        <v>Error?</v>
      </c>
      <c r="E6278" s="2" t="s">
        <v>199</v>
      </c>
    </row>
    <row r="6279" spans="1:5">
      <c r="A6279">
        <v>6218</v>
      </c>
      <c r="B6279" s="138">
        <f>'Acct Summary 7-8'!F83</f>
        <v>0.19903703449354654</v>
      </c>
      <c r="D6279" s="2" t="str">
        <f t="shared" si="97"/>
        <v>Error?</v>
      </c>
      <c r="E6279" s="2" t="s">
        <v>199</v>
      </c>
    </row>
    <row r="6280" spans="1:5">
      <c r="A6280">
        <v>6219</v>
      </c>
      <c r="B6280" s="138">
        <f>'Acct Summary 7-8'!G83</f>
        <v>0.2860367873517296</v>
      </c>
      <c r="D6280" s="2" t="str">
        <f t="shared" si="97"/>
        <v>Error?</v>
      </c>
      <c r="E6280" s="2" t="s">
        <v>199</v>
      </c>
    </row>
    <row r="6281" spans="1:5">
      <c r="A6281">
        <v>6220</v>
      </c>
      <c r="B6281" s="138">
        <f>'Acct Summary 7-8'!H83</f>
        <v>-41.466929946119208</v>
      </c>
      <c r="D6281" s="2" t="str">
        <f t="shared" si="97"/>
        <v>Error?</v>
      </c>
      <c r="E6281" s="2" t="s">
        <v>199</v>
      </c>
    </row>
    <row r="6282" spans="1:5">
      <c r="A6282">
        <v>6221</v>
      </c>
      <c r="B6282" s="138">
        <f>'Acct Summary 7-8'!I83</f>
        <v>-5.8265161252179606E-2</v>
      </c>
      <c r="D6282" s="2" t="str">
        <f t="shared" si="97"/>
        <v>Error?</v>
      </c>
      <c r="E6282" s="2" t="s">
        <v>199</v>
      </c>
    </row>
    <row r="6283" spans="1:5">
      <c r="A6283">
        <v>6222</v>
      </c>
      <c r="B6283" s="138">
        <f>'Acct Summary 7-8'!J83</f>
        <v>0.51302799074208016</v>
      </c>
      <c r="D6283" s="2" t="str">
        <f t="shared" si="97"/>
        <v>Error?</v>
      </c>
      <c r="E6283" s="2" t="s">
        <v>199</v>
      </c>
    </row>
    <row r="6284" spans="1:5">
      <c r="A6284">
        <v>6223</v>
      </c>
      <c r="B6284" s="138">
        <f>'Acct Summary 7-8'!K83</f>
        <v>-6.2082576498532903E-2</v>
      </c>
      <c r="D6284" s="2" t="str">
        <f t="shared" si="97"/>
        <v>Error?</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917066</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917066</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17527</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17527</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3555</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3555</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511150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113941</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938148</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213169</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245426</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64517</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64517</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64517</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900214</v>
      </c>
      <c r="D6983" s="2" t="str">
        <f t="shared" si="108"/>
        <v>Error?</v>
      </c>
    </row>
    <row r="6984" spans="1:4">
      <c r="A6984">
        <v>6923</v>
      </c>
      <c r="B6984" s="138">
        <f>'Expenditures 15-22'!K86</f>
        <v>900214</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900214</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5733</v>
      </c>
      <c r="D7016" s="2" t="str">
        <f t="shared" si="108"/>
        <v>Error?</v>
      </c>
    </row>
    <row r="7017" spans="1:4">
      <c r="A7017">
        <v>6956</v>
      </c>
      <c r="B7017" s="138">
        <f>'Expenditures 15-22'!K111</f>
        <v>5733</v>
      </c>
      <c r="D7017" s="2" t="str">
        <f t="shared" si="108"/>
        <v>Error?</v>
      </c>
    </row>
    <row r="7018" spans="1:4">
      <c r="A7018">
        <v>6957</v>
      </c>
      <c r="B7018" s="138">
        <f>'Expenditures 15-22'!H112</f>
        <v>5733</v>
      </c>
      <c r="D7018" s="2" t="str">
        <f t="shared" si="108"/>
        <v>Error?</v>
      </c>
    </row>
    <row r="7019" spans="1:4">
      <c r="A7019">
        <v>6958</v>
      </c>
      <c r="B7019" s="138">
        <f>'Expenditures 15-22'!K112</f>
        <v>5733</v>
      </c>
      <c r="D7019" s="2" t="str">
        <f t="shared" si="108"/>
        <v>Error?</v>
      </c>
    </row>
    <row r="7020" spans="1:4">
      <c r="A7020">
        <v>6959</v>
      </c>
      <c r="B7020" s="138">
        <f>'Expenditures 15-22'!I114</f>
        <v>64517</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767913</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938148</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11273</v>
      </c>
      <c r="D7073" s="2" t="str">
        <f t="shared" si="109"/>
        <v>Error?</v>
      </c>
    </row>
    <row r="7074" spans="1:4">
      <c r="A7074">
        <v>7013</v>
      </c>
      <c r="B7074" s="138">
        <f>'Expenditures 15-22'!K216</f>
        <v>11273</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323694</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323694</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1811</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1811</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122360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48</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122408</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280000</v>
      </c>
      <c r="D7172" s="2" t="str">
        <f t="shared" si="111"/>
        <v>Error?</v>
      </c>
    </row>
    <row r="7173" spans="1:4">
      <c r="A7173">
        <v>7112</v>
      </c>
      <c r="B7173" s="138">
        <f>'Expenditures 15-22'!D325</f>
        <v>0</v>
      </c>
      <c r="D7173" s="2" t="str">
        <f t="shared" si="111"/>
        <v>Error?</v>
      </c>
    </row>
    <row r="7174" spans="1:4">
      <c r="A7174">
        <v>7113</v>
      </c>
      <c r="B7174" s="138">
        <f>'Expenditures 15-22'!E325</f>
        <v>40000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320000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280000</v>
      </c>
      <c r="D7199" s="2" t="str">
        <f t="shared" si="111"/>
        <v>Error?</v>
      </c>
    </row>
    <row r="7200" spans="1:4">
      <c r="A7200">
        <v>7139</v>
      </c>
      <c r="B7200" s="138">
        <f>'Expenditures 15-22'!D330</f>
        <v>0</v>
      </c>
      <c r="D7200" s="2" t="str">
        <f t="shared" si="111"/>
        <v>Error?</v>
      </c>
    </row>
    <row r="7201" spans="1:4">
      <c r="A7201">
        <v>7140</v>
      </c>
      <c r="B7201" s="138">
        <f>'Expenditures 15-22'!E330</f>
        <v>487865</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48</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767913</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280000</v>
      </c>
      <c r="D7216" s="2" t="str">
        <f t="shared" si="111"/>
        <v>Error?</v>
      </c>
    </row>
    <row r="7217" spans="1:4">
      <c r="A7217">
        <v>7156</v>
      </c>
      <c r="B7217" s="138">
        <f>'Expenditures 15-22'!D342</f>
        <v>0</v>
      </c>
      <c r="D7217" s="2" t="str">
        <f t="shared" si="111"/>
        <v>Error?</v>
      </c>
    </row>
    <row r="7218" spans="1:4">
      <c r="A7218">
        <v>7157</v>
      </c>
      <c r="B7218" s="138">
        <f>'Expenditures 15-22'!E342</f>
        <v>487865</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48</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767913</v>
      </c>
      <c r="D7224" s="2" t="str">
        <f t="shared" si="111"/>
        <v>Error?</v>
      </c>
    </row>
    <row r="7225" spans="1:4">
      <c r="A7225">
        <v>7164</v>
      </c>
      <c r="B7225" s="138">
        <f>'Expenditures 15-22'!K343</f>
        <v>170235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16236</v>
      </c>
      <c r="D7246" s="2" t="str">
        <f t="shared" si="112"/>
        <v>Error?</v>
      </c>
    </row>
    <row r="7247" spans="1:4">
      <c r="A7247">
        <f t="shared" si="113"/>
        <v>7186</v>
      </c>
      <c r="B7247" s="138">
        <f>'Expenditures 15-22'!E7</f>
        <v>4718</v>
      </c>
      <c r="D7247" s="2" t="str">
        <f t="shared" si="112"/>
        <v>Error?</v>
      </c>
    </row>
    <row r="7248" spans="1:4">
      <c r="A7248">
        <f t="shared" si="113"/>
        <v>7187</v>
      </c>
      <c r="B7248" s="138">
        <f>'Expenditures 15-22'!F7</f>
        <v>11303</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2810893</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2810893</v>
      </c>
      <c r="D7618" s="2" t="str">
        <f t="shared" si="124"/>
        <v>Error?</v>
      </c>
      <c r="E7618" s="2" t="s">
        <v>19</v>
      </c>
    </row>
    <row r="7619" spans="1:5">
      <c r="A7619">
        <f t="shared" si="123"/>
        <v>7558</v>
      </c>
      <c r="B7619" s="138">
        <f>'Cap Outlay Deprec 26'!H14</f>
        <v>2810893</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2810893</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64517</v>
      </c>
      <c r="D7624" s="2" t="str">
        <f t="shared" si="124"/>
        <v>Error?</v>
      </c>
      <c r="E7624" s="2" t="s">
        <v>19</v>
      </c>
    </row>
    <row r="7625" spans="1:5">
      <c r="A7625">
        <f t="shared" si="123"/>
        <v>7564</v>
      </c>
      <c r="B7625" s="138">
        <f>'Cap Outlay Deprec 26'!I17</f>
        <v>6451.7</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1254177.7</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25264</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1071308</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1071308</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67708</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1071308</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1071308</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1071308</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500000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1964</v>
      </c>
    </row>
    <row r="7775" spans="1:5">
      <c r="A7775">
        <v>7714</v>
      </c>
      <c r="B7775" s="138">
        <f>'Expenditures 15-22'!H133</f>
        <v>0</v>
      </c>
      <c r="D7775" s="2" t="str">
        <f t="shared" si="127"/>
        <v>Error?</v>
      </c>
      <c r="E7775" s="4" t="s">
        <v>1964</v>
      </c>
    </row>
    <row r="7776" spans="1:5">
      <c r="A7776">
        <v>7715</v>
      </c>
      <c r="B7776" s="138">
        <f>'Expenditures 15-22'!K133</f>
        <v>0</v>
      </c>
      <c r="D7776" s="2" t="str">
        <f t="shared" si="127"/>
        <v>Error?</v>
      </c>
      <c r="E7776" s="4" t="s">
        <v>1964</v>
      </c>
    </row>
    <row r="7777" spans="1:5">
      <c r="A7777">
        <v>7716</v>
      </c>
      <c r="B7777" s="138">
        <f>'Expenditures 15-22'!H157</f>
        <v>0</v>
      </c>
      <c r="D7777" s="2" t="str">
        <f t="shared" si="127"/>
        <v>Error?</v>
      </c>
      <c r="E7777" s="4" t="s">
        <v>1964</v>
      </c>
    </row>
    <row r="7778" spans="1:5">
      <c r="A7778">
        <v>7717</v>
      </c>
      <c r="B7778" s="138">
        <f>'Expenditures 15-22'!K157</f>
        <v>0</v>
      </c>
      <c r="D7778" s="2" t="str">
        <f t="shared" si="127"/>
        <v>Error?</v>
      </c>
      <c r="E7778" s="4" t="s">
        <v>1964</v>
      </c>
    </row>
    <row r="7779" spans="1:5">
      <c r="A7779">
        <v>7718</v>
      </c>
      <c r="B7779" s="138">
        <f>'Expenditures 15-22'!H158</f>
        <v>0</v>
      </c>
      <c r="D7779" s="2" t="str">
        <f t="shared" si="127"/>
        <v>Error?</v>
      </c>
      <c r="E7779" s="4" t="s">
        <v>1964</v>
      </c>
    </row>
    <row r="7780" spans="1:5">
      <c r="A7780">
        <v>7719</v>
      </c>
      <c r="B7780" s="138">
        <f>'Expenditures 15-22'!K158</f>
        <v>0</v>
      </c>
      <c r="D7780" s="2" t="str">
        <f t="shared" si="127"/>
        <v>Error?</v>
      </c>
      <c r="E7780" s="4" t="s">
        <v>1964</v>
      </c>
    </row>
    <row r="7781" spans="1:5">
      <c r="A7781">
        <v>7720</v>
      </c>
      <c r="B7781" s="138">
        <f>'Expenditures 15-22'!H159</f>
        <v>0</v>
      </c>
      <c r="D7781" s="2" t="str">
        <f t="shared" si="127"/>
        <v>Error?</v>
      </c>
      <c r="E7781" s="4" t="s">
        <v>1964</v>
      </c>
    </row>
    <row r="7782" spans="1:5">
      <c r="A7782">
        <v>7721</v>
      </c>
      <c r="B7782" s="138">
        <f>'Expenditures 15-22'!K159</f>
        <v>0</v>
      </c>
      <c r="D7782" s="2" t="str">
        <f t="shared" si="127"/>
        <v>Error?</v>
      </c>
      <c r="E7782" s="4" t="s">
        <v>1964</v>
      </c>
    </row>
    <row r="7783" spans="1:5">
      <c r="A7783">
        <v>7722</v>
      </c>
      <c r="B7783" s="138">
        <f>'Expenditures 15-22'!D282</f>
        <v>0</v>
      </c>
      <c r="D7783" s="2" t="str">
        <f t="shared" si="127"/>
        <v>Error?</v>
      </c>
      <c r="E7783" s="4" t="s">
        <v>1964</v>
      </c>
    </row>
    <row r="7784" spans="1:5">
      <c r="A7784">
        <v>7723</v>
      </c>
      <c r="B7784" s="138">
        <f>'Expenditures 15-22'!K282</f>
        <v>0</v>
      </c>
      <c r="D7784" s="2" t="str">
        <f t="shared" si="127"/>
        <v>Error?</v>
      </c>
      <c r="E7784" s="4" t="s">
        <v>1964</v>
      </c>
    </row>
    <row r="7785" spans="1:5">
      <c r="A7785">
        <v>7724</v>
      </c>
      <c r="B7785" s="138">
        <f>'Expenditures 15-22'!H332</f>
        <v>0</v>
      </c>
      <c r="D7785" s="2" t="str">
        <f t="shared" si="127"/>
        <v>Error?</v>
      </c>
      <c r="E7785" s="4" t="s">
        <v>1964</v>
      </c>
    </row>
    <row r="7786" spans="1:5">
      <c r="A7786">
        <v>7725</v>
      </c>
      <c r="B7786" s="138">
        <f>'Expenditures 15-22'!K332</f>
        <v>0</v>
      </c>
      <c r="D7786" s="2" t="str">
        <f t="shared" si="127"/>
        <v>Error?</v>
      </c>
      <c r="E7786" s="4" t="s">
        <v>1964</v>
      </c>
    </row>
    <row r="7787" spans="1:5">
      <c r="A7787">
        <v>7726</v>
      </c>
      <c r="B7787" s="138">
        <f>'Expenditures 15-22'!H333</f>
        <v>0</v>
      </c>
      <c r="D7787" s="2" t="str">
        <f t="shared" si="127"/>
        <v>Error?</v>
      </c>
      <c r="E7787" s="4" t="s">
        <v>1964</v>
      </c>
    </row>
    <row r="7788" spans="1:5">
      <c r="A7788">
        <v>7727</v>
      </c>
      <c r="B7788" s="138">
        <f>'Expenditures 15-22'!K333</f>
        <v>0</v>
      </c>
      <c r="D7788" s="2" t="str">
        <f t="shared" si="127"/>
        <v>Error?</v>
      </c>
      <c r="E7788" s="4" t="s">
        <v>1964</v>
      </c>
    </row>
    <row r="7789" spans="1:5">
      <c r="A7789">
        <v>7728</v>
      </c>
      <c r="B7789" s="138">
        <f>'Expenditures 15-22'!H334</f>
        <v>0</v>
      </c>
      <c r="D7789" s="2" t="str">
        <f t="shared" si="127"/>
        <v>Error?</v>
      </c>
      <c r="E7789" s="4" t="s">
        <v>1964</v>
      </c>
    </row>
    <row r="7790" spans="1:5">
      <c r="A7790">
        <v>7729</v>
      </c>
      <c r="B7790" s="138">
        <f>'Expenditures 15-22'!K334</f>
        <v>0</v>
      </c>
      <c r="D7790" s="2" t="str">
        <f t="shared" si="127"/>
        <v>Error?</v>
      </c>
      <c r="E7790" s="4" t="s">
        <v>1964</v>
      </c>
    </row>
    <row r="7791" spans="1:5">
      <c r="A7791">
        <v>7730</v>
      </c>
      <c r="B7791" s="138">
        <f>'Expenditures 15-22'!H354</f>
        <v>0</v>
      </c>
      <c r="D7791" s="2" t="str">
        <f t="shared" si="127"/>
        <v>Error?</v>
      </c>
      <c r="E7791" s="4" t="s">
        <v>1964</v>
      </c>
    </row>
    <row r="7792" spans="1:5">
      <c r="A7792">
        <v>7731</v>
      </c>
      <c r="B7792" s="138">
        <f>'Expenditures 15-22'!K354</f>
        <v>0</v>
      </c>
      <c r="D7792" s="2" t="str">
        <f t="shared" si="127"/>
        <v>Error?</v>
      </c>
      <c r="E7792" s="4" t="s">
        <v>1964</v>
      </c>
    </row>
    <row r="7793" spans="1:5">
      <c r="A7793">
        <v>7732</v>
      </c>
      <c r="B7793" s="138">
        <f>'Expenditures 15-22'!H355</f>
        <v>0</v>
      </c>
      <c r="D7793" s="2" t="str">
        <f t="shared" si="127"/>
        <v>Error?</v>
      </c>
      <c r="E7793" s="4" t="s">
        <v>1964</v>
      </c>
    </row>
    <row r="7794" spans="1:5">
      <c r="A7794">
        <v>7733</v>
      </c>
      <c r="B7794" s="138">
        <f>'Expenditures 15-22'!K355</f>
        <v>0</v>
      </c>
      <c r="D7794" s="2" t="str">
        <f t="shared" si="127"/>
        <v>Error?</v>
      </c>
      <c r="E7794" s="4" t="s">
        <v>1964</v>
      </c>
    </row>
    <row r="7795" spans="1:5">
      <c r="A7795">
        <v>7734</v>
      </c>
      <c r="B7795" s="138">
        <f>'Expenditures 15-22'!E138</f>
        <v>0</v>
      </c>
      <c r="D7795" s="2" t="str">
        <f t="shared" si="127"/>
        <v>Error?</v>
      </c>
      <c r="E7795" s="4" t="s">
        <v>1964</v>
      </c>
    </row>
    <row r="7796" spans="1:5">
      <c r="A7796">
        <v>7735</v>
      </c>
      <c r="B7796" s="138">
        <f>'Acct Summary 7-8'!J15</f>
        <v>0</v>
      </c>
      <c r="D7796" s="2" t="str">
        <f t="shared" si="127"/>
        <v>Error?</v>
      </c>
      <c r="E7796" s="4" t="s">
        <v>1964</v>
      </c>
    </row>
    <row r="7797" spans="1:5">
      <c r="A7797">
        <v>7736</v>
      </c>
      <c r="B7797" s="138">
        <f>'Contracts Paid in CY 29'!D141</f>
        <v>0.1</v>
      </c>
      <c r="D7797" s="2" t="str">
        <f t="shared" si="127"/>
        <v>Error?</v>
      </c>
      <c r="E7797" s="4" t="s">
        <v>2017</v>
      </c>
    </row>
    <row r="7798" spans="1:5">
      <c r="A7798">
        <v>7737</v>
      </c>
      <c r="B7798" s="138">
        <f>'Contracts Paid in CY 29'!F141</f>
        <v>0</v>
      </c>
      <c r="D7798" s="2" t="str">
        <f t="shared" si="127"/>
        <v>Error?</v>
      </c>
      <c r="E7798" s="4" t="s">
        <v>2017</v>
      </c>
    </row>
    <row r="7799" spans="1:5">
      <c r="A7799">
        <v>7738</v>
      </c>
      <c r="B7799" s="138">
        <f>'Contracts Paid in CY 29'!G141</f>
        <v>0</v>
      </c>
      <c r="D7799" s="2" t="str">
        <f t="shared" si="127"/>
        <v>Error?</v>
      </c>
      <c r="E7799" s="4" t="s">
        <v>2017</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9" zoomScaleNormal="100" workbookViewId="0"/>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82" t="s">
        <v>1253</v>
      </c>
      <c r="B2" s="2482"/>
      <c r="C2" s="2482"/>
      <c r="D2" s="2482"/>
      <c r="E2" s="2482"/>
      <c r="F2" s="2482"/>
      <c r="G2" s="2482"/>
      <c r="H2" s="2482"/>
      <c r="I2" s="2482"/>
      <c r="J2" s="2482"/>
      <c r="K2" s="2482"/>
      <c r="L2" s="2482"/>
    </row>
    <row r="3" spans="1:29" ht="13.5" customHeight="1">
      <c r="A3" s="2468" t="s">
        <v>1252</v>
      </c>
      <c r="B3" s="2468"/>
      <c r="C3" s="2468"/>
      <c r="D3" s="2468"/>
      <c r="E3" s="2468"/>
      <c r="F3" s="2468"/>
      <c r="G3" s="2468"/>
      <c r="H3" s="2468"/>
      <c r="I3" s="2468"/>
      <c r="J3" s="2468"/>
      <c r="K3" s="2468"/>
      <c r="L3" s="2468"/>
    </row>
    <row r="4" spans="1:29" ht="13.5" customHeight="1">
      <c r="A4" s="2482" t="s">
        <v>1799</v>
      </c>
      <c r="B4" s="2499"/>
      <c r="C4" s="2499"/>
      <c r="D4" s="2499"/>
      <c r="E4" s="2499"/>
      <c r="F4" s="2499"/>
      <c r="G4" s="2499"/>
      <c r="H4" s="2499"/>
      <c r="I4" s="2499"/>
      <c r="J4" s="2499"/>
      <c r="K4" s="2499"/>
      <c r="L4" s="2499"/>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62" t="str">
        <f>COVER!A17</f>
        <v>East Moline SD 37</v>
      </c>
      <c r="B7" s="2463"/>
      <c r="C7" s="2463"/>
      <c r="D7" s="2500"/>
      <c r="E7" s="2501">
        <f>COVER!A13</f>
        <v>49081037002</v>
      </c>
      <c r="F7" s="2502"/>
      <c r="G7" s="2469" t="str">
        <f>COVER!T23</f>
        <v>066-004023</v>
      </c>
      <c r="H7" s="2470"/>
      <c r="I7" s="2470"/>
      <c r="J7" s="2470"/>
      <c r="K7" s="2470"/>
      <c r="L7" s="2471"/>
    </row>
    <row r="8" spans="1:29" ht="13.5" customHeight="1">
      <c r="A8" s="1184" t="s">
        <v>1597</v>
      </c>
      <c r="B8" s="1185"/>
      <c r="C8" s="1186"/>
      <c r="D8" s="1186"/>
      <c r="E8" s="1191"/>
      <c r="F8" s="1190"/>
      <c r="G8" s="1192" t="s">
        <v>1248</v>
      </c>
      <c r="H8" s="1193"/>
      <c r="I8" s="1193"/>
      <c r="J8" s="1193"/>
      <c r="K8" s="1193"/>
      <c r="L8" s="1194"/>
    </row>
    <row r="9" spans="1:29" ht="13.5" customHeight="1">
      <c r="A9" s="2472"/>
      <c r="B9" s="2473"/>
      <c r="C9" s="2473"/>
      <c r="D9" s="2473"/>
      <c r="E9" s="2473"/>
      <c r="F9" s="2474"/>
      <c r="G9" s="2475" t="str">
        <f>COVER!T13</f>
        <v>Wipfli LLP</v>
      </c>
      <c r="H9" s="2476"/>
      <c r="I9" s="2476"/>
      <c r="J9" s="2476"/>
      <c r="K9" s="2476"/>
      <c r="L9" s="2477"/>
    </row>
    <row r="10" spans="1:29" ht="13.5" customHeight="1">
      <c r="A10" s="2459" t="str">
        <f>COVER!A38</f>
        <v>Kristin Humphries</v>
      </c>
      <c r="B10" s="2460"/>
      <c r="C10" s="2460"/>
      <c r="D10" s="2460"/>
      <c r="E10" s="2460"/>
      <c r="F10" s="2461"/>
      <c r="G10" s="2475" t="str">
        <f>COVER!T17</f>
        <v>403 East Third</v>
      </c>
      <c r="H10" s="2488"/>
      <c r="I10" s="2488"/>
      <c r="J10" s="2488"/>
      <c r="K10" s="2488"/>
      <c r="L10" s="2489"/>
    </row>
    <row r="11" spans="1:29" ht="13.5" customHeight="1">
      <c r="A11" s="1184" t="s">
        <v>1599</v>
      </c>
      <c r="B11" s="1185"/>
      <c r="C11" s="1186"/>
      <c r="D11" s="1191"/>
      <c r="E11" s="1186"/>
      <c r="F11" s="1190"/>
      <c r="G11" s="2475" t="str">
        <f>COVER!T19</f>
        <v>Sterling</v>
      </c>
      <c r="H11" s="2488"/>
      <c r="I11" s="2488"/>
      <c r="J11" s="2488"/>
      <c r="K11" s="2488"/>
      <c r="L11" s="2489"/>
    </row>
    <row r="12" spans="1:29" ht="13.5" customHeight="1">
      <c r="A12" s="2493" t="s">
        <v>1598</v>
      </c>
      <c r="B12" s="2494"/>
      <c r="C12" s="2494"/>
      <c r="D12" s="2494"/>
      <c r="E12" s="2494"/>
      <c r="F12" s="2495"/>
      <c r="G12" s="2490"/>
      <c r="H12" s="2491"/>
      <c r="I12" s="2491"/>
      <c r="J12" s="2491"/>
      <c r="K12" s="2491"/>
      <c r="L12" s="2492"/>
    </row>
    <row r="13" spans="1:29" ht="13.5" customHeight="1">
      <c r="A13" s="2475"/>
      <c r="B13" s="2488"/>
      <c r="C13" s="2488"/>
      <c r="D13" s="2488"/>
      <c r="E13" s="2488"/>
      <c r="F13" s="2489"/>
      <c r="G13" s="2483" t="s">
        <v>1600</v>
      </c>
      <c r="H13" s="2484"/>
      <c r="I13" s="2496" t="str">
        <f>COVER!T25</f>
        <v>mschueler@wipfli.com</v>
      </c>
      <c r="J13" s="2497"/>
      <c r="K13" s="2497"/>
      <c r="L13" s="2498"/>
    </row>
    <row r="14" spans="1:29" ht="13.5" customHeight="1">
      <c r="A14" s="2475" t="str">
        <f>COVER!A19</f>
        <v>3451 Morton Drive</v>
      </c>
      <c r="B14" s="2488"/>
      <c r="C14" s="2488"/>
      <c r="D14" s="2488"/>
      <c r="E14" s="2488"/>
      <c r="F14" s="2489"/>
      <c r="G14" s="1195" t="s">
        <v>1247</v>
      </c>
      <c r="H14" s="1193"/>
      <c r="I14" s="1193"/>
      <c r="J14" s="1193"/>
      <c r="K14" s="1193"/>
      <c r="L14" s="1194"/>
    </row>
    <row r="15" spans="1:29" ht="13.5" customHeight="1">
      <c r="A15" s="2475" t="str">
        <f>COVER!A21</f>
        <v xml:space="preserve">East Moline </v>
      </c>
      <c r="B15" s="2488"/>
      <c r="C15" s="2488"/>
      <c r="D15" s="2488"/>
      <c r="E15" s="2488"/>
      <c r="F15" s="2489"/>
      <c r="G15" s="2485" t="str">
        <f>COVER!T15</f>
        <v>Matthew Schueler</v>
      </c>
      <c r="H15" s="2486"/>
      <c r="I15" s="2486"/>
      <c r="J15" s="2486"/>
      <c r="K15" s="2486"/>
      <c r="L15" s="2487"/>
    </row>
    <row r="16" spans="1:29" ht="12.2" customHeight="1">
      <c r="A16" s="2465">
        <f>COVER!A25</f>
        <v>61244</v>
      </c>
      <c r="B16" s="2466"/>
      <c r="C16" s="2466"/>
      <c r="D16" s="2466"/>
      <c r="E16" s="2466"/>
      <c r="F16" s="2467"/>
      <c r="G16" s="2478"/>
      <c r="H16" s="2479"/>
      <c r="I16" s="2479"/>
      <c r="J16" s="2479"/>
      <c r="K16" s="2479"/>
      <c r="L16" s="2480"/>
    </row>
    <row r="17" spans="1:13" ht="12.2" customHeight="1">
      <c r="A17" s="2481"/>
      <c r="B17" s="2466"/>
      <c r="C17" s="2466"/>
      <c r="D17" s="2466"/>
      <c r="E17" s="2466"/>
      <c r="F17" s="2467"/>
      <c r="G17" s="1195" t="s">
        <v>1246</v>
      </c>
      <c r="H17" s="1193"/>
      <c r="I17" s="1193"/>
      <c r="J17" s="1193"/>
      <c r="K17" s="1197" t="s">
        <v>1245</v>
      </c>
      <c r="L17" s="1190"/>
      <c r="M17" s="1183"/>
    </row>
    <row r="18" spans="1:13" ht="12.2" customHeight="1">
      <c r="A18" s="2459"/>
      <c r="B18" s="2460"/>
      <c r="C18" s="2460"/>
      <c r="D18" s="2460"/>
      <c r="E18" s="2460"/>
      <c r="F18" s="2461"/>
      <c r="G18" s="2462" t="str">
        <f>COVER!T21</f>
        <v>815-626-1277</v>
      </c>
      <c r="H18" s="2463"/>
      <c r="I18" s="2463"/>
      <c r="J18" s="2463"/>
      <c r="K18" s="2462" t="str">
        <f>COVER!X21</f>
        <v>815-626-9118</v>
      </c>
      <c r="L18" s="2464"/>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1800</v>
      </c>
    </row>
    <row r="22" spans="1:13" ht="12.2" customHeight="1">
      <c r="A22" s="1200"/>
    </row>
    <row r="23" spans="1:13" ht="12.2" customHeight="1">
      <c r="A23" s="1200"/>
      <c r="B23" s="1201" t="s">
        <v>2204</v>
      </c>
      <c r="C23" s="1202" t="s">
        <v>1244</v>
      </c>
    </row>
    <row r="24" spans="1:13" ht="10.15" customHeight="1">
      <c r="A24" s="1200"/>
      <c r="C24" s="1202" t="s">
        <v>1243</v>
      </c>
    </row>
    <row r="25" spans="1:13" ht="9" customHeight="1">
      <c r="B25" s="1203" t="s">
        <v>1231</v>
      </c>
      <c r="C25" s="1204"/>
    </row>
    <row r="26" spans="1:13" s="1198" customFormat="1" ht="12.2" customHeight="1">
      <c r="B26" s="1201" t="s">
        <v>2204</v>
      </c>
      <c r="C26" s="1202" t="s">
        <v>1801</v>
      </c>
    </row>
    <row r="27" spans="1:13" s="1198" customFormat="1" ht="9" customHeight="1">
      <c r="B27" s="1203"/>
      <c r="C27" s="1202"/>
    </row>
    <row r="28" spans="1:13" s="1198" customFormat="1" ht="12.2" customHeight="1">
      <c r="A28" s="1205"/>
      <c r="B28" s="1201" t="s">
        <v>2204</v>
      </c>
      <c r="C28" s="1202" t="s">
        <v>1802</v>
      </c>
    </row>
    <row r="29" spans="1:13" s="1198" customFormat="1" ht="9" customHeight="1">
      <c r="A29" s="1205"/>
      <c r="B29" s="1203"/>
      <c r="C29" s="1202"/>
    </row>
    <row r="30" spans="1:13" s="1198" customFormat="1" ht="12.2" customHeight="1">
      <c r="B30" s="1201" t="s">
        <v>2204</v>
      </c>
      <c r="C30" s="1202" t="s">
        <v>1643</v>
      </c>
      <c r="D30" s="1196"/>
      <c r="E30" s="1196"/>
    </row>
    <row r="31" spans="1:13" s="1198" customFormat="1" ht="9" customHeight="1">
      <c r="B31" s="1203"/>
      <c r="C31" s="1202"/>
      <c r="D31" s="1196"/>
      <c r="E31" s="1196"/>
    </row>
    <row r="32" spans="1:13" s="1198" customFormat="1" ht="12.2" customHeight="1">
      <c r="B32" s="1201" t="s">
        <v>2204</v>
      </c>
      <c r="C32" s="1202" t="s">
        <v>1644</v>
      </c>
      <c r="D32" s="1196"/>
      <c r="E32" s="1196"/>
    </row>
    <row r="33" spans="1:8" s="1198" customFormat="1" ht="10.9" customHeight="1">
      <c r="B33" s="1203"/>
      <c r="C33" s="1206" t="s">
        <v>1803</v>
      </c>
      <c r="D33" s="1196"/>
      <c r="E33" s="1196"/>
    </row>
    <row r="34" spans="1:8" ht="9" customHeight="1">
      <c r="B34" s="1203"/>
      <c r="C34" s="1206"/>
    </row>
    <row r="35" spans="1:8" s="1198" customFormat="1" ht="13.5" customHeight="1">
      <c r="B35" s="1201" t="s">
        <v>2204</v>
      </c>
      <c r="C35" s="1202" t="s">
        <v>1645</v>
      </c>
    </row>
    <row r="36" spans="1:8" s="1198" customFormat="1" ht="10.9" customHeight="1">
      <c r="B36" s="1203"/>
      <c r="C36" s="1206" t="s">
        <v>1646</v>
      </c>
    </row>
    <row r="37" spans="1:8" ht="9" customHeight="1">
      <c r="B37" s="1203"/>
      <c r="C37" s="1206"/>
    </row>
    <row r="38" spans="1:8" s="1198" customFormat="1" ht="12.2" customHeight="1">
      <c r="B38" s="1201" t="s">
        <v>2204</v>
      </c>
      <c r="C38" s="1202" t="s">
        <v>1647</v>
      </c>
    </row>
    <row r="39" spans="1:8" ht="9" customHeight="1">
      <c r="B39" s="1203"/>
      <c r="C39" s="1206"/>
    </row>
    <row r="40" spans="1:8" s="1198" customFormat="1" ht="13.5" customHeight="1">
      <c r="B40" s="1201" t="s">
        <v>2204</v>
      </c>
      <c r="C40" s="1202" t="s">
        <v>1648</v>
      </c>
    </row>
    <row r="41" spans="1:8" ht="9" customHeight="1">
      <c r="A41" s="1207"/>
      <c r="B41" s="1203"/>
      <c r="C41" s="1206"/>
    </row>
    <row r="42" spans="1:8" s="1198" customFormat="1" ht="13.5" customHeight="1">
      <c r="B42" s="1201" t="s">
        <v>2204</v>
      </c>
      <c r="C42" s="1202" t="s">
        <v>1944</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t="s">
        <v>2204</v>
      </c>
      <c r="C46" s="1209" t="s">
        <v>1649</v>
      </c>
      <c r="D46" s="1196"/>
      <c r="E46" s="1196"/>
      <c r="F46" s="1196"/>
      <c r="G46" s="1196"/>
      <c r="H46" s="1196"/>
    </row>
    <row r="47" spans="1:8" ht="9" customHeight="1"/>
    <row r="48" spans="1:8" ht="12.2" customHeight="1">
      <c r="B48" s="1210"/>
      <c r="C48" s="1211" t="s">
        <v>1650</v>
      </c>
    </row>
    <row r="49" spans="1:12" ht="9" customHeight="1"/>
    <row r="50" spans="1:12" ht="6" customHeight="1">
      <c r="C50" s="1211"/>
    </row>
    <row r="51" spans="1:12" ht="12.2" customHeight="1">
      <c r="A51" s="1213" t="s">
        <v>1804</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8" zoomScaleNormal="100" workbookViewId="0"/>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503" t="str">
        <f>'Single Audit Cover'!A7</f>
        <v>East Moline SD 37</v>
      </c>
      <c r="B1" s="2499"/>
      <c r="C1" s="2499"/>
      <c r="D1" s="2499"/>
    </row>
    <row r="2" spans="1:11" s="1214" customFormat="1" ht="12.75">
      <c r="A2" s="2504">
        <f>'Single Audit Cover'!E7</f>
        <v>49081037002</v>
      </c>
      <c r="B2" s="2505"/>
      <c r="C2" s="2505"/>
      <c r="D2" s="2505"/>
    </row>
    <row r="3" spans="1:11" s="1214" customFormat="1" ht="12.75">
      <c r="A3" s="2503" t="s">
        <v>1593</v>
      </c>
      <c r="B3" s="2499"/>
      <c r="C3" s="2499"/>
      <c r="D3" s="2499"/>
    </row>
    <row r="4" spans="1:11" s="1214" customFormat="1" ht="4.5" customHeight="1">
      <c r="A4" s="1215"/>
      <c r="B4" s="1216"/>
      <c r="C4" s="1216"/>
      <c r="D4" s="1216"/>
    </row>
    <row r="5" spans="1:11">
      <c r="B5" s="1218" t="s">
        <v>1594</v>
      </c>
      <c r="C5" s="1219"/>
      <c r="D5" s="1220"/>
    </row>
    <row r="6" spans="1:11">
      <c r="B6" s="1218" t="s">
        <v>1287</v>
      </c>
      <c r="C6" s="1219"/>
      <c r="D6" s="1220"/>
    </row>
    <row r="7" spans="1:11">
      <c r="B7" s="1218" t="s">
        <v>1595</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t="s">
        <v>2204</v>
      </c>
      <c r="C11" s="1225">
        <v>1</v>
      </c>
      <c r="D11" s="1226" t="s">
        <v>1805</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t="s">
        <v>2204</v>
      </c>
      <c r="C13" s="1225">
        <f>C11+1</f>
        <v>2</v>
      </c>
      <c r="D13" s="1229" t="s">
        <v>1806</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t="s">
        <v>2204</v>
      </c>
      <c r="C15" s="1225">
        <f>C13+1</f>
        <v>3</v>
      </c>
      <c r="D15" s="1226" t="s">
        <v>1807</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t="s">
        <v>2204</v>
      </c>
      <c r="C18" s="1225">
        <f>C15+1</f>
        <v>4</v>
      </c>
      <c r="D18" s="1232" t="s">
        <v>1808</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t="s">
        <v>2204</v>
      </c>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t="s">
        <v>2204</v>
      </c>
      <c r="C24" s="1225">
        <f>C21+1</f>
        <v>6</v>
      </c>
      <c r="D24" s="1233" t="s">
        <v>1829</v>
      </c>
      <c r="E24" s="1227"/>
      <c r="F24" s="1227"/>
      <c r="G24" s="1227"/>
      <c r="H24" s="1227"/>
      <c r="I24" s="1227"/>
      <c r="J24" s="1227"/>
      <c r="K24" s="1227"/>
    </row>
    <row r="25" spans="1:11">
      <c r="A25" s="1221"/>
      <c r="B25" s="1230"/>
      <c r="D25" s="1229" t="s">
        <v>1809</v>
      </c>
      <c r="E25" s="1227"/>
      <c r="F25" s="1227"/>
      <c r="G25" s="1227"/>
      <c r="H25" s="1227"/>
      <c r="I25" s="1227"/>
      <c r="J25" s="1227"/>
      <c r="K25" s="1227"/>
    </row>
    <row r="26" spans="1:11">
      <c r="A26" s="1221"/>
      <c r="B26" s="1230"/>
      <c r="D26" s="1234" t="s">
        <v>1810</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t="s">
        <v>2204</v>
      </c>
      <c r="C28" s="1231">
        <f>C24+1</f>
        <v>7</v>
      </c>
      <c r="D28" s="1234" t="s">
        <v>1651</v>
      </c>
      <c r="E28" s="1227"/>
      <c r="F28" s="1227"/>
      <c r="G28" s="1227"/>
      <c r="H28" s="1227"/>
      <c r="I28" s="1227"/>
      <c r="J28" s="1227"/>
      <c r="K28" s="1227"/>
    </row>
    <row r="29" spans="1:11" ht="10.5" customHeight="1">
      <c r="A29" s="1221"/>
      <c r="D29" s="1235" t="s">
        <v>1652</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t="s">
        <v>2204</v>
      </c>
      <c r="C33" s="1225">
        <v>8</v>
      </c>
      <c r="D33" s="1236" t="s">
        <v>1280</v>
      </c>
    </row>
    <row r="34" spans="1:5" ht="10.5" customHeight="1">
      <c r="A34" s="1221"/>
      <c r="B34" s="1237"/>
      <c r="C34" s="1225"/>
      <c r="D34" s="1236" t="s">
        <v>1653</v>
      </c>
    </row>
    <row r="35" spans="1:5" ht="3" customHeight="1">
      <c r="A35" s="1221"/>
      <c r="B35" s="1230"/>
      <c r="D35" s="1220"/>
    </row>
    <row r="36" spans="1:5">
      <c r="A36" s="1221"/>
      <c r="B36" s="1224" t="s">
        <v>2204</v>
      </c>
      <c r="C36" s="1225">
        <f>C33+1</f>
        <v>9</v>
      </c>
      <c r="D36" s="1236" t="s">
        <v>1279</v>
      </c>
    </row>
    <row r="37" spans="1:5" ht="10.5" customHeight="1">
      <c r="A37" s="1221"/>
      <c r="B37" s="1230"/>
      <c r="D37" s="1236" t="s">
        <v>1653</v>
      </c>
    </row>
    <row r="38" spans="1:5" ht="3" customHeight="1">
      <c r="A38" s="1221"/>
      <c r="B38" s="1238"/>
      <c r="C38" s="1239"/>
      <c r="D38" s="1220"/>
    </row>
    <row r="39" spans="1:5">
      <c r="A39" s="1221"/>
      <c r="B39" s="1240" t="s">
        <v>2204</v>
      </c>
      <c r="C39" s="1231">
        <f>C36+1</f>
        <v>10</v>
      </c>
      <c r="D39" s="1220" t="s">
        <v>1278</v>
      </c>
    </row>
    <row r="40" spans="1:5" ht="10.5" customHeight="1">
      <c r="A40" s="1221"/>
      <c r="B40" s="1241"/>
      <c r="C40" s="1239"/>
      <c r="D40" s="1220" t="s">
        <v>1654</v>
      </c>
    </row>
    <row r="41" spans="1:5" ht="3" customHeight="1">
      <c r="A41" s="1221"/>
      <c r="B41" s="1238"/>
      <c r="C41" s="1239"/>
      <c r="D41" s="1220"/>
    </row>
    <row r="42" spans="1:5" ht="10.5" customHeight="1">
      <c r="A42" s="1221"/>
      <c r="B42" s="1240" t="s">
        <v>2204</v>
      </c>
      <c r="C42" s="1231">
        <v>11</v>
      </c>
      <c r="D42" s="1242" t="s">
        <v>1655</v>
      </c>
      <c r="E42" s="312"/>
    </row>
    <row r="43" spans="1:5" ht="3" customHeight="1">
      <c r="A43" s="1221"/>
      <c r="B43" s="1238"/>
      <c r="C43" s="1239"/>
      <c r="D43" s="1220"/>
    </row>
    <row r="44" spans="1:5">
      <c r="A44" s="1221"/>
      <c r="B44" s="1224" t="s">
        <v>2204</v>
      </c>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t="s">
        <v>2204</v>
      </c>
      <c r="C48" s="1225">
        <f>C44+1</f>
        <v>13</v>
      </c>
      <c r="D48" s="1236" t="s">
        <v>1656</v>
      </c>
    </row>
    <row r="49" spans="1:4" ht="3" customHeight="1">
      <c r="A49" s="1221"/>
      <c r="B49" s="1228"/>
      <c r="C49" s="1225"/>
      <c r="D49" s="1236"/>
    </row>
    <row r="50" spans="1:4">
      <c r="A50" s="1221"/>
      <c r="B50" s="1224" t="s">
        <v>2204</v>
      </c>
      <c r="C50" s="1225">
        <f>C48+1</f>
        <v>14</v>
      </c>
      <c r="D50" s="1236" t="s">
        <v>1274</v>
      </c>
    </row>
    <row r="51" spans="1:4" ht="3" customHeight="1">
      <c r="A51" s="1221"/>
      <c r="B51" s="1228"/>
      <c r="C51" s="1225"/>
      <c r="D51" s="1236"/>
    </row>
    <row r="52" spans="1:4">
      <c r="A52" s="1221"/>
      <c r="B52" s="1224" t="s">
        <v>2204</v>
      </c>
      <c r="C52" s="1225">
        <f>C50+1</f>
        <v>15</v>
      </c>
      <c r="D52" s="1236" t="s">
        <v>1273</v>
      </c>
    </row>
    <row r="53" spans="1:4" ht="3" customHeight="1">
      <c r="A53" s="1221"/>
      <c r="B53" s="1228"/>
      <c r="C53" s="1225"/>
      <c r="D53" s="1236"/>
    </row>
    <row r="54" spans="1:4">
      <c r="A54" s="1221"/>
      <c r="B54" s="1224" t="s">
        <v>2204</v>
      </c>
      <c r="C54" s="1225">
        <f>C52+1</f>
        <v>16</v>
      </c>
      <c r="D54" s="1236" t="s">
        <v>1272</v>
      </c>
    </row>
    <row r="55" spans="1:4" ht="3" customHeight="1">
      <c r="A55" s="1221"/>
      <c r="B55" s="1228"/>
      <c r="C55" s="1225"/>
      <c r="D55" s="1236"/>
    </row>
    <row r="56" spans="1:4">
      <c r="A56" s="1221"/>
      <c r="B56" s="1224" t="s">
        <v>2204</v>
      </c>
      <c r="C56" s="1225">
        <f>C54+1</f>
        <v>17</v>
      </c>
      <c r="D56" s="1220" t="s">
        <v>1811</v>
      </c>
    </row>
    <row r="57" spans="1:4" ht="10.5" customHeight="1">
      <c r="A57" s="1221"/>
      <c r="D57" s="1236" t="s">
        <v>1812</v>
      </c>
    </row>
    <row r="58" spans="1:4">
      <c r="A58" s="1221"/>
      <c r="C58" s="1243" t="s">
        <v>2204</v>
      </c>
      <c r="D58" s="1236" t="s">
        <v>1813</v>
      </c>
    </row>
    <row r="59" spans="1:4" ht="10.5" customHeight="1">
      <c r="A59" s="1221"/>
      <c r="D59" s="1220" t="s">
        <v>1271</v>
      </c>
    </row>
    <row r="60" spans="1:4" ht="10.5" customHeight="1">
      <c r="A60" s="1221"/>
      <c r="D60" s="1244" t="s">
        <v>1681</v>
      </c>
    </row>
    <row r="61" spans="1:4" ht="10.5" customHeight="1">
      <c r="A61" s="1221"/>
      <c r="C61" s="1243" t="s">
        <v>2204</v>
      </c>
      <c r="D61" s="1236" t="s">
        <v>1814</v>
      </c>
    </row>
    <row r="62" spans="1:4" ht="10.5" customHeight="1">
      <c r="A62" s="1221"/>
      <c r="D62" s="1245" t="s">
        <v>1270</v>
      </c>
    </row>
    <row r="63" spans="1:4" ht="10.5" customHeight="1">
      <c r="A63" s="1221"/>
      <c r="D63" s="1220" t="s">
        <v>1657</v>
      </c>
    </row>
    <row r="64" spans="1:4" ht="10.5" customHeight="1">
      <c r="A64" s="1221"/>
      <c r="D64" s="1244" t="s">
        <v>1680</v>
      </c>
    </row>
    <row r="65" spans="1:4">
      <c r="A65" s="1221"/>
      <c r="C65" s="1243" t="s">
        <v>2204</v>
      </c>
      <c r="D65" s="1236" t="s">
        <v>1815</v>
      </c>
    </row>
    <row r="66" spans="1:4" ht="10.5" customHeight="1">
      <c r="A66" s="1221"/>
      <c r="D66" s="1246" t="s">
        <v>1269</v>
      </c>
    </row>
    <row r="67" spans="1:4" ht="10.5" customHeight="1">
      <c r="A67" s="1221"/>
      <c r="D67" s="1220" t="s">
        <v>1658</v>
      </c>
    </row>
    <row r="68" spans="1:4" ht="10.5" customHeight="1">
      <c r="A68" s="1221"/>
      <c r="D68" s="1244" t="s">
        <v>1680</v>
      </c>
    </row>
    <row r="69" spans="1:4" ht="10.5" customHeight="1">
      <c r="A69" s="1221"/>
      <c r="C69" s="1243" t="s">
        <v>2204</v>
      </c>
      <c r="D69" s="1236" t="s">
        <v>1816</v>
      </c>
    </row>
    <row r="70" spans="1:4">
      <c r="A70" s="1221"/>
      <c r="D70" s="1245" t="s">
        <v>1268</v>
      </c>
    </row>
    <row r="71" spans="1:4" ht="3" customHeight="1">
      <c r="A71" s="1221"/>
      <c r="D71" s="1220"/>
    </row>
    <row r="72" spans="1:4">
      <c r="A72" s="1221"/>
      <c r="B72" s="1224" t="s">
        <v>2204</v>
      </c>
      <c r="C72" s="1225">
        <f>C56+1</f>
        <v>18</v>
      </c>
      <c r="D72" s="1246" t="s">
        <v>1817</v>
      </c>
    </row>
    <row r="73" spans="1:4" ht="3" customHeight="1">
      <c r="A73" s="1221"/>
      <c r="B73" s="1228"/>
      <c r="C73" s="1225"/>
      <c r="D73" s="1246"/>
    </row>
    <row r="74" spans="1:4">
      <c r="A74" s="1221"/>
      <c r="B74" s="1224" t="s">
        <v>2204</v>
      </c>
      <c r="C74" s="1225">
        <f>C72+1</f>
        <v>19</v>
      </c>
      <c r="D74" s="1236" t="s">
        <v>1267</v>
      </c>
    </row>
    <row r="75" spans="1:4" ht="3" customHeight="1">
      <c r="A75" s="1221"/>
      <c r="B75" s="1228"/>
      <c r="C75" s="1225"/>
      <c r="D75" s="1236"/>
    </row>
    <row r="76" spans="1:4">
      <c r="A76" s="1221"/>
      <c r="B76" s="1224" t="s">
        <v>2204</v>
      </c>
      <c r="C76" s="1225">
        <f>C74+1</f>
        <v>20</v>
      </c>
      <c r="D76" s="1247" t="s">
        <v>1818</v>
      </c>
    </row>
    <row r="77" spans="1:4" ht="3" customHeight="1">
      <c r="A77" s="1221"/>
      <c r="B77" s="1228"/>
      <c r="C77" s="1225"/>
      <c r="D77" s="1247"/>
    </row>
    <row r="78" spans="1:4">
      <c r="A78" s="1221"/>
      <c r="B78" s="1224" t="s">
        <v>2204</v>
      </c>
      <c r="C78" s="1225">
        <f>C76+1</f>
        <v>21</v>
      </c>
      <c r="D78" s="1220" t="s">
        <v>1819</v>
      </c>
    </row>
    <row r="79" spans="1:4" ht="3" customHeight="1">
      <c r="A79" s="1221"/>
      <c r="B79" s="1228"/>
      <c r="C79" s="1225"/>
      <c r="D79" s="1220"/>
    </row>
    <row r="80" spans="1:4">
      <c r="A80" s="1221"/>
      <c r="B80" s="1224" t="s">
        <v>2204</v>
      </c>
      <c r="C80" s="1225">
        <f>C78+1</f>
        <v>22</v>
      </c>
      <c r="D80" s="1248" t="s">
        <v>1820</v>
      </c>
    </row>
    <row r="81" spans="1:4" ht="3" customHeight="1">
      <c r="A81" s="1221"/>
      <c r="B81" s="1228"/>
      <c r="C81" s="1225"/>
      <c r="D81" s="1248"/>
    </row>
    <row r="82" spans="1:4">
      <c r="A82" s="1221"/>
      <c r="B82" s="1224" t="s">
        <v>2204</v>
      </c>
      <c r="C82" s="1225">
        <f>C80+1</f>
        <v>23</v>
      </c>
      <c r="D82" s="1247" t="s">
        <v>1821</v>
      </c>
    </row>
    <row r="83" spans="1:4" ht="10.5" customHeight="1">
      <c r="A83" s="1221"/>
      <c r="B83" s="1230"/>
      <c r="D83" s="1236" t="s">
        <v>1266</v>
      </c>
    </row>
    <row r="84" spans="1:4" ht="3" customHeight="1">
      <c r="A84" s="1221"/>
      <c r="B84" s="1230"/>
      <c r="D84" s="1236"/>
    </row>
    <row r="85" spans="1:4">
      <c r="A85" s="1221"/>
      <c r="B85" s="1224" t="s">
        <v>2204</v>
      </c>
      <c r="C85" s="1225">
        <f>C82+1</f>
        <v>24</v>
      </c>
      <c r="D85" s="1236" t="s">
        <v>1265</v>
      </c>
    </row>
    <row r="86" spans="1:4" ht="3" customHeight="1">
      <c r="A86" s="1221"/>
      <c r="B86" s="1228"/>
      <c r="C86" s="1225"/>
      <c r="D86" s="1236"/>
    </row>
    <row r="87" spans="1:4">
      <c r="A87" s="1221"/>
      <c r="B87" s="1224" t="s">
        <v>2204</v>
      </c>
      <c r="C87" s="1225">
        <f>C85+1</f>
        <v>25</v>
      </c>
      <c r="D87" s="1236" t="s">
        <v>1264</v>
      </c>
    </row>
    <row r="88" spans="1:4" ht="3" customHeight="1">
      <c r="A88" s="1221"/>
      <c r="B88" s="1228"/>
      <c r="C88" s="1225"/>
      <c r="D88" s="1236"/>
    </row>
    <row r="89" spans="1:4">
      <c r="A89" s="1221"/>
      <c r="B89" s="1224" t="s">
        <v>2204</v>
      </c>
      <c r="C89" s="1225">
        <f>C87+1</f>
        <v>26</v>
      </c>
      <c r="D89" s="1236" t="s">
        <v>1263</v>
      </c>
    </row>
    <row r="90" spans="1:4" ht="3" customHeight="1">
      <c r="A90" s="1221"/>
      <c r="B90" s="1228"/>
      <c r="C90" s="1225"/>
      <c r="D90" s="1236"/>
    </row>
    <row r="91" spans="1:4">
      <c r="A91" s="1221"/>
      <c r="B91" s="1224" t="s">
        <v>2205</v>
      </c>
      <c r="C91" s="1225">
        <f>C89+1</f>
        <v>27</v>
      </c>
      <c r="D91" s="1236" t="s">
        <v>1822</v>
      </c>
    </row>
    <row r="92" spans="1:4">
      <c r="A92" s="1221"/>
      <c r="B92" s="1249"/>
      <c r="C92" s="1243" t="s">
        <v>2205</v>
      </c>
      <c r="D92" s="1236" t="s">
        <v>1262</v>
      </c>
    </row>
    <row r="93" spans="1:4" ht="4.5" customHeight="1">
      <c r="A93" s="1221"/>
      <c r="D93" s="1220"/>
    </row>
    <row r="94" spans="1:4">
      <c r="A94" s="1221"/>
      <c r="B94" s="1222" t="s">
        <v>1659</v>
      </c>
      <c r="C94" s="1223"/>
      <c r="D94" s="1220"/>
    </row>
    <row r="95" spans="1:4" ht="4.5" customHeight="1">
      <c r="A95" s="1221"/>
      <c r="B95" s="1222"/>
      <c r="C95" s="1223"/>
      <c r="D95" s="1220"/>
    </row>
    <row r="96" spans="1:4">
      <c r="A96" s="1221"/>
      <c r="B96" s="1224" t="s">
        <v>2204</v>
      </c>
      <c r="C96" s="1225">
        <f>C91+1</f>
        <v>28</v>
      </c>
      <c r="D96" s="1236" t="s">
        <v>1823</v>
      </c>
    </row>
    <row r="97" spans="1:4" ht="3" customHeight="1">
      <c r="A97" s="1221"/>
      <c r="B97" s="1228"/>
      <c r="C97" s="1225"/>
      <c r="D97" s="1236"/>
    </row>
    <row r="98" spans="1:4">
      <c r="A98" s="1221"/>
      <c r="B98" s="1224" t="s">
        <v>2204</v>
      </c>
      <c r="C98" s="1225">
        <f>C96+1</f>
        <v>29</v>
      </c>
      <c r="D98" s="1250" t="s">
        <v>1824</v>
      </c>
    </row>
    <row r="99" spans="1:4" ht="3" customHeight="1">
      <c r="A99" s="1221"/>
      <c r="B99" s="1228"/>
      <c r="C99" s="1225"/>
      <c r="D99" s="1250"/>
    </row>
    <row r="100" spans="1:4">
      <c r="A100" s="1221"/>
      <c r="B100" s="1224" t="s">
        <v>2204</v>
      </c>
      <c r="C100" s="1225">
        <f>C98+1</f>
        <v>30</v>
      </c>
      <c r="D100" s="1236" t="s">
        <v>1825</v>
      </c>
    </row>
    <row r="101" spans="1:4" ht="3" customHeight="1">
      <c r="A101" s="1221"/>
      <c r="B101" s="1228"/>
      <c r="C101" s="1225"/>
      <c r="D101" s="1251"/>
    </row>
    <row r="102" spans="1:4">
      <c r="A102" s="1221"/>
      <c r="B102" s="1224" t="s">
        <v>2204</v>
      </c>
      <c r="C102" s="1225">
        <f>C100+1</f>
        <v>31</v>
      </c>
      <c r="D102" s="1236" t="s">
        <v>1660</v>
      </c>
    </row>
    <row r="103" spans="1:4" ht="4.5" customHeight="1">
      <c r="A103" s="1221"/>
      <c r="B103" s="312"/>
      <c r="C103" s="1225"/>
      <c r="D103" s="1236"/>
    </row>
    <row r="104" spans="1:4" ht="14.1" customHeight="1">
      <c r="A104" s="1221"/>
      <c r="B104" s="1252" t="s">
        <v>1261</v>
      </c>
    </row>
    <row r="105" spans="1:4" ht="4.5" customHeight="1">
      <c r="A105" s="1221"/>
      <c r="B105" s="1252"/>
    </row>
    <row r="106" spans="1:4">
      <c r="A106" s="1221"/>
      <c r="B106" s="1224" t="s">
        <v>2204</v>
      </c>
      <c r="C106" s="1225">
        <f>C102+1</f>
        <v>32</v>
      </c>
      <c r="D106" s="1220" t="s">
        <v>1661</v>
      </c>
    </row>
    <row r="107" spans="1:4" ht="3" customHeight="1">
      <c r="A107" s="1221"/>
      <c r="B107" s="1228"/>
      <c r="C107" s="1225"/>
      <c r="D107" s="1220"/>
    </row>
    <row r="108" spans="1:4">
      <c r="A108" s="1221"/>
      <c r="B108" s="1224" t="s">
        <v>2204</v>
      </c>
      <c r="C108" s="1225">
        <v>33</v>
      </c>
      <c r="D108" s="1220" t="s">
        <v>1826</v>
      </c>
    </row>
    <row r="109" spans="1:4" ht="3" customHeight="1">
      <c r="A109" s="1221"/>
      <c r="B109" s="1228"/>
      <c r="C109" s="1225"/>
      <c r="D109" s="1220"/>
    </row>
    <row r="110" spans="1:4">
      <c r="A110" s="1221"/>
      <c r="B110" s="1224" t="s">
        <v>2205</v>
      </c>
      <c r="C110" s="1225">
        <f>C108+1</f>
        <v>34</v>
      </c>
      <c r="D110" s="1220" t="s">
        <v>1260</v>
      </c>
    </row>
    <row r="111" spans="1:4" ht="3" customHeight="1">
      <c r="A111" s="1221"/>
      <c r="B111" s="1228"/>
      <c r="C111" s="1225"/>
      <c r="D111" s="1220"/>
    </row>
    <row r="112" spans="1:4">
      <c r="A112" s="1221"/>
      <c r="B112" s="1224" t="s">
        <v>2205</v>
      </c>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t="s">
        <v>2205</v>
      </c>
      <c r="C115" s="1225">
        <f>C112+1</f>
        <v>36</v>
      </c>
      <c r="D115" s="1236" t="s">
        <v>1257</v>
      </c>
    </row>
    <row r="116" spans="1:4" ht="3" customHeight="1">
      <c r="A116" s="1221"/>
      <c r="B116" s="1228"/>
      <c r="C116" s="1225"/>
      <c r="D116" s="1236"/>
    </row>
    <row r="117" spans="1:4">
      <c r="A117" s="1221"/>
      <c r="B117" s="1224" t="s">
        <v>2205</v>
      </c>
      <c r="C117" s="1225">
        <f>C115+1</f>
        <v>37</v>
      </c>
      <c r="D117" s="1236" t="s">
        <v>1827</v>
      </c>
    </row>
    <row r="118" spans="1:4" ht="3" customHeight="1">
      <c r="A118" s="1221"/>
      <c r="B118" s="1228"/>
      <c r="C118" s="1225"/>
      <c r="D118" s="1236"/>
    </row>
    <row r="119" spans="1:4">
      <c r="A119" s="1221"/>
      <c r="B119" s="1224" t="s">
        <v>2205</v>
      </c>
      <c r="C119" s="1225">
        <f>C117+1</f>
        <v>38</v>
      </c>
      <c r="D119" s="1236" t="s">
        <v>1828</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t="s">
        <v>2204</v>
      </c>
      <c r="C123" s="1225">
        <f>C119+1</f>
        <v>39</v>
      </c>
      <c r="D123" s="1246" t="s">
        <v>1945</v>
      </c>
    </row>
    <row r="124" spans="1:4">
      <c r="A124" s="1221"/>
      <c r="B124" s="312"/>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c r="A1" s="2507" t="str">
        <f>'Single Audit Cover'!A7</f>
        <v>East Moline SD 37</v>
      </c>
      <c r="B1" s="2507"/>
      <c r="C1" s="2507"/>
      <c r="D1" s="2507"/>
      <c r="E1" s="2507"/>
    </row>
    <row r="2" spans="1:5">
      <c r="A2" s="2508">
        <f>'Single Audit Cover'!E7</f>
        <v>49081037002</v>
      </c>
      <c r="B2" s="2508"/>
      <c r="C2" s="2508"/>
      <c r="D2" s="2508"/>
      <c r="E2" s="2508"/>
    </row>
    <row r="3" spans="1:5" ht="4.5" customHeight="1"/>
    <row r="4" spans="1:5">
      <c r="A4" s="2507" t="s">
        <v>1307</v>
      </c>
      <c r="B4" s="2507"/>
      <c r="C4" s="2507"/>
      <c r="D4" s="2507"/>
      <c r="E4" s="2507"/>
    </row>
    <row r="5" spans="1:5">
      <c r="A5" s="2510" t="str">
        <f>'Single Audit Cover'!A4</f>
        <v>Year Ending June 30, 2018</v>
      </c>
      <c r="B5" s="2510"/>
      <c r="C5" s="2510"/>
      <c r="D5" s="2510"/>
      <c r="E5" s="2510"/>
    </row>
    <row r="6" spans="1:5">
      <c r="A6" s="2507" t="s">
        <v>1306</v>
      </c>
      <c r="B6" s="2507"/>
      <c r="C6" s="2507"/>
      <c r="D6" s="2507"/>
      <c r="E6" s="2507"/>
    </row>
    <row r="8" spans="1:5">
      <c r="A8" s="1259" t="s">
        <v>1305</v>
      </c>
    </row>
    <row r="10" spans="1:5">
      <c r="A10" s="1260" t="s">
        <v>1304</v>
      </c>
      <c r="B10" s="1261" t="s">
        <v>1303</v>
      </c>
      <c r="C10" s="1261"/>
      <c r="D10" s="1262">
        <f>SUM('Acct Summary 7-8'!C7:K7)</f>
        <v>3686451</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1830</v>
      </c>
      <c r="B14" s="1261"/>
      <c r="C14" s="1261"/>
      <c r="D14" s="1263">
        <f>'ICR Computation 30'!E11</f>
        <v>154680</v>
      </c>
    </row>
    <row r="15" spans="1:5">
      <c r="A15" s="1260"/>
      <c r="B15" s="1261"/>
      <c r="C15" s="1261"/>
    </row>
    <row r="16" spans="1:5">
      <c r="A16" s="1260" t="s">
        <v>1953</v>
      </c>
      <c r="B16" s="1261"/>
      <c r="C16" s="1261"/>
    </row>
    <row r="17" spans="1:4">
      <c r="A17" s="1260" t="s">
        <v>1601</v>
      </c>
      <c r="B17" s="1261" t="s">
        <v>1298</v>
      </c>
      <c r="C17" s="1261"/>
      <c r="D17" s="1263">
        <f>-SUM('Revenues 9-14'!C271:D271,'Revenues 9-14'!F271:G271)</f>
        <v>-139605</v>
      </c>
    </row>
    <row r="19" spans="1:4" ht="13.5" thickBot="1">
      <c r="A19" s="1264" t="s">
        <v>1297</v>
      </c>
      <c r="D19" s="1265">
        <f>SUM(D10:D17)</f>
        <v>3701526</v>
      </c>
    </row>
    <row r="20" spans="1:4" ht="21.75" customHeight="1" thickTop="1"/>
    <row r="21" spans="1:4">
      <c r="A21" s="1259" t="s">
        <v>1296</v>
      </c>
    </row>
    <row r="22" spans="1:4" ht="8.25" customHeight="1"/>
    <row r="23" spans="1:4">
      <c r="A23" s="1266" t="s">
        <v>1290</v>
      </c>
    </row>
    <row r="24" spans="1:4">
      <c r="A24" s="2509"/>
      <c r="B24" s="2509"/>
      <c r="D24" s="1267"/>
    </row>
    <row r="25" spans="1:4">
      <c r="A25" s="2506"/>
      <c r="B25" s="2506"/>
      <c r="D25" s="1267"/>
    </row>
    <row r="26" spans="1:4">
      <c r="A26" s="2506"/>
      <c r="B26" s="2506"/>
      <c r="D26" s="1267"/>
    </row>
    <row r="27" spans="1:4">
      <c r="A27" s="2506"/>
      <c r="B27" s="2506"/>
      <c r="D27" s="1267"/>
    </row>
    <row r="28" spans="1:4">
      <c r="A28" s="2506"/>
      <c r="B28" s="2506"/>
      <c r="D28" s="1267"/>
    </row>
    <row r="29" spans="1:4">
      <c r="A29" s="2506"/>
      <c r="B29" s="2506"/>
      <c r="D29" s="1267"/>
    </row>
    <row r="30" spans="1:4">
      <c r="A30" s="2506"/>
      <c r="B30" s="2506"/>
      <c r="D30" s="1267"/>
    </row>
    <row r="32" spans="1:4">
      <c r="A32" s="1259" t="s">
        <v>1295</v>
      </c>
      <c r="D32" s="1262">
        <f>SUM(D19:D30)</f>
        <v>3701526</v>
      </c>
    </row>
    <row r="33" spans="1:4">
      <c r="D33" s="1268"/>
    </row>
    <row r="34" spans="1:4">
      <c r="A34" s="317" t="s">
        <v>1294</v>
      </c>
    </row>
    <row r="35" spans="1:4">
      <c r="A35" s="317" t="s">
        <v>1293</v>
      </c>
      <c r="B35" s="1257" t="s">
        <v>1292</v>
      </c>
      <c r="D35" s="2009">
        <f>'WF SEFA '!G101</f>
        <v>3705207</v>
      </c>
    </row>
    <row r="37" spans="1:4">
      <c r="A37" s="1259" t="s">
        <v>1291</v>
      </c>
    </row>
    <row r="39" spans="1:4" ht="13.35" customHeight="1">
      <c r="A39" s="1266" t="s">
        <v>1290</v>
      </c>
    </row>
    <row r="40" spans="1:4">
      <c r="A40" s="2506" t="s">
        <v>2223</v>
      </c>
      <c r="B40" s="2506"/>
      <c r="D40" s="1267">
        <v>-966</v>
      </c>
    </row>
    <row r="41" spans="1:4">
      <c r="A41" s="2506" t="s">
        <v>2224</v>
      </c>
      <c r="B41" s="2506"/>
      <c r="D41" s="1269">
        <v>-2717</v>
      </c>
    </row>
    <row r="42" spans="1:4">
      <c r="A42" s="2506" t="s">
        <v>2225</v>
      </c>
      <c r="B42" s="2506"/>
      <c r="D42" s="1269">
        <v>2</v>
      </c>
    </row>
    <row r="43" spans="1:4">
      <c r="A43" s="2506"/>
      <c r="B43" s="2506"/>
      <c r="D43" s="1269"/>
    </row>
    <row r="44" spans="1:4">
      <c r="A44" s="2506"/>
      <c r="B44" s="2506"/>
      <c r="D44" s="1269"/>
    </row>
    <row r="45" spans="1:4">
      <c r="A45" s="2506"/>
      <c r="B45" s="2506"/>
      <c r="D45" s="1269"/>
    </row>
    <row r="47" spans="1:4">
      <c r="B47" s="1270" t="s">
        <v>1289</v>
      </c>
      <c r="C47" s="1270"/>
      <c r="D47" s="1271">
        <f>SUM(D35:D45)</f>
        <v>3701526</v>
      </c>
    </row>
    <row r="49" spans="2:4">
      <c r="B49" s="1270" t="s">
        <v>1288</v>
      </c>
      <c r="C49" s="1270"/>
      <c r="D49" s="127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Normal="100" workbookViewId="0"/>
  </sheetViews>
  <sheetFormatPr defaultColWidth="8" defaultRowHeight="12.75"/>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c r="A1" s="2512" t="str">
        <f>'Single Audit Cover'!A7</f>
        <v>East Moline SD 37</v>
      </c>
      <c r="B1" s="2512"/>
      <c r="C1" s="2512"/>
      <c r="D1" s="2512"/>
      <c r="E1" s="2512"/>
      <c r="F1" s="2512"/>
    </row>
    <row r="2" spans="1:7" ht="13.5" customHeight="1">
      <c r="A2" s="2513">
        <f>'Single Audit Cover'!E7</f>
        <v>49081037002</v>
      </c>
      <c r="B2" s="2513"/>
      <c r="C2" s="2513"/>
      <c r="D2" s="2513"/>
      <c r="E2" s="2513"/>
      <c r="F2" s="2513"/>
      <c r="G2" s="1273"/>
    </row>
    <row r="3" spans="1:7" ht="15.75" customHeight="1">
      <c r="A3" s="2514" t="s">
        <v>1333</v>
      </c>
      <c r="B3" s="2514"/>
      <c r="C3" s="2514"/>
      <c r="D3" s="2514"/>
      <c r="E3" s="2514"/>
      <c r="F3" s="2514"/>
    </row>
    <row r="4" spans="1:7" ht="13.5" customHeight="1">
      <c r="A4" s="2515" t="str">
        <f>'Single Audit Cover'!A4</f>
        <v>Year Ending June 30, 2018</v>
      </c>
      <c r="B4" s="2515"/>
      <c r="C4" s="2515"/>
      <c r="D4" s="2515"/>
      <c r="E4" s="2515"/>
      <c r="F4" s="2515"/>
    </row>
    <row r="5" spans="1:7" ht="8.25" customHeight="1">
      <c r="C5" s="317"/>
      <c r="D5" s="317"/>
    </row>
    <row r="6" spans="1:7" ht="13.5" customHeight="1">
      <c r="A6" s="1274" t="s">
        <v>1831</v>
      </c>
      <c r="C6" s="317"/>
      <c r="D6" s="317"/>
    </row>
    <row r="7" spans="1:7" ht="60.95" customHeight="1">
      <c r="A7" s="2511" t="s">
        <v>2210</v>
      </c>
      <c r="B7" s="2511"/>
      <c r="C7" s="2511"/>
      <c r="D7" s="2511"/>
      <c r="E7" s="2511"/>
      <c r="F7" s="2511"/>
    </row>
    <row r="8" spans="1:7" ht="12" customHeight="1">
      <c r="A8" s="1274"/>
      <c r="B8" s="1280"/>
      <c r="C8" s="1280"/>
      <c r="D8" s="1280"/>
    </row>
    <row r="9" spans="1:7" ht="15" customHeight="1">
      <c r="A9" s="1275" t="s">
        <v>1832</v>
      </c>
      <c r="B9" s="1278"/>
      <c r="C9" s="1278"/>
      <c r="D9" s="1278"/>
      <c r="E9" s="1276"/>
      <c r="F9" s="1276"/>
      <c r="G9" s="1276"/>
    </row>
    <row r="10" spans="1:7" ht="15" customHeight="1">
      <c r="A10" s="1277" t="s">
        <v>1628</v>
      </c>
      <c r="B10" s="1278"/>
      <c r="C10" s="1279"/>
      <c r="D10" s="1278" t="s">
        <v>1629</v>
      </c>
      <c r="E10" s="1279" t="s">
        <v>2162</v>
      </c>
      <c r="F10" s="1278" t="s">
        <v>101</v>
      </c>
      <c r="G10" s="1276"/>
    </row>
    <row r="11" spans="1:7" ht="12" customHeight="1">
      <c r="A11" s="1277"/>
      <c r="B11" s="1278"/>
      <c r="C11" s="1925"/>
      <c r="D11" s="1278"/>
      <c r="E11" s="1925"/>
      <c r="F11" s="1278"/>
      <c r="G11" s="1276"/>
    </row>
    <row r="12" spans="1:7">
      <c r="A12" s="1274" t="s">
        <v>1669</v>
      </c>
      <c r="C12" s="1259"/>
      <c r="D12" s="1259"/>
    </row>
    <row r="13" spans="1:7" ht="15" customHeight="1">
      <c r="A13" s="2511" t="s">
        <v>2211</v>
      </c>
      <c r="B13" s="2511"/>
      <c r="C13" s="2511"/>
      <c r="D13" s="2511"/>
      <c r="E13" s="2511"/>
      <c r="F13" s="2511"/>
    </row>
    <row r="14" spans="1:7" ht="9.75" customHeight="1">
      <c r="C14" s="1259"/>
      <c r="D14" s="1259"/>
    </row>
    <row r="15" spans="1:7" ht="13.5" customHeight="1">
      <c r="C15" s="1869" t="s">
        <v>1332</v>
      </c>
      <c r="D15" s="2517" t="s">
        <v>1331</v>
      </c>
      <c r="E15" s="2517"/>
      <c r="F15" s="2517"/>
    </row>
    <row r="16" spans="1:7" ht="13.5" customHeight="1">
      <c r="A16" s="1280"/>
      <c r="B16" s="1274" t="s">
        <v>1330</v>
      </c>
      <c r="C16" s="1869" t="s">
        <v>1329</v>
      </c>
      <c r="D16" s="2518" t="s">
        <v>1670</v>
      </c>
      <c r="E16" s="2518"/>
      <c r="F16" s="2518"/>
    </row>
    <row r="17" spans="1:6" ht="20.45" customHeight="1">
      <c r="A17" s="1281"/>
      <c r="B17" s="1282" t="s">
        <v>2205</v>
      </c>
      <c r="C17" s="1283"/>
      <c r="D17" s="2516"/>
      <c r="E17" s="2516"/>
      <c r="F17" s="2516"/>
    </row>
    <row r="18" spans="1:6" ht="20.65" customHeight="1">
      <c r="A18" s="1281"/>
      <c r="B18" s="1282"/>
      <c r="C18" s="1283"/>
      <c r="D18" s="2516"/>
      <c r="E18" s="2516"/>
      <c r="F18" s="2516"/>
    </row>
    <row r="19" spans="1:6" ht="20.65" customHeight="1">
      <c r="A19" s="1281"/>
      <c r="B19" s="1282"/>
      <c r="C19" s="1283"/>
      <c r="D19" s="2516"/>
      <c r="E19" s="2516"/>
      <c r="F19" s="2516"/>
    </row>
    <row r="20" spans="1:6" ht="20.65" customHeight="1">
      <c r="A20" s="1281"/>
      <c r="B20" s="1282"/>
      <c r="C20" s="1283"/>
      <c r="D20" s="2516"/>
      <c r="E20" s="2516"/>
      <c r="F20" s="2516"/>
    </row>
    <row r="21" spans="1:6" ht="20.65" customHeight="1">
      <c r="A21" s="1281"/>
      <c r="B21" s="1282"/>
      <c r="C21" s="1283"/>
      <c r="D21" s="2516"/>
      <c r="E21" s="2516"/>
      <c r="F21" s="2516"/>
    </row>
    <row r="22" spans="1:6" ht="20.65" customHeight="1">
      <c r="A22" s="1281"/>
      <c r="B22" s="1282"/>
      <c r="C22" s="1283"/>
      <c r="D22" s="2516"/>
      <c r="E22" s="2516"/>
      <c r="F22" s="2516"/>
    </row>
    <row r="23" spans="1:6" ht="20.65" customHeight="1">
      <c r="A23" s="1281"/>
      <c r="B23" s="1282"/>
      <c r="C23" s="1283"/>
      <c r="D23" s="2516"/>
      <c r="E23" s="2516"/>
      <c r="F23" s="2516"/>
    </row>
    <row r="24" spans="1:6" ht="20.65" customHeight="1">
      <c r="A24" s="1281"/>
      <c r="B24" s="1282"/>
      <c r="C24" s="1283"/>
      <c r="D24" s="2516"/>
      <c r="E24" s="2516"/>
      <c r="F24" s="2516"/>
    </row>
    <row r="25" spans="1:6" ht="20.65" customHeight="1">
      <c r="A25" s="1281"/>
      <c r="B25" s="1282"/>
      <c r="C25" s="1283"/>
      <c r="D25" s="2516"/>
      <c r="E25" s="2516"/>
      <c r="F25" s="2516"/>
    </row>
    <row r="26" spans="1:6" ht="20.65" customHeight="1">
      <c r="A26" s="1281"/>
      <c r="B26" s="1282"/>
      <c r="C26" s="1283"/>
      <c r="D26" s="2516"/>
      <c r="E26" s="2516"/>
      <c r="F26" s="2516"/>
    </row>
    <row r="27" spans="1:6" ht="20.65" customHeight="1">
      <c r="A27" s="1281"/>
      <c r="B27" s="1282"/>
      <c r="C27" s="1283"/>
      <c r="D27" s="2516"/>
      <c r="E27" s="2516"/>
      <c r="F27" s="2516"/>
    </row>
    <row r="28" spans="1:6" ht="20.65" customHeight="1">
      <c r="A28" s="1281"/>
      <c r="B28" s="1282"/>
      <c r="C28" s="1283"/>
      <c r="D28" s="2516"/>
      <c r="E28" s="2516"/>
      <c r="F28" s="2516"/>
    </row>
    <row r="29" spans="1:6" ht="20.65" customHeight="1">
      <c r="A29" s="1281"/>
      <c r="B29" s="1282"/>
      <c r="C29" s="1283"/>
      <c r="D29" s="2516"/>
      <c r="E29" s="2516"/>
      <c r="F29" s="2516"/>
    </row>
    <row r="30" spans="1:6" ht="12" customHeight="1">
      <c r="A30" s="328"/>
      <c r="B30" s="328"/>
      <c r="C30" s="1476"/>
      <c r="D30" s="1926"/>
      <c r="E30" s="1284"/>
    </row>
    <row r="31" spans="1:6" ht="12" customHeight="1">
      <c r="A31" s="1285" t="s">
        <v>1630</v>
      </c>
      <c r="B31" s="328"/>
      <c r="C31" s="1476"/>
      <c r="D31" s="1926"/>
      <c r="E31" s="1284"/>
    </row>
    <row r="32" spans="1:6" ht="30" customHeight="1">
      <c r="A32" s="2520" t="s">
        <v>2212</v>
      </c>
      <c r="B32" s="2520"/>
      <c r="C32" s="2520"/>
      <c r="D32" s="2520"/>
      <c r="E32" s="2520"/>
      <c r="F32" s="2520"/>
    </row>
    <row r="33" spans="1:6" ht="13.5" customHeight="1">
      <c r="A33" s="328" t="s">
        <v>1509</v>
      </c>
      <c r="B33" s="328"/>
      <c r="C33" s="1286">
        <v>100974</v>
      </c>
      <c r="D33" s="1926"/>
      <c r="E33" s="1284"/>
    </row>
    <row r="34" spans="1:6" ht="13.5" customHeight="1">
      <c r="A34" s="328" t="s">
        <v>1946</v>
      </c>
      <c r="B34" s="328"/>
      <c r="C34" s="1287">
        <v>53706</v>
      </c>
      <c r="D34" s="1926" t="s">
        <v>1671</v>
      </c>
      <c r="E34" s="2521">
        <f>+C33+C34</f>
        <v>154680</v>
      </c>
      <c r="F34" s="2522"/>
    </row>
    <row r="35" spans="1:6" ht="12" customHeight="1">
      <c r="A35" s="328"/>
      <c r="B35" s="328"/>
      <c r="C35" s="1927"/>
      <c r="D35" s="1926"/>
      <c r="E35" s="1288"/>
      <c r="F35" s="1289"/>
    </row>
    <row r="36" spans="1:6" ht="13.5" customHeight="1">
      <c r="A36" s="1285" t="s">
        <v>1631</v>
      </c>
      <c r="B36" s="328"/>
      <c r="C36" s="1476"/>
      <c r="D36" s="1926"/>
      <c r="E36" s="1284"/>
    </row>
    <row r="37" spans="1:6" ht="14.25" customHeight="1">
      <c r="A37" s="328" t="s">
        <v>1563</v>
      </c>
      <c r="B37" s="328"/>
      <c r="C37" s="1928"/>
      <c r="D37" s="1926"/>
      <c r="E37" s="1284"/>
    </row>
    <row r="38" spans="1:6" ht="14.25" customHeight="1">
      <c r="A38" s="328"/>
      <c r="B38" s="328" t="s">
        <v>1510</v>
      </c>
      <c r="C38" s="1290" t="s">
        <v>401</v>
      </c>
      <c r="D38" s="1926"/>
      <c r="E38" s="1284"/>
    </row>
    <row r="39" spans="1:6" ht="14.25" customHeight="1">
      <c r="A39" s="328"/>
      <c r="B39" s="328" t="s">
        <v>1511</v>
      </c>
      <c r="C39" s="1290" t="s">
        <v>401</v>
      </c>
      <c r="D39" s="1926"/>
      <c r="E39" s="1284"/>
    </row>
    <row r="40" spans="1:6" ht="14.25" customHeight="1">
      <c r="A40" s="328"/>
      <c r="B40" s="328" t="s">
        <v>1512</v>
      </c>
      <c r="C40" s="1290" t="s">
        <v>401</v>
      </c>
      <c r="D40" s="1926"/>
      <c r="E40" s="1284"/>
    </row>
    <row r="41" spans="1:6" ht="14.25" customHeight="1">
      <c r="A41" s="328"/>
      <c r="B41" s="328" t="s">
        <v>1513</v>
      </c>
      <c r="C41" s="1290" t="s">
        <v>401</v>
      </c>
      <c r="D41" s="1926"/>
      <c r="E41" s="1284"/>
    </row>
    <row r="42" spans="1:6" ht="14.25" customHeight="1">
      <c r="A42" s="328" t="s">
        <v>1514</v>
      </c>
      <c r="B42" s="328"/>
      <c r="C42" s="1924" t="s">
        <v>401</v>
      </c>
      <c r="D42" s="1926"/>
      <c r="E42" s="1284"/>
    </row>
    <row r="43" spans="1:6" ht="14.25" customHeight="1">
      <c r="A43" s="328" t="s">
        <v>1515</v>
      </c>
      <c r="B43" s="328"/>
      <c r="C43" s="1291" t="s">
        <v>401</v>
      </c>
      <c r="D43" s="1926"/>
      <c r="E43" s="1284"/>
    </row>
    <row r="44" spans="1:6" ht="14.25" customHeight="1">
      <c r="A44" s="328"/>
      <c r="B44" s="328"/>
      <c r="C44" s="1928" t="s">
        <v>1516</v>
      </c>
      <c r="D44" s="1926"/>
      <c r="E44" s="1284"/>
    </row>
    <row r="45" spans="1:6" ht="13.5" customHeight="1">
      <c r="B45" s="322"/>
      <c r="C45" s="1292"/>
      <c r="D45" s="1292"/>
    </row>
    <row r="46" spans="1:6">
      <c r="A46" s="1293" t="s">
        <v>1833</v>
      </c>
      <c r="C46" s="317"/>
      <c r="D46" s="317"/>
    </row>
    <row r="47" spans="1:6" s="322" customFormat="1" ht="11.25" customHeight="1">
      <c r="A47" s="1294"/>
      <c r="B47" s="1295"/>
      <c r="C47" s="1295"/>
      <c r="D47" s="1295"/>
      <c r="E47" s="1295"/>
      <c r="F47" s="1295"/>
    </row>
    <row r="48" spans="1:6" s="322" customFormat="1" ht="6" customHeight="1">
      <c r="A48" s="1296"/>
    </row>
    <row r="49" spans="1:5" s="1298" customFormat="1" ht="23.25" customHeight="1">
      <c r="A49" s="1297">
        <v>5</v>
      </c>
      <c r="B49" s="2523" t="s">
        <v>1672</v>
      </c>
      <c r="C49" s="2523"/>
      <c r="D49" s="2523"/>
      <c r="E49" s="1397"/>
    </row>
    <row r="50" spans="1:5" s="1298" customFormat="1" ht="3.75" customHeight="1">
      <c r="A50" s="1297"/>
      <c r="B50" s="1868"/>
      <c r="C50" s="1868"/>
      <c r="D50" s="1868"/>
      <c r="E50" s="1397"/>
    </row>
    <row r="51" spans="1:5" s="1298" customFormat="1" ht="20.25" customHeight="1">
      <c r="A51" s="1299">
        <v>6</v>
      </c>
      <c r="B51" s="2519" t="s">
        <v>1632</v>
      </c>
      <c r="C51" s="2519"/>
      <c r="D51" s="2519"/>
    </row>
    <row r="52" spans="1:5" ht="14.25" customHeight="1">
      <c r="A52" s="1299"/>
      <c r="B52" s="2519"/>
      <c r="C52" s="2519"/>
      <c r="D52" s="251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heetViews>
  <sheetFormatPr defaultColWidth="33.5703125" defaultRowHeight="12.75"/>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c r="B1" s="2468" t="str">
        <f>'Single Audit Cover'!A7</f>
        <v>East Moline SD 37</v>
      </c>
      <c r="C1" s="2524"/>
      <c r="D1" s="2524"/>
      <c r="E1" s="2524"/>
      <c r="F1" s="2524"/>
      <c r="G1" s="2524"/>
      <c r="H1" s="2524"/>
      <c r="I1" s="2524"/>
      <c r="J1" s="2524"/>
      <c r="K1" s="2524"/>
      <c r="L1" s="2524"/>
      <c r="M1" s="2524"/>
    </row>
    <row r="2" spans="2:14" ht="15">
      <c r="B2" s="2513">
        <f>'Single Audit Cover'!E7</f>
        <v>49081037002</v>
      </c>
      <c r="C2" s="2513"/>
      <c r="D2" s="2513"/>
      <c r="E2" s="2513"/>
      <c r="F2" s="2513"/>
      <c r="G2" s="2513"/>
      <c r="H2" s="2513"/>
      <c r="I2" s="2513"/>
      <c r="J2" s="2513"/>
      <c r="K2" s="2513"/>
      <c r="L2" s="2513"/>
      <c r="M2" s="2513"/>
      <c r="N2" s="1300"/>
    </row>
    <row r="3" spans="2:14" ht="15">
      <c r="B3" s="2525" t="s">
        <v>1281</v>
      </c>
      <c r="C3" s="2525"/>
      <c r="D3" s="2525"/>
      <c r="E3" s="2525"/>
      <c r="F3" s="2525"/>
      <c r="G3" s="2525"/>
      <c r="H3" s="2525"/>
      <c r="I3" s="2525"/>
      <c r="J3" s="2525"/>
      <c r="K3" s="2525"/>
      <c r="L3" s="2525"/>
      <c r="M3" s="2525"/>
      <c r="N3" s="1300"/>
    </row>
    <row r="4" spans="2:14" ht="15">
      <c r="B4" s="2526" t="str">
        <f>'Single Audit Cover'!A4</f>
        <v>Year Ending June 30, 2018</v>
      </c>
      <c r="C4" s="2526"/>
      <c r="D4" s="2526"/>
      <c r="E4" s="2526"/>
      <c r="F4" s="2526"/>
      <c r="G4" s="2526"/>
      <c r="H4" s="2526"/>
      <c r="I4" s="2526"/>
      <c r="J4" s="2526"/>
      <c r="K4" s="2526"/>
      <c r="L4" s="2526"/>
      <c r="M4" s="2526"/>
      <c r="N4" s="1300"/>
    </row>
    <row r="6" spans="2:14">
      <c r="B6" s="1301"/>
      <c r="C6" s="1302"/>
      <c r="D6" s="1303" t="s">
        <v>1327</v>
      </c>
      <c r="E6" s="1304" t="s">
        <v>548</v>
      </c>
      <c r="F6" s="1305"/>
      <c r="G6" s="1306" t="s">
        <v>1834</v>
      </c>
      <c r="H6" s="1304"/>
      <c r="I6" s="1304"/>
      <c r="J6" s="1304"/>
      <c r="K6" s="1307"/>
      <c r="L6" s="1308"/>
      <c r="M6" s="1309"/>
    </row>
    <row r="7" spans="2:14">
      <c r="B7" s="1310" t="s">
        <v>1662</v>
      </c>
      <c r="C7" s="1311"/>
      <c r="D7" s="1312"/>
      <c r="E7" s="1313"/>
      <c r="F7" s="1314"/>
      <c r="G7" s="1313"/>
      <c r="H7" s="1315" t="s">
        <v>1324</v>
      </c>
      <c r="I7" s="1313"/>
      <c r="J7" s="1316" t="s">
        <v>1324</v>
      </c>
      <c r="K7" s="1317"/>
      <c r="L7" s="1318" t="s">
        <v>1322</v>
      </c>
      <c r="M7" s="1319"/>
    </row>
    <row r="8" spans="2:14">
      <c r="B8" s="1685"/>
      <c r="C8" s="1311" t="s">
        <v>1326</v>
      </c>
      <c r="D8" s="1312" t="s">
        <v>1325</v>
      </c>
      <c r="E8" s="1320" t="s">
        <v>1324</v>
      </c>
      <c r="F8" s="1321" t="s">
        <v>1324</v>
      </c>
      <c r="G8" s="1322" t="s">
        <v>1324</v>
      </c>
      <c r="H8" s="1315" t="s">
        <v>1663</v>
      </c>
      <c r="I8" s="1317" t="s">
        <v>1324</v>
      </c>
      <c r="J8" s="1316" t="s">
        <v>1947</v>
      </c>
      <c r="K8" s="1317" t="s">
        <v>1323</v>
      </c>
      <c r="L8" s="1318" t="s">
        <v>1319</v>
      </c>
      <c r="M8" s="1319" t="s">
        <v>30</v>
      </c>
    </row>
    <row r="9" spans="2:14" ht="14.25">
      <c r="B9" s="1323" t="s">
        <v>1321</v>
      </c>
      <c r="C9" s="1311" t="s">
        <v>1835</v>
      </c>
      <c r="D9" s="1312" t="s">
        <v>1836</v>
      </c>
      <c r="E9" s="1320" t="s">
        <v>1663</v>
      </c>
      <c r="F9" s="1321" t="s">
        <v>1947</v>
      </c>
      <c r="G9" s="1322" t="s">
        <v>1663</v>
      </c>
      <c r="H9" s="1315" t="s">
        <v>1664</v>
      </c>
      <c r="I9" s="1317" t="s">
        <v>1947</v>
      </c>
      <c r="J9" s="1316" t="s">
        <v>1664</v>
      </c>
      <c r="K9" s="1317" t="s">
        <v>1320</v>
      </c>
      <c r="L9" s="1324" t="s">
        <v>1665</v>
      </c>
      <c r="M9" s="1319"/>
    </row>
    <row r="10" spans="2:14" ht="11.85" customHeight="1">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c r="B11" s="1335"/>
      <c r="C11" s="1336"/>
      <c r="D11" s="1337"/>
      <c r="E11" s="1338"/>
      <c r="F11" s="1338"/>
      <c r="G11" s="1338"/>
      <c r="H11" s="1338"/>
      <c r="I11" s="1338"/>
      <c r="J11" s="1338"/>
      <c r="K11" s="1338"/>
      <c r="L11" s="1338">
        <f>+G11+I11+K11</f>
        <v>0</v>
      </c>
      <c r="M11" s="1338"/>
    </row>
    <row r="12" spans="2:14" ht="20.100000000000001" customHeight="1">
      <c r="B12" s="1335"/>
      <c r="C12" s="1339"/>
      <c r="D12" s="1340"/>
      <c r="E12" s="1341"/>
      <c r="F12" s="1341"/>
      <c r="G12" s="1341"/>
      <c r="H12" s="1341"/>
      <c r="I12" s="1341"/>
      <c r="J12" s="1341"/>
      <c r="K12" s="1341"/>
      <c r="L12" s="1338">
        <f t="shared" ref="L12:L27" si="0">+G12+I12+K12</f>
        <v>0</v>
      </c>
      <c r="M12" s="1341"/>
    </row>
    <row r="13" spans="2:14" ht="20.100000000000001" customHeight="1">
      <c r="B13" s="1335"/>
      <c r="C13" s="1339"/>
      <c r="D13" s="1340"/>
      <c r="E13" s="1341"/>
      <c r="F13" s="1341"/>
      <c r="G13" s="1341"/>
      <c r="H13" s="1341"/>
      <c r="I13" s="1341"/>
      <c r="J13" s="1341"/>
      <c r="K13" s="1341"/>
      <c r="L13" s="1338">
        <f t="shared" si="0"/>
        <v>0</v>
      </c>
      <c r="M13" s="1341"/>
    </row>
    <row r="14" spans="2:14" ht="20.100000000000001" customHeight="1">
      <c r="B14" s="1335"/>
      <c r="C14" s="1339"/>
      <c r="D14" s="1340"/>
      <c r="E14" s="1341"/>
      <c r="F14" s="1341"/>
      <c r="G14" s="1341"/>
      <c r="H14" s="1341"/>
      <c r="I14" s="1341"/>
      <c r="J14" s="1341"/>
      <c r="K14" s="1341"/>
      <c r="L14" s="1338">
        <f t="shared" si="0"/>
        <v>0</v>
      </c>
      <c r="M14" s="1341"/>
    </row>
    <row r="15" spans="2:14" ht="20.100000000000001" customHeight="1">
      <c r="B15" s="1335" t="s">
        <v>1231</v>
      </c>
      <c r="C15" s="1339"/>
      <c r="D15" s="1340"/>
      <c r="E15" s="1341"/>
      <c r="F15" s="1341"/>
      <c r="G15" s="1341"/>
      <c r="H15" s="1341"/>
      <c r="I15" s="1341"/>
      <c r="J15" s="1341"/>
      <c r="K15" s="1341"/>
      <c r="L15" s="1338">
        <f t="shared" si="0"/>
        <v>0</v>
      </c>
      <c r="M15" s="1341"/>
    </row>
    <row r="16" spans="2:14" ht="20.100000000000001" customHeight="1">
      <c r="B16" s="1335"/>
      <c r="C16" s="1339"/>
      <c r="D16" s="1340"/>
      <c r="E16" s="1341"/>
      <c r="F16" s="1341"/>
      <c r="G16" s="1341"/>
      <c r="H16" s="1341"/>
      <c r="I16" s="1341"/>
      <c r="J16" s="1341"/>
      <c r="K16" s="1341"/>
      <c r="L16" s="1338">
        <f t="shared" si="0"/>
        <v>0</v>
      </c>
      <c r="M16" s="1341"/>
    </row>
    <row r="17" spans="2:14" ht="20.100000000000001" customHeight="1">
      <c r="B17" s="1335"/>
      <c r="C17" s="1339"/>
      <c r="D17" s="1340"/>
      <c r="E17" s="1341"/>
      <c r="F17" s="1341"/>
      <c r="G17" s="1341"/>
      <c r="H17" s="1341"/>
      <c r="I17" s="1341"/>
      <c r="J17" s="1341"/>
      <c r="K17" s="1341"/>
      <c r="L17" s="1338">
        <f t="shared" si="0"/>
        <v>0</v>
      </c>
      <c r="M17" s="1341"/>
    </row>
    <row r="18" spans="2:14" ht="20.100000000000001" customHeight="1">
      <c r="B18" s="1335"/>
      <c r="C18" s="1339"/>
      <c r="D18" s="1340"/>
      <c r="E18" s="1341"/>
      <c r="F18" s="1341"/>
      <c r="G18" s="1341"/>
      <c r="H18" s="1341"/>
      <c r="I18" s="1341"/>
      <c r="J18" s="1341"/>
      <c r="K18" s="1341"/>
      <c r="L18" s="1338">
        <f t="shared" si="0"/>
        <v>0</v>
      </c>
      <c r="M18" s="1341"/>
    </row>
    <row r="19" spans="2:14" ht="20.100000000000001" customHeight="1">
      <c r="B19" s="1335"/>
      <c r="C19" s="1339"/>
      <c r="D19" s="1340"/>
      <c r="E19" s="1341"/>
      <c r="F19" s="1341"/>
      <c r="G19" s="1341"/>
      <c r="H19" s="1341"/>
      <c r="I19" s="1341"/>
      <c r="J19" s="1341"/>
      <c r="K19" s="1341"/>
      <c r="L19" s="1338">
        <f t="shared" si="0"/>
        <v>0</v>
      </c>
      <c r="M19" s="1341"/>
    </row>
    <row r="20" spans="2:14" ht="20.100000000000001" customHeight="1">
      <c r="B20" s="1335"/>
      <c r="C20" s="1339"/>
      <c r="D20" s="1340"/>
      <c r="E20" s="1341"/>
      <c r="F20" s="1341"/>
      <c r="G20" s="1341"/>
      <c r="H20" s="1341"/>
      <c r="I20" s="1341"/>
      <c r="J20" s="1341"/>
      <c r="K20" s="1341"/>
      <c r="L20" s="1338">
        <f t="shared" si="0"/>
        <v>0</v>
      </c>
      <c r="M20" s="1341"/>
    </row>
    <row r="21" spans="2:14" ht="20.100000000000001" customHeight="1">
      <c r="B21" s="1335"/>
      <c r="C21" s="1339"/>
      <c r="D21" s="1340"/>
      <c r="E21" s="1341"/>
      <c r="F21" s="1341"/>
      <c r="G21" s="1341"/>
      <c r="H21" s="1341"/>
      <c r="I21" s="1341"/>
      <c r="J21" s="1341"/>
      <c r="K21" s="1341"/>
      <c r="L21" s="1338">
        <f t="shared" si="0"/>
        <v>0</v>
      </c>
      <c r="M21" s="1341"/>
    </row>
    <row r="22" spans="2:14" ht="20.100000000000001" customHeight="1">
      <c r="B22" s="1335"/>
      <c r="C22" s="1339"/>
      <c r="D22" s="1340"/>
      <c r="E22" s="1341"/>
      <c r="F22" s="1341"/>
      <c r="G22" s="1341"/>
      <c r="H22" s="1341"/>
      <c r="I22" s="1341"/>
      <c r="J22" s="1341"/>
      <c r="K22" s="1341"/>
      <c r="L22" s="1338">
        <f t="shared" si="0"/>
        <v>0</v>
      </c>
      <c r="M22" s="1341"/>
    </row>
    <row r="23" spans="2:14" ht="20.100000000000001" customHeight="1">
      <c r="B23" s="1335"/>
      <c r="C23" s="1339"/>
      <c r="D23" s="1340"/>
      <c r="E23" s="1341"/>
      <c r="F23" s="1341"/>
      <c r="G23" s="1341"/>
      <c r="H23" s="1341"/>
      <c r="I23" s="1341"/>
      <c r="J23" s="1341"/>
      <c r="K23" s="1341"/>
      <c r="L23" s="1338">
        <f t="shared" si="0"/>
        <v>0</v>
      </c>
      <c r="M23" s="1341"/>
    </row>
    <row r="24" spans="2:14" ht="20.100000000000001" customHeight="1">
      <c r="B24" s="1335"/>
      <c r="C24" s="1339"/>
      <c r="D24" s="1340"/>
      <c r="E24" s="1341"/>
      <c r="F24" s="1341"/>
      <c r="G24" s="1341"/>
      <c r="H24" s="1341"/>
      <c r="I24" s="1341"/>
      <c r="J24" s="1341"/>
      <c r="K24" s="1341"/>
      <c r="L24" s="1338">
        <f t="shared" si="0"/>
        <v>0</v>
      </c>
      <c r="M24" s="1341"/>
    </row>
    <row r="25" spans="2:14" ht="20.100000000000001" customHeight="1">
      <c r="B25" s="1335"/>
      <c r="C25" s="1339"/>
      <c r="D25" s="1340"/>
      <c r="E25" s="1341"/>
      <c r="F25" s="1341"/>
      <c r="G25" s="1341"/>
      <c r="H25" s="1341"/>
      <c r="I25" s="1341"/>
      <c r="J25" s="1341"/>
      <c r="K25" s="1341"/>
      <c r="L25" s="1338">
        <f t="shared" si="0"/>
        <v>0</v>
      </c>
      <c r="M25" s="1341"/>
    </row>
    <row r="26" spans="2:14" ht="20.100000000000001" customHeight="1">
      <c r="B26" s="1335"/>
      <c r="C26" s="1339"/>
      <c r="D26" s="1340"/>
      <c r="E26" s="1341"/>
      <c r="F26" s="1341"/>
      <c r="G26" s="1341"/>
      <c r="H26" s="1341"/>
      <c r="I26" s="1341"/>
      <c r="J26" s="1341"/>
      <c r="K26" s="1341"/>
      <c r="L26" s="1338">
        <f t="shared" si="0"/>
        <v>0</v>
      </c>
      <c r="M26" s="1341"/>
    </row>
    <row r="27" spans="2:14" ht="20.100000000000001" customHeight="1">
      <c r="B27" s="1335"/>
      <c r="C27" s="1339"/>
      <c r="D27" s="1340"/>
      <c r="E27" s="1341"/>
      <c r="F27" s="1341"/>
      <c r="G27" s="1341"/>
      <c r="H27" s="1341"/>
      <c r="I27" s="1341"/>
      <c r="J27" s="1341"/>
      <c r="K27" s="1341"/>
      <c r="L27" s="1338">
        <f t="shared" si="0"/>
        <v>0</v>
      </c>
      <c r="M27" s="1341"/>
      <c r="N27" s="1342"/>
    </row>
    <row r="28" spans="2:14" ht="12.75" customHeight="1">
      <c r="B28" s="1343"/>
      <c r="C28" s="1344"/>
      <c r="D28" s="1345"/>
      <c r="E28" s="1346"/>
      <c r="F28" s="1346"/>
      <c r="G28" s="1346"/>
      <c r="H28" s="1346"/>
      <c r="I28" s="1346"/>
      <c r="J28" s="1346"/>
      <c r="K28" s="1346"/>
      <c r="L28" s="1346"/>
      <c r="M28" s="1346"/>
      <c r="N28" s="1342"/>
    </row>
    <row r="29" spans="2:14">
      <c r="B29" s="1256"/>
      <c r="C29" s="1347"/>
      <c r="D29" s="1348"/>
      <c r="E29" s="1256"/>
      <c r="F29" s="1256"/>
      <c r="G29" s="1249"/>
      <c r="H29" s="1249"/>
      <c r="I29" s="1249"/>
      <c r="J29" s="1249"/>
      <c r="K29" s="1249"/>
      <c r="L29" s="1249"/>
      <c r="M29" s="1256"/>
      <c r="N29" s="1342"/>
    </row>
    <row r="30" spans="2:14" ht="13.5" customHeight="1">
      <c r="B30" s="1280" t="s">
        <v>1837</v>
      </c>
      <c r="C30" s="1347"/>
      <c r="D30" s="1348"/>
      <c r="E30" s="1256"/>
      <c r="F30" s="1256"/>
      <c r="G30" s="1249"/>
      <c r="H30" s="1249"/>
      <c r="I30" s="1249"/>
      <c r="J30" s="1249"/>
      <c r="K30" s="1249"/>
      <c r="L30" s="1249"/>
      <c r="M30" s="1256"/>
      <c r="N30" s="1342"/>
    </row>
    <row r="31" spans="2:14" ht="8.25" customHeight="1">
      <c r="B31" s="1280"/>
      <c r="C31" s="1347"/>
      <c r="D31" s="1348"/>
      <c r="E31" s="1256"/>
      <c r="F31" s="1256"/>
      <c r="G31" s="1249"/>
      <c r="H31" s="1249"/>
      <c r="I31" s="1249"/>
      <c r="J31" s="1249"/>
      <c r="K31" s="1249"/>
      <c r="L31" s="1249"/>
      <c r="M31" s="1256"/>
      <c r="N31" s="1342"/>
    </row>
    <row r="32" spans="2:14">
      <c r="B32" s="1349" t="s">
        <v>1948</v>
      </c>
      <c r="C32" s="1350"/>
      <c r="D32" s="1351"/>
      <c r="E32" s="1352"/>
      <c r="F32" s="1352"/>
      <c r="G32" s="1352"/>
      <c r="H32" s="1352"/>
      <c r="I32" s="317"/>
      <c r="J32" s="317"/>
    </row>
    <row r="33" spans="2:13">
      <c r="B33" s="1275"/>
      <c r="C33" s="1353"/>
      <c r="D33" s="1354"/>
      <c r="E33" s="1276"/>
      <c r="F33" s="1276"/>
      <c r="G33" s="317"/>
      <c r="H33" s="317"/>
      <c r="I33" s="317"/>
      <c r="J33" s="317"/>
    </row>
    <row r="34" spans="2:13" ht="13.5" customHeight="1">
      <c r="B34" s="1274" t="s">
        <v>1308</v>
      </c>
      <c r="G34" s="317"/>
      <c r="H34" s="317"/>
      <c r="I34" s="317"/>
      <c r="J34" s="317"/>
    </row>
    <row r="35" spans="2:13" ht="13.5" customHeight="1">
      <c r="B35" s="1357"/>
      <c r="C35" s="1358"/>
      <c r="D35" s="1359"/>
      <c r="E35" s="1295"/>
      <c r="F35" s="1295"/>
      <c r="G35" s="1295"/>
      <c r="H35" s="1295"/>
      <c r="I35" s="1295"/>
      <c r="J35" s="1295"/>
      <c r="K35" s="1360"/>
      <c r="L35" s="1360"/>
      <c r="M35" s="1295"/>
    </row>
    <row r="36" spans="2:13" ht="9.6" customHeight="1">
      <c r="B36" s="1361"/>
      <c r="G36" s="317"/>
      <c r="H36" s="317"/>
      <c r="I36" s="317"/>
      <c r="J36" s="317"/>
    </row>
    <row r="37" spans="2:13" ht="11.25" customHeight="1">
      <c r="B37" s="1362" t="s">
        <v>1838</v>
      </c>
      <c r="C37" s="1363"/>
      <c r="D37" s="1363"/>
      <c r="E37" s="1363"/>
      <c r="F37" s="1363"/>
      <c r="G37" s="1363"/>
      <c r="H37" s="1363"/>
      <c r="I37" s="1364"/>
      <c r="J37" s="1364"/>
      <c r="K37" s="1364"/>
      <c r="L37" s="1364"/>
      <c r="M37" s="1364"/>
    </row>
    <row r="38" spans="2:13" ht="11.25" customHeight="1">
      <c r="B38" s="1365" t="s">
        <v>1666</v>
      </c>
      <c r="C38" s="1364"/>
      <c r="D38" s="1364"/>
      <c r="E38" s="1364"/>
      <c r="F38" s="1364"/>
      <c r="G38" s="1364"/>
      <c r="H38" s="1364"/>
      <c r="I38" s="1364"/>
      <c r="J38" s="1364"/>
      <c r="K38" s="1364"/>
      <c r="L38" s="1364"/>
      <c r="M38" s="1364"/>
    </row>
    <row r="39" spans="2:13" ht="3.95" customHeight="1">
      <c r="B39" s="1365"/>
      <c r="C39" s="1364"/>
      <c r="D39" s="1364"/>
      <c r="E39" s="1364"/>
      <c r="F39" s="1364"/>
      <c r="G39" s="1364"/>
      <c r="H39" s="1364"/>
      <c r="I39" s="1364"/>
      <c r="J39" s="1364"/>
      <c r="K39" s="1364"/>
      <c r="L39" s="1364"/>
      <c r="M39" s="1364"/>
    </row>
    <row r="40" spans="2:13" ht="11.25" customHeight="1">
      <c r="B40" s="1362" t="s">
        <v>1839</v>
      </c>
      <c r="C40" s="1364"/>
      <c r="D40" s="1364"/>
      <c r="E40" s="1364"/>
      <c r="F40" s="1364"/>
      <c r="G40" s="1364"/>
      <c r="H40" s="1364"/>
      <c r="I40" s="1364"/>
      <c r="J40" s="1364"/>
      <c r="K40" s="1364"/>
      <c r="L40" s="1364"/>
      <c r="M40" s="1364"/>
    </row>
    <row r="41" spans="2:13" ht="11.25" customHeight="1">
      <c r="B41" s="1298" t="s">
        <v>1667</v>
      </c>
      <c r="C41" s="1366"/>
      <c r="D41" s="1367"/>
      <c r="E41" s="1298"/>
      <c r="F41" s="1298"/>
      <c r="G41" s="1298"/>
      <c r="H41" s="1298"/>
      <c r="I41" s="1298"/>
      <c r="J41" s="1298"/>
      <c r="K41" s="1368"/>
      <c r="L41" s="1368"/>
      <c r="M41" s="1298"/>
    </row>
    <row r="42" spans="2:13" ht="3.95" customHeight="1">
      <c r="B42" s="1298"/>
      <c r="C42" s="1366"/>
      <c r="D42" s="1367"/>
      <c r="E42" s="1298"/>
      <c r="F42" s="1298"/>
      <c r="G42" s="1298"/>
      <c r="H42" s="1298"/>
      <c r="I42" s="1298"/>
      <c r="J42" s="1298"/>
      <c r="K42" s="1368"/>
      <c r="L42" s="1368"/>
      <c r="M42" s="1298"/>
    </row>
    <row r="43" spans="2:13" ht="11.25" customHeight="1">
      <c r="B43" s="1369" t="s">
        <v>1840</v>
      </c>
      <c r="C43" s="1366"/>
      <c r="D43" s="1367"/>
      <c r="E43" s="1298"/>
      <c r="F43" s="1298"/>
      <c r="G43" s="1298"/>
      <c r="H43" s="1298"/>
      <c r="I43" s="1298"/>
      <c r="J43" s="1298"/>
      <c r="K43" s="1368"/>
      <c r="L43" s="1368"/>
      <c r="M43" s="1298"/>
    </row>
    <row r="44" spans="2:13" ht="3.95" customHeight="1">
      <c r="B44" s="1369"/>
      <c r="C44" s="1366"/>
      <c r="D44" s="1367"/>
      <c r="E44" s="1298"/>
      <c r="F44" s="1298"/>
      <c r="G44" s="1298"/>
      <c r="H44" s="1298"/>
      <c r="I44" s="1298"/>
      <c r="J44" s="1298"/>
      <c r="K44" s="1368"/>
      <c r="L44" s="1368"/>
      <c r="M44" s="1298"/>
    </row>
    <row r="45" spans="2:13" ht="11.25" customHeight="1">
      <c r="B45" s="1370" t="s">
        <v>1841</v>
      </c>
      <c r="C45" s="1366"/>
      <c r="D45" s="1367"/>
      <c r="E45" s="1298"/>
      <c r="F45" s="1298"/>
      <c r="G45" s="1298"/>
      <c r="H45" s="1298"/>
      <c r="I45" s="1298"/>
      <c r="J45" s="1298"/>
      <c r="K45" s="1368"/>
      <c r="L45" s="1368"/>
      <c r="M45" s="1298"/>
    </row>
    <row r="46" spans="2:13" ht="11.25" customHeight="1">
      <c r="B46" s="1298" t="s">
        <v>1668</v>
      </c>
      <c r="G46" s="317"/>
      <c r="H46" s="317"/>
      <c r="I46" s="317"/>
      <c r="J46" s="317"/>
    </row>
    <row r="47" spans="2:13" ht="11.1" customHeight="1">
      <c r="B47" s="1298"/>
      <c r="G47" s="317"/>
      <c r="H47" s="317"/>
      <c r="I47" s="317"/>
      <c r="J47" s="317"/>
    </row>
    <row r="48" spans="2:13" ht="11.1" customHeight="1">
      <c r="B48" s="1298"/>
      <c r="G48" s="317"/>
      <c r="H48" s="317"/>
      <c r="I48" s="317"/>
      <c r="J48" s="317"/>
    </row>
    <row r="49" spans="7:13" ht="13.5" customHeight="1">
      <c r="M49" s="1371"/>
    </row>
    <row r="50" spans="7:13" ht="13.5" customHeight="1">
      <c r="M50" s="1371"/>
    </row>
    <row r="51" spans="7:13" ht="13.5" customHeight="1">
      <c r="M51" s="1371"/>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8"/>
  <sheetViews>
    <sheetView topLeftCell="A33" zoomScaleNormal="100" workbookViewId="0"/>
  </sheetViews>
  <sheetFormatPr defaultRowHeight="12.75"/>
  <cols>
    <col min="1" max="1" width="3.140625" customWidth="1"/>
    <col min="2" max="2" width="35.28515625" customWidth="1"/>
    <col min="4" max="4" width="12.7109375" bestFit="1" customWidth="1"/>
    <col min="5" max="5" width="13.7109375" bestFit="1" customWidth="1"/>
    <col min="6" max="6" width="12.28515625" customWidth="1"/>
    <col min="7" max="7" width="14.7109375" customWidth="1"/>
    <col min="8" max="8" width="12.42578125" customWidth="1"/>
    <col min="9" max="9" width="12.7109375" style="1954" customWidth="1"/>
    <col min="10" max="10" width="13.140625" customWidth="1"/>
    <col min="11" max="11" width="13" customWidth="1"/>
    <col min="16" max="16" width="3.7109375" bestFit="1" customWidth="1"/>
  </cols>
  <sheetData>
    <row r="1" spans="1:16">
      <c r="A1" s="2527" t="s">
        <v>2083</v>
      </c>
      <c r="B1" s="2527"/>
      <c r="C1" s="2527"/>
      <c r="D1" s="2527"/>
      <c r="E1" s="2527"/>
      <c r="F1" s="2527"/>
      <c r="G1" s="2527"/>
      <c r="H1" s="2527"/>
      <c r="I1" s="2527"/>
      <c r="J1" s="2527"/>
      <c r="K1" s="2527"/>
      <c r="L1" s="2527"/>
      <c r="M1" s="2527"/>
      <c r="N1" s="2527"/>
      <c r="O1" s="1954"/>
    </row>
    <row r="2" spans="1:16">
      <c r="A2" s="2527" t="s">
        <v>2084</v>
      </c>
      <c r="B2" s="2527"/>
      <c r="C2" s="2527"/>
      <c r="D2" s="2527"/>
      <c r="E2" s="2527"/>
      <c r="F2" s="2527"/>
      <c r="G2" s="2527"/>
      <c r="H2" s="2527"/>
      <c r="I2" s="2527"/>
      <c r="J2" s="2527"/>
      <c r="K2" s="2527"/>
      <c r="L2" s="2527"/>
      <c r="M2" s="2527"/>
      <c r="N2" s="2527"/>
      <c r="O2" s="1954"/>
    </row>
    <row r="3" spans="1:16">
      <c r="A3" s="2527" t="s">
        <v>1281</v>
      </c>
      <c r="B3" s="2527"/>
      <c r="C3" s="2527"/>
      <c r="D3" s="2527"/>
      <c r="E3" s="2527"/>
      <c r="F3" s="2527"/>
      <c r="G3" s="2527"/>
      <c r="H3" s="2527"/>
      <c r="I3" s="2527"/>
      <c r="J3" s="2527"/>
      <c r="K3" s="2527"/>
      <c r="L3" s="2527"/>
      <c r="M3" s="2527"/>
      <c r="N3" s="2527"/>
      <c r="O3" s="1954"/>
    </row>
    <row r="4" spans="1:16">
      <c r="A4" s="2527" t="s">
        <v>2170</v>
      </c>
      <c r="B4" s="2527"/>
      <c r="C4" s="2527"/>
      <c r="D4" s="2527"/>
      <c r="E4" s="2527"/>
      <c r="F4" s="2527"/>
      <c r="G4" s="2527"/>
      <c r="H4" s="2527"/>
      <c r="I4" s="2527"/>
      <c r="J4" s="2527"/>
      <c r="K4" s="2527"/>
      <c r="L4" s="2527"/>
      <c r="M4" s="2527"/>
      <c r="N4" s="2527"/>
      <c r="O4" s="1954"/>
    </row>
    <row r="5" spans="1:16" ht="13.5" thickBot="1">
      <c r="A5" s="1957"/>
      <c r="B5" s="1957"/>
      <c r="C5" s="1957"/>
      <c r="D5" s="1957"/>
      <c r="E5" s="1957"/>
      <c r="F5" s="1957"/>
      <c r="G5" s="1957"/>
      <c r="H5" s="1957"/>
      <c r="I5" s="1992"/>
      <c r="J5" s="1957"/>
      <c r="K5" s="1957"/>
      <c r="L5" s="1957"/>
      <c r="M5" s="1957"/>
      <c r="N5" s="1957"/>
      <c r="O5" s="1954"/>
    </row>
    <row r="6" spans="1:16" s="8" customFormat="1" ht="45.75" thickBot="1">
      <c r="A6" s="1994"/>
      <c r="B6" s="1995" t="s">
        <v>2218</v>
      </c>
      <c r="C6" s="1995" t="s">
        <v>2085</v>
      </c>
      <c r="D6" s="1996" t="s">
        <v>2086</v>
      </c>
      <c r="E6" s="1996" t="s">
        <v>2087</v>
      </c>
      <c r="F6" s="1996" t="s">
        <v>2213</v>
      </c>
      <c r="G6" s="1996" t="s">
        <v>2214</v>
      </c>
      <c r="H6" s="1996" t="s">
        <v>2220</v>
      </c>
      <c r="I6" s="1996" t="s">
        <v>2216</v>
      </c>
      <c r="J6" s="1996" t="s">
        <v>2215</v>
      </c>
      <c r="K6" s="1996" t="s">
        <v>2217</v>
      </c>
      <c r="L6" s="1996" t="s">
        <v>2088</v>
      </c>
      <c r="M6" s="1996" t="s">
        <v>2089</v>
      </c>
      <c r="N6" s="1996" t="s">
        <v>2090</v>
      </c>
      <c r="O6" s="1997" t="s">
        <v>30</v>
      </c>
    </row>
    <row r="7" spans="1:16" s="2013" customFormat="1">
      <c r="A7" s="2019" t="s">
        <v>2091</v>
      </c>
      <c r="B7" s="2014"/>
      <c r="C7" s="2020"/>
      <c r="D7" s="2020"/>
      <c r="E7" s="2020"/>
      <c r="F7" s="2014"/>
      <c r="G7" s="2014"/>
      <c r="H7" s="2014"/>
      <c r="I7" s="2014"/>
      <c r="J7" s="2014"/>
      <c r="K7" s="2014"/>
      <c r="L7" s="2014"/>
      <c r="M7" s="2014"/>
      <c r="N7" s="2014"/>
      <c r="O7" s="2014"/>
    </row>
    <row r="8" spans="1:16" s="2013" customFormat="1">
      <c r="A8" s="2008" t="s">
        <v>2092</v>
      </c>
      <c r="B8" s="2014"/>
      <c r="C8" s="2020"/>
      <c r="D8" s="2020"/>
      <c r="E8" s="2020"/>
      <c r="F8" s="2014"/>
      <c r="G8" s="2014"/>
      <c r="H8" s="2014"/>
      <c r="I8" s="2014"/>
      <c r="J8" s="2014"/>
      <c r="K8" s="2014"/>
      <c r="L8" s="2014"/>
      <c r="M8" s="2014"/>
      <c r="N8" s="2014"/>
      <c r="O8" s="2014"/>
    </row>
    <row r="9" spans="1:16" s="2013" customFormat="1">
      <c r="A9" s="2014"/>
      <c r="B9" s="2019" t="s">
        <v>2093</v>
      </c>
      <c r="C9" s="2020"/>
      <c r="D9" s="2020"/>
      <c r="E9" s="2020"/>
      <c r="F9" s="2014"/>
      <c r="G9" s="2014"/>
      <c r="H9" s="2014"/>
      <c r="I9" s="2014"/>
      <c r="J9" s="2014"/>
      <c r="K9" s="2014"/>
      <c r="L9" s="2014"/>
      <c r="M9" s="2014"/>
      <c r="N9" s="2014"/>
      <c r="O9" s="2014"/>
    </row>
    <row r="10" spans="1:16">
      <c r="A10" s="2014"/>
      <c r="B10" s="1961" t="s">
        <v>1119</v>
      </c>
      <c r="C10" s="1956">
        <v>10.553000000000001</v>
      </c>
      <c r="D10" s="1960" t="s">
        <v>2095</v>
      </c>
      <c r="E10" s="2017" t="s">
        <v>2096</v>
      </c>
      <c r="F10" s="2006">
        <v>66418</v>
      </c>
      <c r="G10" s="2005">
        <v>0</v>
      </c>
      <c r="H10" s="2006">
        <v>66418</v>
      </c>
      <c r="I10" s="2004"/>
      <c r="J10" s="2005">
        <v>0</v>
      </c>
      <c r="K10" s="2005"/>
      <c r="L10" s="2005"/>
      <c r="M10" s="2003">
        <f>H10+J10</f>
        <v>66418</v>
      </c>
      <c r="N10" s="2005">
        <v>0</v>
      </c>
      <c r="O10" s="2018" t="s">
        <v>2094</v>
      </c>
      <c r="P10" s="2015" t="s">
        <v>2219</v>
      </c>
    </row>
    <row r="11" spans="1:16">
      <c r="A11" s="2014"/>
      <c r="B11" s="1961" t="s">
        <v>1119</v>
      </c>
      <c r="C11" s="1956">
        <v>10.553000000000001</v>
      </c>
      <c r="D11" s="1960" t="s">
        <v>2097</v>
      </c>
      <c r="E11" s="2017" t="s">
        <v>2098</v>
      </c>
      <c r="F11" s="1966">
        <v>315413</v>
      </c>
      <c r="G11" s="1973">
        <v>73974</v>
      </c>
      <c r="H11" s="1966">
        <v>315413</v>
      </c>
      <c r="I11" s="2013"/>
      <c r="J11" s="1973">
        <v>73974</v>
      </c>
      <c r="K11" s="1967"/>
      <c r="L11" s="1967"/>
      <c r="M11" s="1959">
        <f t="shared" ref="M11:M20" si="0">H11+J11</f>
        <v>389387</v>
      </c>
      <c r="N11" s="1967">
        <v>0</v>
      </c>
      <c r="O11" s="2018" t="s">
        <v>2094</v>
      </c>
      <c r="P11" s="2015" t="s">
        <v>2219</v>
      </c>
    </row>
    <row r="12" spans="1:16" s="1954" customFormat="1">
      <c r="A12" s="2014"/>
      <c r="B12" s="1961" t="s">
        <v>1119</v>
      </c>
      <c r="C12" s="1956">
        <v>10.553000000000001</v>
      </c>
      <c r="D12" s="1960" t="s">
        <v>2171</v>
      </c>
      <c r="E12" s="2017" t="s">
        <v>2172</v>
      </c>
      <c r="F12" s="1966">
        <v>0</v>
      </c>
      <c r="G12" s="1973">
        <v>320708</v>
      </c>
      <c r="H12" s="1966">
        <v>0</v>
      </c>
      <c r="I12" s="2013"/>
      <c r="J12" s="1973">
        <v>320708</v>
      </c>
      <c r="K12" s="1967"/>
      <c r="L12" s="1967"/>
      <c r="M12" s="1959">
        <f t="shared" si="0"/>
        <v>320708</v>
      </c>
      <c r="N12" s="1967">
        <v>0</v>
      </c>
      <c r="O12" s="2018" t="s">
        <v>2094</v>
      </c>
      <c r="P12" s="2015" t="s">
        <v>2219</v>
      </c>
    </row>
    <row r="13" spans="1:16">
      <c r="A13" s="2014"/>
      <c r="B13" s="1961" t="s">
        <v>1118</v>
      </c>
      <c r="C13" s="1956">
        <v>10.555</v>
      </c>
      <c r="D13" s="1962" t="s">
        <v>2099</v>
      </c>
      <c r="E13" s="2017" t="s">
        <v>2096</v>
      </c>
      <c r="F13" s="1966">
        <v>212763</v>
      </c>
      <c r="G13" s="2007">
        <v>0</v>
      </c>
      <c r="H13" s="1966">
        <v>212763</v>
      </c>
      <c r="I13" s="2013"/>
      <c r="J13" s="2007">
        <v>0</v>
      </c>
      <c r="K13" s="1967"/>
      <c r="L13" s="1967"/>
      <c r="M13" s="1959">
        <f t="shared" si="0"/>
        <v>212763</v>
      </c>
      <c r="N13" s="1967">
        <v>0</v>
      </c>
      <c r="O13" s="2018" t="s">
        <v>2094</v>
      </c>
      <c r="P13" s="2015" t="s">
        <v>2219</v>
      </c>
    </row>
    <row r="14" spans="1:16">
      <c r="A14" s="2014"/>
      <c r="B14" s="1961" t="s">
        <v>1118</v>
      </c>
      <c r="C14" s="1956">
        <v>10.555</v>
      </c>
      <c r="D14" s="1962" t="s">
        <v>2100</v>
      </c>
      <c r="E14" s="2017" t="s">
        <v>2098</v>
      </c>
      <c r="F14" s="1966">
        <v>1023603</v>
      </c>
      <c r="G14" s="1973">
        <v>232120</v>
      </c>
      <c r="H14" s="1966">
        <v>1023603</v>
      </c>
      <c r="I14" s="2013"/>
      <c r="J14" s="1973">
        <v>232120</v>
      </c>
      <c r="K14" s="1967"/>
      <c r="L14" s="1967"/>
      <c r="M14" s="1959">
        <f t="shared" si="0"/>
        <v>1255723</v>
      </c>
      <c r="N14" s="1967">
        <v>0</v>
      </c>
      <c r="O14" s="2018" t="s">
        <v>2094</v>
      </c>
      <c r="P14" s="2015" t="s">
        <v>2219</v>
      </c>
    </row>
    <row r="15" spans="1:16" s="1954" customFormat="1">
      <c r="A15" s="2014"/>
      <c r="B15" s="1961" t="s">
        <v>1118</v>
      </c>
      <c r="C15" s="1956">
        <v>10.555</v>
      </c>
      <c r="D15" s="1962" t="s">
        <v>2173</v>
      </c>
      <c r="E15" s="2017" t="s">
        <v>2172</v>
      </c>
      <c r="F15" s="1966">
        <v>0</v>
      </c>
      <c r="G15" s="1973">
        <v>1021842</v>
      </c>
      <c r="H15" s="1966">
        <v>0</v>
      </c>
      <c r="I15" s="2013"/>
      <c r="J15" s="1973">
        <v>1021842</v>
      </c>
      <c r="K15" s="1967"/>
      <c r="L15" s="1967"/>
      <c r="M15" s="1959">
        <f t="shared" si="0"/>
        <v>1021842</v>
      </c>
      <c r="N15" s="1967">
        <v>0</v>
      </c>
      <c r="O15" s="2018" t="s">
        <v>2094</v>
      </c>
      <c r="P15" s="2015" t="s">
        <v>2219</v>
      </c>
    </row>
    <row r="16" spans="1:16">
      <c r="A16" s="2014"/>
      <c r="B16" s="1961" t="s">
        <v>2101</v>
      </c>
      <c r="C16" s="1956">
        <v>10.555</v>
      </c>
      <c r="D16" s="1962" t="s">
        <v>2103</v>
      </c>
      <c r="E16" s="2017" t="s">
        <v>2094</v>
      </c>
      <c r="F16" s="1966">
        <v>144007</v>
      </c>
      <c r="G16" s="2007">
        <v>0</v>
      </c>
      <c r="H16" s="1966">
        <v>144007</v>
      </c>
      <c r="I16" s="2013"/>
      <c r="J16" s="2007">
        <v>0</v>
      </c>
      <c r="K16" s="1967"/>
      <c r="L16" s="1967"/>
      <c r="M16" s="1959">
        <f t="shared" si="0"/>
        <v>144007</v>
      </c>
      <c r="N16" s="1967">
        <v>0</v>
      </c>
      <c r="O16" s="2018" t="s">
        <v>2094</v>
      </c>
      <c r="P16" s="2015" t="s">
        <v>2219</v>
      </c>
    </row>
    <row r="17" spans="1:16">
      <c r="A17" s="2014"/>
      <c r="B17" s="1961" t="s">
        <v>2102</v>
      </c>
      <c r="C17" s="1956">
        <v>10.555</v>
      </c>
      <c r="D17" s="1962" t="s">
        <v>2103</v>
      </c>
      <c r="E17" s="2017" t="s">
        <v>2094</v>
      </c>
      <c r="F17" s="1966">
        <v>14064</v>
      </c>
      <c r="G17" s="2007">
        <v>0</v>
      </c>
      <c r="H17" s="1966">
        <v>14064</v>
      </c>
      <c r="I17" s="2013"/>
      <c r="J17" s="2007">
        <v>0</v>
      </c>
      <c r="K17" s="1967"/>
      <c r="L17" s="1967"/>
      <c r="M17" s="1959">
        <f t="shared" si="0"/>
        <v>14064</v>
      </c>
      <c r="N17" s="1967">
        <v>0</v>
      </c>
      <c r="O17" s="2018" t="s">
        <v>2094</v>
      </c>
      <c r="P17" s="2015" t="s">
        <v>2219</v>
      </c>
    </row>
    <row r="18" spans="1:16" s="1954" customFormat="1">
      <c r="A18" s="2014"/>
      <c r="B18" s="1961" t="s">
        <v>2101</v>
      </c>
      <c r="C18" s="1956">
        <v>10.555</v>
      </c>
      <c r="D18" s="1962" t="s">
        <v>2174</v>
      </c>
      <c r="E18" s="2017" t="s">
        <v>2094</v>
      </c>
      <c r="F18" s="1966">
        <v>0</v>
      </c>
      <c r="G18" s="1973">
        <v>100974</v>
      </c>
      <c r="H18" s="1966">
        <v>0</v>
      </c>
      <c r="I18" s="2013"/>
      <c r="J18" s="1973">
        <v>100974</v>
      </c>
      <c r="K18" s="1967"/>
      <c r="L18" s="1967"/>
      <c r="M18" s="1959">
        <f t="shared" si="0"/>
        <v>100974</v>
      </c>
      <c r="N18" s="1967">
        <v>0</v>
      </c>
      <c r="O18" s="2018" t="s">
        <v>2094</v>
      </c>
      <c r="P18" s="2015" t="s">
        <v>2219</v>
      </c>
    </row>
    <row r="19" spans="1:16" s="1954" customFormat="1">
      <c r="A19" s="2014"/>
      <c r="B19" s="1961" t="s">
        <v>2102</v>
      </c>
      <c r="C19" s="1956">
        <v>10.555</v>
      </c>
      <c r="D19" s="1962" t="s">
        <v>2174</v>
      </c>
      <c r="E19" s="2017" t="s">
        <v>2094</v>
      </c>
      <c r="F19" s="1966">
        <v>0</v>
      </c>
      <c r="G19" s="1973">
        <v>53706</v>
      </c>
      <c r="H19" s="1966">
        <v>0</v>
      </c>
      <c r="I19" s="2013"/>
      <c r="J19" s="1973">
        <v>53706</v>
      </c>
      <c r="K19" s="1967"/>
      <c r="L19" s="1967"/>
      <c r="M19" s="1959">
        <f t="shared" si="0"/>
        <v>53706</v>
      </c>
      <c r="N19" s="1967">
        <v>0</v>
      </c>
      <c r="O19" s="2018" t="s">
        <v>2094</v>
      </c>
      <c r="P19" s="2015" t="s">
        <v>2219</v>
      </c>
    </row>
    <row r="20" spans="1:16">
      <c r="A20" s="2014"/>
      <c r="B20" s="1963" t="s">
        <v>1107</v>
      </c>
      <c r="C20" s="1956">
        <v>10.555999999999999</v>
      </c>
      <c r="D20" s="1962" t="s">
        <v>2104</v>
      </c>
      <c r="E20" s="2017" t="s">
        <v>2096</v>
      </c>
      <c r="F20" s="1967">
        <v>0</v>
      </c>
      <c r="G20" s="2007">
        <v>0</v>
      </c>
      <c r="H20" s="1967">
        <v>0</v>
      </c>
      <c r="I20" s="2013"/>
      <c r="J20" s="2007">
        <v>0</v>
      </c>
      <c r="K20" s="1967"/>
      <c r="L20" s="1967"/>
      <c r="M20" s="1959">
        <f t="shared" si="0"/>
        <v>0</v>
      </c>
      <c r="N20" s="1967">
        <v>0</v>
      </c>
      <c r="O20" s="2018" t="s">
        <v>2094</v>
      </c>
      <c r="P20" s="2015" t="s">
        <v>2219</v>
      </c>
    </row>
    <row r="21" spans="1:16">
      <c r="A21" s="2021"/>
      <c r="B21" s="2021"/>
      <c r="C21" s="1964"/>
      <c r="D21" s="1964"/>
      <c r="E21" s="1964"/>
      <c r="F21" s="1965">
        <f>SUM(F10:F20)</f>
        <v>1776268</v>
      </c>
      <c r="G21" s="1965">
        <f>SUM(G10:G20)</f>
        <v>1803324</v>
      </c>
      <c r="H21" s="1965">
        <f>SUM(H10:H20)</f>
        <v>1776268</v>
      </c>
      <c r="I21" s="1965">
        <f>SUM(I10:I20)</f>
        <v>0</v>
      </c>
      <c r="J21" s="1965">
        <f>SUM(J10:J20)</f>
        <v>1803324</v>
      </c>
      <c r="K21" s="1965">
        <v>0</v>
      </c>
      <c r="L21" s="1965">
        <v>0</v>
      </c>
      <c r="M21" s="1965">
        <f>SUM(M10:M20)</f>
        <v>3579592</v>
      </c>
      <c r="N21" s="1965">
        <v>0</v>
      </c>
      <c r="O21" s="2021"/>
    </row>
    <row r="22" spans="1:16">
      <c r="A22" s="2014"/>
      <c r="B22" s="2014"/>
      <c r="C22" s="2020"/>
      <c r="D22" s="2020"/>
      <c r="E22" s="2020"/>
      <c r="F22" s="1958"/>
      <c r="G22" s="1958"/>
      <c r="H22" s="1958"/>
      <c r="I22" s="1958"/>
      <c r="J22" s="1958"/>
      <c r="K22" s="1958"/>
      <c r="L22" s="1958"/>
      <c r="M22" s="1958"/>
      <c r="N22" s="1958"/>
      <c r="O22" s="2014"/>
    </row>
    <row r="23" spans="1:16">
      <c r="A23" s="2014"/>
      <c r="B23" s="2014" t="s">
        <v>2105</v>
      </c>
      <c r="C23" s="2020">
        <v>10.582000000000001</v>
      </c>
      <c r="D23" s="2020" t="s">
        <v>2175</v>
      </c>
      <c r="E23" s="1972" t="s">
        <v>2106</v>
      </c>
      <c r="F23" s="1958">
        <v>1771</v>
      </c>
      <c r="G23" s="1958">
        <v>0</v>
      </c>
      <c r="H23" s="1958">
        <v>1771</v>
      </c>
      <c r="I23" s="1958"/>
      <c r="J23" s="1958">
        <v>0</v>
      </c>
      <c r="K23" s="1958"/>
      <c r="L23" s="1958"/>
      <c r="M23" s="1958">
        <f>H23+J23</f>
        <v>1771</v>
      </c>
      <c r="N23" s="1958">
        <v>0</v>
      </c>
      <c r="O23" s="2018" t="s">
        <v>2094</v>
      </c>
    </row>
    <row r="24" spans="1:16">
      <c r="A24" s="2014"/>
      <c r="B24" s="2014" t="s">
        <v>2105</v>
      </c>
      <c r="C24" s="2020">
        <v>10.582000000000001</v>
      </c>
      <c r="D24" s="2020" t="s">
        <v>2176</v>
      </c>
      <c r="E24" s="1972" t="s">
        <v>2106</v>
      </c>
      <c r="F24" s="1958">
        <v>10801</v>
      </c>
      <c r="G24" s="1958">
        <v>2949</v>
      </c>
      <c r="H24" s="1958">
        <v>10801</v>
      </c>
      <c r="I24" s="1958"/>
      <c r="J24" s="1958">
        <v>2949</v>
      </c>
      <c r="K24" s="1958"/>
      <c r="L24" s="1958"/>
      <c r="M24" s="1958">
        <f>H24+J24</f>
        <v>13750</v>
      </c>
      <c r="N24" s="1958">
        <v>0</v>
      </c>
      <c r="O24" s="2018" t="s">
        <v>2094</v>
      </c>
    </row>
    <row r="25" spans="1:16" s="1954" customFormat="1">
      <c r="A25" s="2014"/>
      <c r="B25" s="2014" t="s">
        <v>2105</v>
      </c>
      <c r="C25" s="2020">
        <v>10.582000000000001</v>
      </c>
      <c r="D25" s="2020" t="s">
        <v>2177</v>
      </c>
      <c r="E25" s="1972" t="s">
        <v>2179</v>
      </c>
      <c r="F25" s="1958">
        <v>0</v>
      </c>
      <c r="G25" s="1958">
        <v>4181</v>
      </c>
      <c r="H25" s="1958">
        <v>0</v>
      </c>
      <c r="I25" s="1958"/>
      <c r="J25" s="1958">
        <v>4181</v>
      </c>
      <c r="K25" s="1958"/>
      <c r="L25" s="1958"/>
      <c r="M25" s="1958">
        <f>H25+J25</f>
        <v>4181</v>
      </c>
      <c r="N25" s="1958">
        <v>0</v>
      </c>
      <c r="O25" s="2018" t="s">
        <v>2094</v>
      </c>
    </row>
    <row r="26" spans="1:16" s="1954" customFormat="1">
      <c r="A26" s="2014"/>
      <c r="B26" s="2014" t="s">
        <v>2105</v>
      </c>
      <c r="C26" s="2020">
        <v>10.582000000000001</v>
      </c>
      <c r="D26" s="2020" t="s">
        <v>2178</v>
      </c>
      <c r="E26" s="1972" t="s">
        <v>2179</v>
      </c>
      <c r="F26" s="1958">
        <v>0</v>
      </c>
      <c r="G26" s="1958">
        <v>18134</v>
      </c>
      <c r="H26" s="1958">
        <v>0</v>
      </c>
      <c r="I26" s="1958"/>
      <c r="J26" s="1958">
        <v>18134</v>
      </c>
      <c r="K26" s="1958"/>
      <c r="L26" s="1958"/>
      <c r="M26" s="1958">
        <f>H26+J26</f>
        <v>18134</v>
      </c>
      <c r="N26" s="1958">
        <v>0</v>
      </c>
      <c r="O26" s="2018" t="s">
        <v>2094</v>
      </c>
    </row>
    <row r="27" spans="1:16">
      <c r="A27" s="2021"/>
      <c r="B27" s="2021"/>
      <c r="C27" s="1964"/>
      <c r="D27" s="1964"/>
      <c r="E27" s="1964"/>
      <c r="F27" s="1971">
        <f>SUM(F23:F26)</f>
        <v>12572</v>
      </c>
      <c r="G27" s="1971">
        <f>SUM(G23:G26)</f>
        <v>25264</v>
      </c>
      <c r="H27" s="1971">
        <f>SUM(H23:H26)</f>
        <v>12572</v>
      </c>
      <c r="I27" s="1971">
        <v>0</v>
      </c>
      <c r="J27" s="1971">
        <f>SUM(J23:J26)</f>
        <v>25264</v>
      </c>
      <c r="K27" s="1971">
        <v>0</v>
      </c>
      <c r="L27" s="1971">
        <v>0</v>
      </c>
      <c r="M27" s="1971">
        <f>SUM(M23:M26)</f>
        <v>37836</v>
      </c>
      <c r="N27" s="1971">
        <v>0</v>
      </c>
      <c r="O27" s="2021"/>
    </row>
    <row r="28" spans="1:16">
      <c r="A28" s="2014"/>
      <c r="B28" s="2014"/>
      <c r="C28" s="2020"/>
      <c r="D28" s="2020"/>
      <c r="E28" s="2020"/>
      <c r="F28" s="1958"/>
      <c r="G28" s="1958"/>
      <c r="H28" s="1958"/>
      <c r="I28" s="1958"/>
      <c r="J28" s="1958"/>
      <c r="K28" s="1958"/>
      <c r="L28" s="1958"/>
      <c r="M28" s="1958"/>
      <c r="N28" s="1958"/>
      <c r="O28" s="2014"/>
    </row>
    <row r="29" spans="1:16">
      <c r="A29" s="2012" t="s">
        <v>2107</v>
      </c>
      <c r="B29" s="1970"/>
      <c r="C29" s="1969"/>
      <c r="D29" s="1969"/>
      <c r="E29" s="1969"/>
      <c r="F29" s="2010">
        <f>F21+F27</f>
        <v>1788840</v>
      </c>
      <c r="G29" s="2010">
        <f>G21+G27</f>
        <v>1828588</v>
      </c>
      <c r="H29" s="2010">
        <f>H21+H27</f>
        <v>1788840</v>
      </c>
      <c r="I29" s="2010">
        <v>0</v>
      </c>
      <c r="J29" s="2010">
        <f>J21+J27</f>
        <v>1828588</v>
      </c>
      <c r="K29" s="2010">
        <v>0</v>
      </c>
      <c r="L29" s="2010">
        <v>0</v>
      </c>
      <c r="M29" s="2010">
        <f>M21+M27</f>
        <v>3617428</v>
      </c>
      <c r="N29" s="2010">
        <v>0</v>
      </c>
      <c r="O29" s="1970"/>
    </row>
    <row r="30" spans="1:16">
      <c r="A30" s="2014"/>
      <c r="B30" s="2014"/>
      <c r="C30" s="2020"/>
      <c r="D30" s="2020"/>
      <c r="E30" s="2020"/>
      <c r="F30" s="1958"/>
      <c r="G30" s="1958"/>
      <c r="H30" s="1958"/>
      <c r="I30" s="1958"/>
      <c r="J30" s="1958"/>
      <c r="K30" s="1958"/>
      <c r="L30" s="1958"/>
      <c r="M30" s="1958"/>
      <c r="N30" s="1958"/>
      <c r="O30" s="2014"/>
    </row>
    <row r="31" spans="1:16">
      <c r="A31" s="2019" t="s">
        <v>2108</v>
      </c>
      <c r="B31" s="2014"/>
      <c r="C31" s="2020"/>
      <c r="D31" s="2020"/>
      <c r="E31" s="2020"/>
      <c r="F31" s="1958"/>
      <c r="G31" s="1958"/>
      <c r="H31" s="1958"/>
      <c r="I31" s="1958"/>
      <c r="J31" s="1958"/>
      <c r="K31" s="1958"/>
      <c r="L31" s="1958"/>
      <c r="M31" s="1958"/>
      <c r="N31" s="1958"/>
      <c r="O31" s="2014"/>
    </row>
    <row r="32" spans="1:16">
      <c r="A32" s="2008" t="s">
        <v>2092</v>
      </c>
      <c r="B32" s="2014"/>
      <c r="C32" s="2020"/>
      <c r="D32" s="2020"/>
      <c r="E32" s="2020"/>
      <c r="F32" s="1958"/>
      <c r="G32" s="1958"/>
      <c r="H32" s="1958"/>
      <c r="I32" s="1958"/>
      <c r="J32" s="1958"/>
      <c r="K32" s="1958"/>
      <c r="L32" s="1958"/>
      <c r="M32" s="1958"/>
      <c r="N32" s="1958"/>
      <c r="O32" s="2014"/>
    </row>
    <row r="33" spans="1:15">
      <c r="A33" s="2014"/>
      <c r="B33" s="2019" t="s">
        <v>2221</v>
      </c>
      <c r="C33" s="2020"/>
      <c r="D33" s="2020"/>
      <c r="E33" s="2020"/>
      <c r="F33" s="1958"/>
      <c r="G33" s="1958"/>
      <c r="H33" s="1958"/>
      <c r="I33" s="1958"/>
      <c r="J33" s="1958"/>
      <c r="K33" s="1958"/>
      <c r="L33" s="1958"/>
      <c r="M33" s="1958"/>
      <c r="N33" s="1958"/>
      <c r="O33" s="2014"/>
    </row>
    <row r="34" spans="1:15">
      <c r="A34" s="2014"/>
      <c r="B34" s="2014" t="s">
        <v>974</v>
      </c>
      <c r="C34" s="2022" t="s">
        <v>2109</v>
      </c>
      <c r="D34" s="1975" t="s">
        <v>2110</v>
      </c>
      <c r="E34" s="1972" t="s">
        <v>2111</v>
      </c>
      <c r="F34" s="2002">
        <v>485773</v>
      </c>
      <c r="G34" s="2002">
        <v>0</v>
      </c>
      <c r="H34" s="2002">
        <v>455512</v>
      </c>
      <c r="I34" s="2002"/>
      <c r="J34" s="2002">
        <v>0</v>
      </c>
      <c r="K34" s="2002"/>
      <c r="L34" s="2002"/>
      <c r="M34" s="2002">
        <f>H34+J34</f>
        <v>455512</v>
      </c>
      <c r="N34" s="2002">
        <v>0</v>
      </c>
      <c r="O34" s="2002">
        <v>1049439</v>
      </c>
    </row>
    <row r="35" spans="1:15">
      <c r="A35" s="2014"/>
      <c r="B35" s="2014" t="s">
        <v>974</v>
      </c>
      <c r="C35" s="2022" t="s">
        <v>2109</v>
      </c>
      <c r="D35" s="1975" t="s">
        <v>2112</v>
      </c>
      <c r="E35" s="1972" t="s">
        <v>2113</v>
      </c>
      <c r="F35" s="1958">
        <v>786578</v>
      </c>
      <c r="G35" s="1958">
        <v>256327</v>
      </c>
      <c r="H35" s="1958">
        <v>812758</v>
      </c>
      <c r="I35" s="1958"/>
      <c r="J35" s="1958">
        <v>230147</v>
      </c>
      <c r="K35" s="1958"/>
      <c r="L35" s="1958"/>
      <c r="M35" s="1958">
        <f>H35+J35</f>
        <v>1042905</v>
      </c>
      <c r="N35" s="1958">
        <v>0</v>
      </c>
      <c r="O35" s="2023">
        <v>1193567</v>
      </c>
    </row>
    <row r="36" spans="1:15" s="1954" customFormat="1">
      <c r="A36" s="2014"/>
      <c r="B36" s="2014" t="s">
        <v>974</v>
      </c>
      <c r="C36" s="2022" t="s">
        <v>2109</v>
      </c>
      <c r="D36" s="1975" t="s">
        <v>2180</v>
      </c>
      <c r="E36" s="1972" t="s">
        <v>2181</v>
      </c>
      <c r="F36" s="1958">
        <v>0</v>
      </c>
      <c r="G36" s="1958">
        <v>806471</v>
      </c>
      <c r="H36" s="1958">
        <v>0</v>
      </c>
      <c r="I36" s="1958"/>
      <c r="J36" s="1958">
        <v>876868</v>
      </c>
      <c r="K36" s="1958"/>
      <c r="L36" s="1958"/>
      <c r="M36" s="1958">
        <f>H36+J36</f>
        <v>876868</v>
      </c>
      <c r="N36" s="1958">
        <f>G36-J36</f>
        <v>-70397</v>
      </c>
      <c r="O36" s="2023">
        <v>1241202</v>
      </c>
    </row>
    <row r="37" spans="1:15">
      <c r="A37" s="2021"/>
      <c r="B37" s="2021"/>
      <c r="C37" s="1964"/>
      <c r="D37" s="1964"/>
      <c r="E37" s="1964"/>
      <c r="F37" s="1971">
        <f>SUM(F34:F36)</f>
        <v>1272351</v>
      </c>
      <c r="G37" s="1971">
        <f>SUM(G34:G36)</f>
        <v>1062798</v>
      </c>
      <c r="H37" s="1971">
        <f>SUM(H34:H36)</f>
        <v>1268270</v>
      </c>
      <c r="I37" s="1971">
        <v>0</v>
      </c>
      <c r="J37" s="1971">
        <f>SUM(J34:J36)</f>
        <v>1107015</v>
      </c>
      <c r="K37" s="1971">
        <v>0</v>
      </c>
      <c r="L37" s="1971">
        <v>0</v>
      </c>
      <c r="M37" s="1971">
        <f>SUM(M34:M36)</f>
        <v>2375285</v>
      </c>
      <c r="N37" s="1971">
        <f>SUM(N34:N36)</f>
        <v>-70397</v>
      </c>
      <c r="O37" s="1974"/>
    </row>
    <row r="38" spans="1:15">
      <c r="A38" s="2014"/>
      <c r="B38" s="2014"/>
      <c r="C38" s="2020"/>
      <c r="D38" s="2020"/>
      <c r="E38" s="2020"/>
      <c r="F38" s="1958"/>
      <c r="G38" s="1958"/>
      <c r="H38" s="1958"/>
      <c r="I38" s="1958"/>
      <c r="J38" s="1958"/>
      <c r="K38" s="1958"/>
      <c r="L38" s="1958"/>
      <c r="M38" s="1958"/>
      <c r="N38" s="1958"/>
      <c r="O38" s="2014"/>
    </row>
    <row r="39" spans="1:15" s="2013" customFormat="1">
      <c r="A39" s="2019" t="s">
        <v>2114</v>
      </c>
      <c r="B39" s="2014"/>
      <c r="C39" s="2020"/>
      <c r="D39" s="2020"/>
      <c r="E39" s="2020"/>
      <c r="F39" s="1958"/>
      <c r="G39" s="1958"/>
      <c r="H39" s="1958"/>
      <c r="I39" s="1958"/>
      <c r="J39" s="1958"/>
      <c r="K39" s="1958"/>
      <c r="L39" s="1958"/>
      <c r="M39" s="1958"/>
      <c r="N39" s="1958"/>
      <c r="O39" s="2014"/>
    </row>
    <row r="40" spans="1:15" s="2013" customFormat="1">
      <c r="A40" s="2014"/>
      <c r="B40" s="2014"/>
      <c r="C40" s="2020"/>
      <c r="D40" s="2020"/>
      <c r="E40" s="2020"/>
      <c r="F40" s="1958"/>
      <c r="G40" s="1958"/>
      <c r="H40" s="1958"/>
      <c r="I40" s="1958"/>
      <c r="J40" s="1958"/>
      <c r="K40" s="1958"/>
      <c r="L40" s="1958"/>
      <c r="M40" s="1958"/>
      <c r="N40" s="1958"/>
      <c r="O40" s="2014"/>
    </row>
    <row r="41" spans="1:15">
      <c r="A41" s="2014" t="s">
        <v>2115</v>
      </c>
      <c r="B41" s="2014"/>
      <c r="C41" s="2020"/>
      <c r="D41" s="2020"/>
      <c r="E41" s="2020"/>
      <c r="F41" s="1958"/>
      <c r="G41" s="1958"/>
      <c r="H41" s="1958"/>
      <c r="I41" s="1958"/>
      <c r="J41" s="1958"/>
      <c r="K41" s="1958"/>
      <c r="L41" s="1958"/>
      <c r="M41" s="1958"/>
      <c r="N41" s="1958"/>
      <c r="O41" s="2014"/>
    </row>
    <row r="42" spans="1:15">
      <c r="A42" s="2014"/>
      <c r="B42" s="2014" t="s">
        <v>2116</v>
      </c>
      <c r="C42" s="2020">
        <v>84.027000000000001</v>
      </c>
      <c r="D42" s="1975" t="s">
        <v>2117</v>
      </c>
      <c r="E42" s="2017" t="s">
        <v>2118</v>
      </c>
      <c r="F42" s="1958">
        <v>71759</v>
      </c>
      <c r="G42" s="1958">
        <v>0</v>
      </c>
      <c r="H42" s="1958">
        <v>46718</v>
      </c>
      <c r="I42" s="1958"/>
      <c r="J42" s="1958">
        <v>0</v>
      </c>
      <c r="K42" s="1958"/>
      <c r="L42" s="1958">
        <v>0</v>
      </c>
      <c r="M42" s="1958">
        <f>H42+J42</f>
        <v>46718</v>
      </c>
      <c r="N42" s="1958">
        <v>0</v>
      </c>
      <c r="O42" s="2023">
        <v>576889</v>
      </c>
    </row>
    <row r="43" spans="1:15">
      <c r="A43" s="2014"/>
      <c r="B43" s="2014" t="s">
        <v>2116</v>
      </c>
      <c r="C43" s="2020">
        <v>84.027000000000001</v>
      </c>
      <c r="D43" s="1975" t="s">
        <v>2119</v>
      </c>
      <c r="E43" s="1972" t="s">
        <v>2120</v>
      </c>
      <c r="F43" s="1958">
        <v>578609</v>
      </c>
      <c r="G43" s="1958">
        <v>0</v>
      </c>
      <c r="H43" s="1958">
        <v>578609</v>
      </c>
      <c r="I43" s="1958"/>
      <c r="J43" s="1958">
        <v>0</v>
      </c>
      <c r="K43" s="1958"/>
      <c r="L43" s="1958">
        <v>0</v>
      </c>
      <c r="M43" s="1958">
        <f>H43+J43</f>
        <v>578609</v>
      </c>
      <c r="N43" s="1958">
        <v>0</v>
      </c>
      <c r="O43" s="2023">
        <v>579443</v>
      </c>
    </row>
    <row r="44" spans="1:15" s="1954" customFormat="1">
      <c r="A44" s="2014"/>
      <c r="B44" s="2014" t="s">
        <v>2116</v>
      </c>
      <c r="C44" s="2020">
        <v>84.027000000000001</v>
      </c>
      <c r="D44" s="1975" t="s">
        <v>2182</v>
      </c>
      <c r="E44" s="1972" t="s">
        <v>2183</v>
      </c>
      <c r="F44" s="1958">
        <v>0</v>
      </c>
      <c r="G44" s="1958">
        <v>496237</v>
      </c>
      <c r="H44" s="1958">
        <v>0</v>
      </c>
      <c r="I44" s="1958"/>
      <c r="J44" s="1958">
        <v>520434</v>
      </c>
      <c r="K44" s="1958"/>
      <c r="L44" s="1958">
        <v>21551</v>
      </c>
      <c r="M44" s="1958">
        <f>H44+J44+L44</f>
        <v>541985</v>
      </c>
      <c r="N44" s="1958">
        <f>G44-M44</f>
        <v>-45748</v>
      </c>
      <c r="O44" s="2023">
        <v>580875</v>
      </c>
    </row>
    <row r="45" spans="1:15">
      <c r="A45" s="2021"/>
      <c r="B45" s="2021"/>
      <c r="C45" s="1964"/>
      <c r="D45" s="1964"/>
      <c r="E45" s="1964"/>
      <c r="F45" s="1971">
        <f>SUM(F42:F44)</f>
        <v>650368</v>
      </c>
      <c r="G45" s="1971">
        <f>SUM(G42:G44)</f>
        <v>496237</v>
      </c>
      <c r="H45" s="1971">
        <f>SUM(H42:H44)</f>
        <v>625327</v>
      </c>
      <c r="I45" s="1971">
        <v>0</v>
      </c>
      <c r="J45" s="1971">
        <f>SUM(J42:J44)</f>
        <v>520434</v>
      </c>
      <c r="K45" s="1971">
        <v>0</v>
      </c>
      <c r="L45" s="1971">
        <f>SUM(L42:L44)</f>
        <v>21551</v>
      </c>
      <c r="M45" s="1971">
        <f>SUM(M42:M44)</f>
        <v>1167312</v>
      </c>
      <c r="N45" s="1971">
        <f>SUM(N42:N44)</f>
        <v>-45748</v>
      </c>
      <c r="O45" s="2021"/>
    </row>
    <row r="46" spans="1:15" s="2013" customFormat="1">
      <c r="A46" s="2014"/>
      <c r="B46" s="2014"/>
      <c r="C46" s="2020"/>
      <c r="D46" s="2020"/>
      <c r="E46" s="2020"/>
      <c r="F46" s="1958"/>
      <c r="G46" s="1958"/>
      <c r="H46" s="1958"/>
      <c r="I46" s="1958"/>
      <c r="J46" s="1958"/>
      <c r="K46" s="1958"/>
      <c r="L46" s="1958"/>
      <c r="M46" s="1958"/>
      <c r="N46" s="1958"/>
      <c r="O46" s="2014"/>
    </row>
    <row r="47" spans="1:15" s="2013" customFormat="1">
      <c r="A47" s="2019" t="s">
        <v>2121</v>
      </c>
      <c r="B47" s="2014"/>
      <c r="C47" s="2020"/>
      <c r="D47" s="2020"/>
      <c r="E47" s="2020"/>
      <c r="F47" s="1958"/>
      <c r="G47" s="1958"/>
      <c r="H47" s="1958"/>
      <c r="I47" s="1958"/>
      <c r="J47" s="1958"/>
      <c r="K47" s="1958"/>
      <c r="L47" s="1958"/>
      <c r="M47" s="1958"/>
      <c r="N47" s="1958"/>
      <c r="O47" s="2014"/>
    </row>
    <row r="48" spans="1:15" s="2013" customFormat="1">
      <c r="A48" s="2014"/>
      <c r="B48" s="2014"/>
      <c r="C48" s="2020"/>
      <c r="D48" s="2020"/>
      <c r="E48" s="2020"/>
      <c r="F48" s="1958"/>
      <c r="G48" s="1958"/>
      <c r="H48" s="1958"/>
      <c r="I48" s="1958"/>
      <c r="J48" s="1958"/>
      <c r="K48" s="1958"/>
      <c r="L48" s="1958"/>
      <c r="M48" s="1958"/>
      <c r="N48" s="1958"/>
      <c r="O48" s="2014"/>
    </row>
    <row r="49" spans="1:15">
      <c r="A49" s="2014" t="s">
        <v>2122</v>
      </c>
      <c r="B49" s="2014"/>
      <c r="C49" s="2020"/>
      <c r="D49" s="2020"/>
      <c r="E49" s="2020"/>
      <c r="F49" s="1958"/>
      <c r="G49" s="1958"/>
      <c r="H49" s="1958"/>
      <c r="I49" s="1958"/>
      <c r="J49" s="1958"/>
      <c r="K49" s="1958"/>
      <c r="L49" s="1958"/>
      <c r="M49" s="1958"/>
      <c r="N49" s="1958"/>
      <c r="O49" s="2014"/>
    </row>
    <row r="50" spans="1:15">
      <c r="A50" s="2014"/>
      <c r="B50" s="2014" t="s">
        <v>2123</v>
      </c>
      <c r="C50" s="2020">
        <v>84.027000000000001</v>
      </c>
      <c r="D50" s="2020" t="s">
        <v>2124</v>
      </c>
      <c r="E50" s="1972" t="s">
        <v>2125</v>
      </c>
      <c r="F50" s="1958">
        <v>721</v>
      </c>
      <c r="G50" s="1958">
        <v>0</v>
      </c>
      <c r="H50" s="1958">
        <v>721</v>
      </c>
      <c r="I50" s="1958"/>
      <c r="J50" s="1958">
        <v>0</v>
      </c>
      <c r="K50" s="1958"/>
      <c r="L50" s="1958"/>
      <c r="M50" s="1958">
        <f>H50+J50</f>
        <v>721</v>
      </c>
      <c r="N50" s="1958">
        <v>0</v>
      </c>
      <c r="O50" s="2011" t="s">
        <v>2094</v>
      </c>
    </row>
    <row r="51" spans="1:15" s="1954" customFormat="1">
      <c r="A51" s="2014"/>
      <c r="B51" s="2014" t="s">
        <v>2123</v>
      </c>
      <c r="C51" s="2020">
        <v>84.027000000000001</v>
      </c>
      <c r="D51" s="2020" t="s">
        <v>2184</v>
      </c>
      <c r="E51" s="1972" t="s">
        <v>2185</v>
      </c>
      <c r="F51" s="1958">
        <v>0</v>
      </c>
      <c r="G51" s="1958">
        <v>3887</v>
      </c>
      <c r="H51" s="1958">
        <v>0</v>
      </c>
      <c r="I51" s="1958"/>
      <c r="J51" s="1958">
        <v>3887</v>
      </c>
      <c r="K51" s="1958"/>
      <c r="L51" s="1958"/>
      <c r="M51" s="1958">
        <f>H51+J51</f>
        <v>3887</v>
      </c>
      <c r="N51" s="1958">
        <v>0</v>
      </c>
      <c r="O51" s="2011" t="s">
        <v>2094</v>
      </c>
    </row>
    <row r="52" spans="1:15" s="1954" customFormat="1">
      <c r="A52" s="2021"/>
      <c r="B52" s="2021"/>
      <c r="C52" s="1964"/>
      <c r="D52" s="1964"/>
      <c r="E52" s="1983"/>
      <c r="F52" s="1971">
        <f>SUM(F50:F51)</f>
        <v>721</v>
      </c>
      <c r="G52" s="1971">
        <f>SUM(G50:G51)</f>
        <v>3887</v>
      </c>
      <c r="H52" s="1971">
        <f>SUM(H50:H51)</f>
        <v>721</v>
      </c>
      <c r="I52" s="1971">
        <v>0</v>
      </c>
      <c r="J52" s="1971">
        <f>SUM(J50:J51)</f>
        <v>3887</v>
      </c>
      <c r="K52" s="1971">
        <v>0</v>
      </c>
      <c r="L52" s="1971">
        <v>0</v>
      </c>
      <c r="M52" s="1971">
        <f>SUM(M50:M51)</f>
        <v>4608</v>
      </c>
      <c r="N52" s="1971">
        <v>0</v>
      </c>
      <c r="O52" s="1971"/>
    </row>
    <row r="53" spans="1:15">
      <c r="A53" s="2014"/>
      <c r="B53" s="2014"/>
      <c r="C53" s="2020"/>
      <c r="D53" s="2020"/>
      <c r="E53" s="2020"/>
      <c r="F53" s="1958"/>
      <c r="G53" s="1958"/>
      <c r="H53" s="1958"/>
      <c r="I53" s="1958"/>
      <c r="J53" s="1958"/>
      <c r="K53" s="1958"/>
      <c r="L53" s="1958"/>
      <c r="M53" s="1958"/>
      <c r="N53" s="1958"/>
      <c r="O53" s="2014"/>
    </row>
    <row r="54" spans="1:15">
      <c r="A54" s="2014" t="s">
        <v>2126</v>
      </c>
      <c r="B54" s="2014"/>
      <c r="C54" s="2020"/>
      <c r="D54" s="2020"/>
      <c r="E54" s="2020"/>
      <c r="F54" s="1958"/>
      <c r="G54" s="1958"/>
      <c r="H54" s="1958"/>
      <c r="I54" s="1958"/>
      <c r="J54" s="1958"/>
      <c r="K54" s="1958"/>
      <c r="L54" s="1958"/>
      <c r="M54" s="1958"/>
      <c r="N54" s="1958"/>
      <c r="O54" s="2014"/>
    </row>
    <row r="55" spans="1:15">
      <c r="A55" s="2014"/>
      <c r="B55" s="2019" t="s">
        <v>2127</v>
      </c>
      <c r="C55" s="2020"/>
      <c r="D55" s="2020"/>
      <c r="E55" s="2020"/>
      <c r="F55" s="1958"/>
      <c r="G55" s="1958"/>
      <c r="H55" s="1958"/>
      <c r="I55" s="1958"/>
      <c r="J55" s="1958"/>
      <c r="K55" s="1958"/>
      <c r="L55" s="1958"/>
      <c r="M55" s="1958"/>
      <c r="N55" s="1958"/>
      <c r="O55" s="2014"/>
    </row>
    <row r="56" spans="1:15">
      <c r="A56" s="2014"/>
      <c r="B56" s="2014" t="s">
        <v>2128</v>
      </c>
      <c r="C56" s="2020">
        <v>84.287000000000006</v>
      </c>
      <c r="D56" s="1975" t="s">
        <v>2129</v>
      </c>
      <c r="E56" s="2017" t="s">
        <v>2130</v>
      </c>
      <c r="F56" s="1958">
        <v>17047</v>
      </c>
      <c r="G56" s="1958">
        <v>0</v>
      </c>
      <c r="H56" s="1958">
        <v>11822</v>
      </c>
      <c r="I56" s="1958"/>
      <c r="J56" s="1958">
        <v>0</v>
      </c>
      <c r="K56" s="1958"/>
      <c r="L56" s="1958"/>
      <c r="M56" s="1958">
        <f>H56+J56</f>
        <v>11822</v>
      </c>
      <c r="N56" s="1958">
        <v>0</v>
      </c>
      <c r="O56" s="2023">
        <v>114750</v>
      </c>
    </row>
    <row r="57" spans="1:15">
      <c r="A57" s="2014"/>
      <c r="B57" s="2014" t="s">
        <v>2128</v>
      </c>
      <c r="C57" s="2020">
        <v>84.287000000000006</v>
      </c>
      <c r="D57" s="1975" t="s">
        <v>2131</v>
      </c>
      <c r="E57" s="1972" t="s">
        <v>2113</v>
      </c>
      <c r="F57" s="1958">
        <v>86788</v>
      </c>
      <c r="G57" s="1958">
        <v>24011</v>
      </c>
      <c r="H57" s="1958">
        <v>94522</v>
      </c>
      <c r="I57" s="1958"/>
      <c r="J57" s="1958">
        <v>14327</v>
      </c>
      <c r="K57" s="1958"/>
      <c r="L57" s="1958"/>
      <c r="M57" s="1958">
        <f>H57+J57</f>
        <v>108849</v>
      </c>
      <c r="N57" s="1958">
        <f>SUM(F57+G57)-M57</f>
        <v>1950</v>
      </c>
      <c r="O57" s="2023">
        <v>135000</v>
      </c>
    </row>
    <row r="58" spans="1:15" s="1954" customFormat="1">
      <c r="A58" s="2014"/>
      <c r="B58" s="2014" t="s">
        <v>2128</v>
      </c>
      <c r="C58" s="2020">
        <v>84.287000000000006</v>
      </c>
      <c r="D58" s="1975" t="s">
        <v>2186</v>
      </c>
      <c r="E58" s="1972" t="s">
        <v>2181</v>
      </c>
      <c r="F58" s="1958">
        <v>0</v>
      </c>
      <c r="G58" s="1958">
        <v>71870</v>
      </c>
      <c r="H58" s="1958">
        <v>0</v>
      </c>
      <c r="I58" s="1958"/>
      <c r="J58" s="1958">
        <v>81923</v>
      </c>
      <c r="K58" s="1958"/>
      <c r="L58" s="1958"/>
      <c r="M58" s="1958">
        <f>H58+J58</f>
        <v>81923</v>
      </c>
      <c r="N58" s="1958">
        <f>G58-M58</f>
        <v>-10053</v>
      </c>
      <c r="O58" s="2023">
        <v>121500</v>
      </c>
    </row>
    <row r="59" spans="1:15">
      <c r="A59" s="2021"/>
      <c r="B59" s="2021"/>
      <c r="C59" s="1964"/>
      <c r="D59" s="1964"/>
      <c r="E59" s="1964"/>
      <c r="F59" s="1971">
        <f>SUM(F56:F58)</f>
        <v>103835</v>
      </c>
      <c r="G59" s="1971">
        <f>SUM(G56:G58)</f>
        <v>95881</v>
      </c>
      <c r="H59" s="1971">
        <f>SUM(H56:H58)</f>
        <v>106344</v>
      </c>
      <c r="I59" s="1971">
        <v>0</v>
      </c>
      <c r="J59" s="1971">
        <f>SUM(J56:J58)</f>
        <v>96250</v>
      </c>
      <c r="K59" s="1971">
        <v>0</v>
      </c>
      <c r="L59" s="1971">
        <v>0</v>
      </c>
      <c r="M59" s="1971">
        <f>SUM(M56:M58)</f>
        <v>202594</v>
      </c>
      <c r="N59" s="1971">
        <f>SUM(N56:N58)</f>
        <v>-8103</v>
      </c>
      <c r="O59" s="2021"/>
    </row>
    <row r="60" spans="1:15" s="1954" customFormat="1">
      <c r="A60" s="1984"/>
      <c r="B60" s="1984"/>
      <c r="C60" s="1985"/>
      <c r="D60" s="1985"/>
      <c r="E60" s="1985"/>
      <c r="F60" s="1987"/>
      <c r="G60" s="1987"/>
      <c r="H60" s="1987"/>
      <c r="I60" s="1987"/>
      <c r="J60" s="1987"/>
      <c r="K60" s="1987"/>
      <c r="L60" s="1987"/>
      <c r="M60" s="1987"/>
      <c r="N60" s="1987"/>
      <c r="O60" s="1984"/>
    </row>
    <row r="61" spans="1:15" s="1954" customFormat="1">
      <c r="A61" s="1984"/>
      <c r="B61" s="1984"/>
      <c r="C61" s="1985"/>
      <c r="D61" s="1985"/>
      <c r="E61" s="1985"/>
      <c r="F61" s="1987"/>
      <c r="G61" s="1987"/>
      <c r="H61" s="1987"/>
      <c r="I61" s="1987"/>
      <c r="J61" s="1987"/>
      <c r="K61" s="1987"/>
      <c r="L61" s="1987"/>
      <c r="M61" s="1987"/>
      <c r="N61" s="1987"/>
      <c r="O61" s="1984"/>
    </row>
    <row r="62" spans="1:15" s="1954" customFormat="1">
      <c r="A62" s="1984"/>
      <c r="B62" s="1984"/>
      <c r="C62" s="1985"/>
      <c r="D62" s="1985"/>
      <c r="E62" s="1985"/>
      <c r="F62" s="1987"/>
      <c r="G62" s="1987"/>
      <c r="H62" s="1987"/>
      <c r="I62" s="1987"/>
      <c r="J62" s="1987"/>
      <c r="K62" s="1987"/>
      <c r="L62" s="1987"/>
      <c r="M62" s="1987"/>
      <c r="N62" s="1987"/>
      <c r="O62" s="1984"/>
    </row>
    <row r="63" spans="1:15" s="1954" customFormat="1">
      <c r="A63" s="1984"/>
      <c r="B63" s="1984"/>
      <c r="C63" s="1985"/>
      <c r="D63" s="1985"/>
      <c r="E63" s="1985"/>
      <c r="F63" s="1987"/>
      <c r="G63" s="1987"/>
      <c r="H63" s="1987"/>
      <c r="I63" s="1987"/>
      <c r="J63" s="1987"/>
      <c r="K63" s="1987"/>
      <c r="L63" s="1987"/>
      <c r="M63" s="1987"/>
      <c r="N63" s="1987"/>
      <c r="O63" s="1984"/>
    </row>
    <row r="64" spans="1:15" s="1954" customFormat="1">
      <c r="A64" s="1984"/>
      <c r="B64" s="1984"/>
      <c r="C64" s="1985"/>
      <c r="D64" s="1985"/>
      <c r="E64" s="1985"/>
      <c r="F64" s="1987"/>
      <c r="G64" s="1987"/>
      <c r="H64" s="1987"/>
      <c r="I64" s="1987"/>
      <c r="J64" s="1987"/>
      <c r="K64" s="1987"/>
      <c r="L64" s="1987"/>
      <c r="M64" s="1987"/>
      <c r="N64" s="1987"/>
      <c r="O64" s="1984"/>
    </row>
    <row r="65" spans="1:15" s="1954" customFormat="1">
      <c r="A65" s="1984"/>
      <c r="B65" s="1984"/>
      <c r="C65" s="1985"/>
      <c r="D65" s="1985"/>
      <c r="E65" s="1985"/>
      <c r="F65" s="1987"/>
      <c r="G65" s="1987"/>
      <c r="H65" s="1987"/>
      <c r="I65" s="1987"/>
      <c r="J65" s="1987"/>
      <c r="K65" s="1987"/>
      <c r="L65" s="1987"/>
      <c r="M65" s="1987"/>
      <c r="N65" s="1987"/>
      <c r="O65" s="1984"/>
    </row>
    <row r="66" spans="1:15" s="1954" customFormat="1">
      <c r="A66" s="1984"/>
      <c r="B66" s="1984"/>
      <c r="C66" s="1985"/>
      <c r="D66" s="1985"/>
      <c r="E66" s="1985"/>
      <c r="F66" s="1987"/>
      <c r="G66" s="1987"/>
      <c r="H66" s="1987"/>
      <c r="I66" s="1987"/>
      <c r="J66" s="1987"/>
      <c r="K66" s="1987"/>
      <c r="L66" s="1987"/>
      <c r="M66" s="1987"/>
      <c r="N66" s="1987"/>
      <c r="O66" s="1984"/>
    </row>
    <row r="67" spans="1:15" s="1954" customFormat="1">
      <c r="A67" s="1984"/>
      <c r="B67" s="1984"/>
      <c r="C67" s="1985"/>
      <c r="D67" s="1985"/>
      <c r="E67" s="1985"/>
      <c r="F67" s="1987"/>
      <c r="G67" s="1987"/>
      <c r="H67" s="1987"/>
      <c r="I67" s="1987"/>
      <c r="J67" s="1987"/>
      <c r="K67" s="1987"/>
      <c r="L67" s="1987"/>
      <c r="M67" s="1987"/>
      <c r="N67" s="1987"/>
      <c r="O67" s="1984"/>
    </row>
    <row r="68" spans="1:15" s="2013" customFormat="1" ht="12.6" customHeight="1">
      <c r="A68" s="2014"/>
      <c r="B68" s="2014"/>
      <c r="C68" s="2020"/>
      <c r="D68" s="2020"/>
      <c r="E68" s="2020"/>
      <c r="F68" s="1958"/>
      <c r="G68" s="1958"/>
      <c r="H68" s="1958"/>
      <c r="I68" s="1958"/>
      <c r="J68" s="1958"/>
      <c r="K68" s="1958"/>
      <c r="L68" s="1958"/>
      <c r="M68" s="1958"/>
      <c r="N68" s="1958"/>
      <c r="O68" s="2014"/>
    </row>
    <row r="69" spans="1:15" s="2013" customFormat="1">
      <c r="A69" s="2014" t="s">
        <v>2092</v>
      </c>
      <c r="B69" s="2014"/>
      <c r="C69" s="2020"/>
      <c r="D69" s="2020"/>
      <c r="E69" s="2020"/>
      <c r="F69" s="1958"/>
      <c r="G69" s="1958"/>
      <c r="H69" s="1958"/>
      <c r="I69" s="1958"/>
      <c r="J69" s="1958"/>
      <c r="K69" s="1958"/>
      <c r="L69" s="1958"/>
      <c r="M69" s="1958"/>
      <c r="N69" s="1958"/>
      <c r="O69" s="2014"/>
    </row>
    <row r="70" spans="1:15" s="2013" customFormat="1">
      <c r="A70" s="2014"/>
      <c r="B70" s="2019" t="s">
        <v>2132</v>
      </c>
      <c r="C70" s="2020"/>
      <c r="D70" s="2020"/>
      <c r="E70" s="2020"/>
      <c r="F70" s="1958"/>
      <c r="G70" s="1958"/>
      <c r="H70" s="1958"/>
      <c r="I70" s="1958"/>
      <c r="J70" s="1958"/>
      <c r="K70" s="1958"/>
      <c r="L70" s="1958"/>
      <c r="M70" s="1958"/>
      <c r="N70" s="1958"/>
      <c r="O70" s="2014"/>
    </row>
    <row r="71" spans="1:15">
      <c r="A71" s="2014"/>
      <c r="B71" s="2014" t="s">
        <v>2133</v>
      </c>
      <c r="C71" s="2016">
        <v>84.366</v>
      </c>
      <c r="D71" s="1975" t="s">
        <v>2134</v>
      </c>
      <c r="E71" s="1972" t="s">
        <v>2135</v>
      </c>
      <c r="F71" s="1959">
        <v>0</v>
      </c>
      <c r="G71" s="1959">
        <v>0</v>
      </c>
      <c r="H71" s="1959">
        <v>0</v>
      </c>
      <c r="I71" s="1959"/>
      <c r="J71" s="1959">
        <v>0</v>
      </c>
      <c r="K71" s="1958"/>
      <c r="L71" s="1958"/>
      <c r="M71" s="1958">
        <v>0</v>
      </c>
      <c r="N71" s="1958">
        <v>0</v>
      </c>
      <c r="O71" s="2014">
        <v>0</v>
      </c>
    </row>
    <row r="72" spans="1:15">
      <c r="A72" s="2014"/>
      <c r="B72" s="2014" t="s">
        <v>2133</v>
      </c>
      <c r="C72" s="2016">
        <v>84.366</v>
      </c>
      <c r="D72" s="1975" t="s">
        <v>2136</v>
      </c>
      <c r="E72" s="1972" t="s">
        <v>2137</v>
      </c>
      <c r="F72" s="1959">
        <v>1887</v>
      </c>
      <c r="G72" s="1959">
        <v>2516</v>
      </c>
      <c r="H72" s="1959">
        <v>2075</v>
      </c>
      <c r="I72" s="1959"/>
      <c r="J72" s="1959">
        <v>2328</v>
      </c>
      <c r="K72" s="1958"/>
      <c r="L72" s="1958"/>
      <c r="M72" s="1958">
        <f>H72+J72</f>
        <v>4403</v>
      </c>
      <c r="N72" s="1958">
        <v>0</v>
      </c>
      <c r="O72" s="1973">
        <v>11450</v>
      </c>
    </row>
    <row r="73" spans="1:15" s="1954" customFormat="1">
      <c r="A73" s="2014"/>
      <c r="B73" s="2014" t="s">
        <v>2133</v>
      </c>
      <c r="C73" s="2016">
        <v>84.366</v>
      </c>
      <c r="D73" s="1975" t="s">
        <v>2187</v>
      </c>
      <c r="E73" s="1972" t="s">
        <v>2188</v>
      </c>
      <c r="F73" s="1959">
        <v>0</v>
      </c>
      <c r="G73" s="1959">
        <v>0</v>
      </c>
      <c r="H73" s="1959">
        <v>0</v>
      </c>
      <c r="I73" s="1959"/>
      <c r="J73" s="1959">
        <v>0</v>
      </c>
      <c r="K73" s="1958"/>
      <c r="L73" s="1958"/>
      <c r="M73" s="1958">
        <v>0</v>
      </c>
      <c r="N73" s="1958">
        <v>0</v>
      </c>
      <c r="O73" s="1973">
        <v>19767</v>
      </c>
    </row>
    <row r="74" spans="1:15">
      <c r="A74" s="2014"/>
      <c r="B74" s="2014" t="s">
        <v>2138</v>
      </c>
      <c r="C74" s="2016" t="s">
        <v>2139</v>
      </c>
      <c r="D74" s="1975" t="s">
        <v>2140</v>
      </c>
      <c r="E74" s="1972" t="s">
        <v>2135</v>
      </c>
      <c r="F74" s="1959">
        <v>38476</v>
      </c>
      <c r="G74" s="1959">
        <v>0</v>
      </c>
      <c r="H74" s="1959">
        <v>34083</v>
      </c>
      <c r="I74" s="1959"/>
      <c r="J74" s="1959">
        <v>0</v>
      </c>
      <c r="K74" s="1958"/>
      <c r="L74" s="1958"/>
      <c r="M74" s="1958">
        <f>H74+J74</f>
        <v>34083</v>
      </c>
      <c r="N74" s="1958">
        <v>0</v>
      </c>
      <c r="O74" s="2023">
        <v>131195</v>
      </c>
    </row>
    <row r="75" spans="1:15">
      <c r="A75" s="2014"/>
      <c r="B75" s="2014" t="s">
        <v>2138</v>
      </c>
      <c r="C75" s="2016" t="s">
        <v>2139</v>
      </c>
      <c r="D75" s="1975" t="s">
        <v>2141</v>
      </c>
      <c r="E75" s="1972" t="s">
        <v>2137</v>
      </c>
      <c r="F75" s="1959">
        <v>61478</v>
      </c>
      <c r="G75" s="1959">
        <v>17884</v>
      </c>
      <c r="H75" s="1959">
        <v>64640</v>
      </c>
      <c r="I75" s="1959"/>
      <c r="J75" s="1959">
        <v>14722</v>
      </c>
      <c r="K75" s="1958"/>
      <c r="L75" s="1958">
        <v>0</v>
      </c>
      <c r="M75" s="1958">
        <f>H75+J75</f>
        <v>79362</v>
      </c>
      <c r="N75" s="1958">
        <v>0</v>
      </c>
      <c r="O75" s="2023">
        <v>136726</v>
      </c>
    </row>
    <row r="76" spans="1:15" s="1954" customFormat="1">
      <c r="A76" s="2014"/>
      <c r="B76" s="2014" t="s">
        <v>2138</v>
      </c>
      <c r="C76" s="2016">
        <v>84.364999999999995</v>
      </c>
      <c r="D76" s="1975" t="s">
        <v>2189</v>
      </c>
      <c r="E76" s="1972" t="s">
        <v>2222</v>
      </c>
      <c r="F76" s="1959">
        <v>0</v>
      </c>
      <c r="G76" s="1959">
        <v>78753</v>
      </c>
      <c r="H76" s="1959">
        <v>0</v>
      </c>
      <c r="I76" s="1959"/>
      <c r="J76" s="1959">
        <v>84556</v>
      </c>
      <c r="K76" s="1958"/>
      <c r="L76" s="1958">
        <v>0</v>
      </c>
      <c r="M76" s="1958">
        <f>H76+J76</f>
        <v>84556</v>
      </c>
      <c r="N76" s="1958">
        <f>G76-J76</f>
        <v>-5803</v>
      </c>
      <c r="O76" s="2023">
        <v>125734</v>
      </c>
    </row>
    <row r="77" spans="1:15">
      <c r="A77" s="2021"/>
      <c r="B77" s="2021"/>
      <c r="C77" s="1964"/>
      <c r="D77" s="1964"/>
      <c r="E77" s="1964"/>
      <c r="F77" s="1971">
        <f>SUM(F71:F76)</f>
        <v>101841</v>
      </c>
      <c r="G77" s="1971">
        <f>SUM(G71:G76)</f>
        <v>99153</v>
      </c>
      <c r="H77" s="1971">
        <f>SUM(H71:H76)</f>
        <v>100798</v>
      </c>
      <c r="I77" s="1971">
        <v>0</v>
      </c>
      <c r="J77" s="1971">
        <f>SUM(J71:J76)</f>
        <v>101606</v>
      </c>
      <c r="K77" s="1971">
        <v>0</v>
      </c>
      <c r="L77" s="1971">
        <v>0</v>
      </c>
      <c r="M77" s="1971">
        <f>SUM(M71:M76)</f>
        <v>202404</v>
      </c>
      <c r="N77" s="1971">
        <f>SUM(N72:N76)</f>
        <v>-5803</v>
      </c>
      <c r="O77" s="2021"/>
    </row>
    <row r="78" spans="1:15" s="2013" customFormat="1">
      <c r="A78" s="2014"/>
      <c r="B78" s="2014"/>
      <c r="C78" s="2020"/>
      <c r="D78" s="2020"/>
      <c r="E78" s="2020"/>
      <c r="F78" s="1958"/>
      <c r="G78" s="1958"/>
      <c r="H78" s="1958"/>
      <c r="I78" s="1958"/>
      <c r="J78" s="1958"/>
      <c r="K78" s="1958"/>
      <c r="L78" s="1958"/>
      <c r="M78" s="1958"/>
      <c r="N78" s="1958"/>
      <c r="O78" s="2014"/>
    </row>
    <row r="79" spans="1:15" s="2013" customFormat="1">
      <c r="A79" s="2014" t="s">
        <v>2092</v>
      </c>
      <c r="B79" s="2014"/>
      <c r="C79" s="2020"/>
      <c r="D79" s="2020"/>
      <c r="E79" s="2020"/>
      <c r="F79" s="1958"/>
      <c r="G79" s="1958"/>
      <c r="H79" s="1958"/>
      <c r="I79" s="1958"/>
      <c r="J79" s="1958"/>
      <c r="K79" s="1958"/>
      <c r="L79" s="1958"/>
      <c r="M79" s="1958"/>
      <c r="N79" s="1958"/>
      <c r="O79" s="2014"/>
    </row>
    <row r="80" spans="1:15" s="2013" customFormat="1">
      <c r="A80" s="2014" t="s">
        <v>2142</v>
      </c>
      <c r="B80" s="2014"/>
      <c r="C80" s="2020"/>
      <c r="D80" s="2020"/>
      <c r="E80" s="2020"/>
      <c r="F80" s="1958"/>
      <c r="G80" s="1958"/>
      <c r="H80" s="1958"/>
      <c r="I80" s="1958"/>
      <c r="J80" s="1958"/>
      <c r="K80" s="1958"/>
      <c r="L80" s="1958"/>
      <c r="M80" s="1958"/>
      <c r="N80" s="1958"/>
      <c r="O80" s="2014"/>
    </row>
    <row r="81" spans="1:15">
      <c r="A81" s="2014"/>
      <c r="B81" s="1979" t="s">
        <v>2144</v>
      </c>
      <c r="C81" s="2020" t="s">
        <v>2143</v>
      </c>
      <c r="D81" s="2017" t="s">
        <v>2145</v>
      </c>
      <c r="E81" s="2017" t="s">
        <v>2146</v>
      </c>
      <c r="F81" s="1958">
        <v>5453</v>
      </c>
      <c r="G81" s="1958">
        <v>0</v>
      </c>
      <c r="H81" s="1958">
        <v>5453</v>
      </c>
      <c r="I81" s="1958"/>
      <c r="J81" s="1958">
        <v>0</v>
      </c>
      <c r="K81" s="1958"/>
      <c r="L81" s="1958">
        <v>0</v>
      </c>
      <c r="M81" s="1958">
        <f>H81+J81</f>
        <v>5453</v>
      </c>
      <c r="N81" s="1958">
        <v>0</v>
      </c>
      <c r="O81" s="2023">
        <v>8525</v>
      </c>
    </row>
    <row r="82" spans="1:15" s="1954" customFormat="1">
      <c r="A82" s="2014"/>
      <c r="B82" s="1979" t="s">
        <v>2144</v>
      </c>
      <c r="C82" s="2020" t="s">
        <v>2143</v>
      </c>
      <c r="D82" s="2017" t="s">
        <v>2190</v>
      </c>
      <c r="E82" s="2017" t="s">
        <v>2158</v>
      </c>
      <c r="F82" s="1958">
        <v>0</v>
      </c>
      <c r="G82" s="1958">
        <v>0</v>
      </c>
      <c r="H82" s="1958">
        <v>0</v>
      </c>
      <c r="I82" s="1958"/>
      <c r="J82" s="1958">
        <v>0</v>
      </c>
      <c r="K82" s="1958"/>
      <c r="L82" s="1958">
        <v>0</v>
      </c>
      <c r="M82" s="1958">
        <f>H82+J82</f>
        <v>0</v>
      </c>
      <c r="N82" s="1958">
        <v>0</v>
      </c>
      <c r="O82" s="2023">
        <v>0</v>
      </c>
    </row>
    <row r="83" spans="1:15">
      <c r="A83" s="2021"/>
      <c r="B83" s="2021"/>
      <c r="C83" s="1964"/>
      <c r="D83" s="1964"/>
      <c r="E83" s="1964"/>
      <c r="F83" s="1971">
        <f>SUM(F81:F82)</f>
        <v>5453</v>
      </c>
      <c r="G83" s="1971">
        <f>SUM(G81:G82)</f>
        <v>0</v>
      </c>
      <c r="H83" s="1971">
        <f>SUM(H81:H82)</f>
        <v>5453</v>
      </c>
      <c r="I83" s="1971">
        <v>0</v>
      </c>
      <c r="J83" s="1971">
        <f>SUM(J81:J82)</f>
        <v>0</v>
      </c>
      <c r="K83" s="1971">
        <v>0</v>
      </c>
      <c r="L83" s="1971">
        <v>0</v>
      </c>
      <c r="M83" s="1971">
        <f>SUM(M81:M82)</f>
        <v>5453</v>
      </c>
      <c r="N83" s="1971">
        <v>0</v>
      </c>
      <c r="O83" s="2021"/>
    </row>
    <row r="84" spans="1:15" s="2013" customFormat="1">
      <c r="A84" s="2014"/>
      <c r="B84" s="2014"/>
      <c r="C84" s="2020"/>
      <c r="D84" s="2020"/>
      <c r="E84" s="2020"/>
      <c r="F84" s="1958"/>
      <c r="G84" s="1958"/>
      <c r="H84" s="1958"/>
      <c r="I84" s="1958"/>
      <c r="J84" s="1958"/>
      <c r="K84" s="1958"/>
      <c r="L84" s="1958"/>
      <c r="M84" s="1958"/>
      <c r="N84" s="1958"/>
      <c r="O84" s="2014"/>
    </row>
    <row r="85" spans="1:15" s="2013" customFormat="1">
      <c r="A85" s="2014" t="s">
        <v>2092</v>
      </c>
      <c r="B85" s="2014"/>
      <c r="C85" s="2020"/>
      <c r="D85" s="2020"/>
      <c r="E85" s="2020"/>
      <c r="F85" s="1958"/>
      <c r="G85" s="1958"/>
      <c r="H85" s="1958"/>
      <c r="I85" s="1958"/>
      <c r="J85" s="1958"/>
      <c r="K85" s="1958"/>
      <c r="L85" s="1958"/>
      <c r="M85" s="1958"/>
      <c r="N85" s="1958"/>
      <c r="O85" s="2014"/>
    </row>
    <row r="86" spans="1:15">
      <c r="A86" s="2014"/>
      <c r="B86" s="2014" t="s">
        <v>2147</v>
      </c>
      <c r="C86" s="2020">
        <v>84.367000000000004</v>
      </c>
      <c r="D86" s="1978" t="s">
        <v>2148</v>
      </c>
      <c r="E86" s="1972" t="s">
        <v>2111</v>
      </c>
      <c r="F86" s="1958">
        <v>34118</v>
      </c>
      <c r="G86" s="1958">
        <v>0</v>
      </c>
      <c r="H86" s="1958">
        <v>20336</v>
      </c>
      <c r="I86" s="1958"/>
      <c r="J86" s="1958">
        <v>0</v>
      </c>
      <c r="K86" s="1958"/>
      <c r="L86" s="1958"/>
      <c r="M86" s="1958">
        <f>H86+J86</f>
        <v>20336</v>
      </c>
      <c r="N86" s="1958">
        <v>0</v>
      </c>
      <c r="O86" s="2023">
        <v>167433</v>
      </c>
    </row>
    <row r="87" spans="1:15">
      <c r="A87" s="2014"/>
      <c r="B87" s="2014" t="s">
        <v>2147</v>
      </c>
      <c r="C87" s="2020">
        <v>84.367000000000004</v>
      </c>
      <c r="D87" s="1978" t="s">
        <v>2149</v>
      </c>
      <c r="E87" s="1972" t="s">
        <v>2113</v>
      </c>
      <c r="F87" s="1958">
        <v>142543</v>
      </c>
      <c r="G87" s="1958">
        <v>18760</v>
      </c>
      <c r="H87" s="1958">
        <v>142659</v>
      </c>
      <c r="I87" s="1958"/>
      <c r="J87" s="1958">
        <v>18644</v>
      </c>
      <c r="K87" s="1958"/>
      <c r="L87" s="1958">
        <v>0</v>
      </c>
      <c r="M87" s="1958">
        <f>H87+J87</f>
        <v>161303</v>
      </c>
      <c r="N87" s="1958">
        <v>0</v>
      </c>
      <c r="O87" s="2023">
        <v>169940</v>
      </c>
    </row>
    <row r="88" spans="1:15" s="1954" customFormat="1">
      <c r="A88" s="2014"/>
      <c r="B88" s="2014" t="s">
        <v>2147</v>
      </c>
      <c r="C88" s="2020">
        <v>84.367000000000004</v>
      </c>
      <c r="D88" s="1980" t="s">
        <v>2191</v>
      </c>
      <c r="E88" s="1981" t="s">
        <v>2181</v>
      </c>
      <c r="F88" s="1958">
        <v>0</v>
      </c>
      <c r="G88" s="1958">
        <v>7833</v>
      </c>
      <c r="H88" s="1958">
        <v>0</v>
      </c>
      <c r="I88" s="1958"/>
      <c r="J88" s="1958">
        <v>7833</v>
      </c>
      <c r="K88" s="1958"/>
      <c r="L88" s="1958">
        <v>0</v>
      </c>
      <c r="M88" s="1958">
        <f>H88+J88</f>
        <v>7833</v>
      </c>
      <c r="N88" s="1958">
        <v>0</v>
      </c>
      <c r="O88" s="2023">
        <v>9097</v>
      </c>
    </row>
    <row r="89" spans="1:15">
      <c r="A89" s="2021"/>
      <c r="B89" s="2021"/>
      <c r="C89" s="1964"/>
      <c r="D89" s="1964"/>
      <c r="E89" s="1964"/>
      <c r="F89" s="1971">
        <f>SUM(F86:F88)</f>
        <v>176661</v>
      </c>
      <c r="G89" s="1971">
        <f>SUM(G86:G88)</f>
        <v>26593</v>
      </c>
      <c r="H89" s="1971">
        <f>SUM(H86:H88)</f>
        <v>162995</v>
      </c>
      <c r="I89" s="1971">
        <v>0</v>
      </c>
      <c r="J89" s="1971">
        <f>SUM(J86:J88)</f>
        <v>26477</v>
      </c>
      <c r="K89" s="1971">
        <v>0</v>
      </c>
      <c r="L89" s="1971">
        <v>0</v>
      </c>
      <c r="M89" s="1971">
        <f>SUM(M86:M88)</f>
        <v>189472</v>
      </c>
      <c r="N89" s="1971">
        <v>0</v>
      </c>
      <c r="O89" s="2021"/>
    </row>
    <row r="90" spans="1:15">
      <c r="A90" s="2014"/>
      <c r="B90" s="2014"/>
      <c r="C90" s="2020"/>
      <c r="D90" s="2020"/>
      <c r="E90" s="2020"/>
      <c r="F90" s="1958"/>
      <c r="G90" s="1958"/>
      <c r="H90" s="1958"/>
      <c r="I90" s="1958"/>
      <c r="J90" s="1958"/>
      <c r="K90" s="1958"/>
      <c r="L90" s="1958"/>
      <c r="M90" s="1958"/>
      <c r="N90" s="1958"/>
      <c r="O90" s="2014"/>
    </row>
    <row r="91" spans="1:15">
      <c r="A91" s="2012" t="s">
        <v>2150</v>
      </c>
      <c r="B91" s="1970"/>
      <c r="C91" s="1969"/>
      <c r="D91" s="1969"/>
      <c r="E91" s="1969"/>
      <c r="F91" s="2010">
        <f>F37+F45+F52+F59+F77+F83+F89</f>
        <v>2311230</v>
      </c>
      <c r="G91" s="2010">
        <f>G37+G45+G52+G59+G77+G83+G89</f>
        <v>1784549</v>
      </c>
      <c r="H91" s="2010">
        <f>H37+H45+H52+H59+H77+H83+H89</f>
        <v>2269908</v>
      </c>
      <c r="I91" s="2010">
        <v>0</v>
      </c>
      <c r="J91" s="2010">
        <f>J37+J45+J52+J59+J77+J83+J89</f>
        <v>1855669</v>
      </c>
      <c r="K91" s="2010">
        <v>0</v>
      </c>
      <c r="L91" s="2010">
        <f>L37+L45+L52+L59+L77+L83+L89</f>
        <v>21551</v>
      </c>
      <c r="M91" s="2010">
        <f>M37+M45+M52+M59+M77+M83+M89</f>
        <v>4147128</v>
      </c>
      <c r="N91" s="2010">
        <f>N37+N45+N52+N59+N77+N83+N89</f>
        <v>-130051</v>
      </c>
      <c r="O91" s="1970"/>
    </row>
    <row r="92" spans="1:15">
      <c r="A92" s="2014"/>
      <c r="B92" s="2014"/>
      <c r="C92" s="2020"/>
      <c r="D92" s="2020"/>
      <c r="E92" s="2020"/>
      <c r="F92" s="1958"/>
      <c r="G92" s="1958"/>
      <c r="H92" s="1958"/>
      <c r="I92" s="1958"/>
      <c r="J92" s="1958"/>
      <c r="K92" s="1958"/>
      <c r="L92" s="1958"/>
      <c r="M92" s="1958"/>
      <c r="N92" s="1958"/>
      <c r="O92" s="2014"/>
    </row>
    <row r="93" spans="1:15">
      <c r="A93" s="2019" t="s">
        <v>2151</v>
      </c>
      <c r="B93" s="2014"/>
      <c r="C93" s="2020"/>
      <c r="D93" s="2020"/>
      <c r="E93" s="2020"/>
      <c r="F93" s="1958"/>
      <c r="G93" s="1958"/>
      <c r="H93" s="1958"/>
      <c r="I93" s="1958"/>
      <c r="J93" s="1958"/>
      <c r="K93" s="1958"/>
      <c r="L93" s="1958"/>
      <c r="M93" s="1958"/>
      <c r="N93" s="1958"/>
      <c r="O93" s="2014"/>
    </row>
    <row r="94" spans="1:15">
      <c r="A94" s="2008" t="s">
        <v>2152</v>
      </c>
      <c r="B94" s="2014"/>
      <c r="C94" s="2020"/>
      <c r="D94" s="2020"/>
      <c r="E94" s="2020"/>
      <c r="F94" s="1958"/>
      <c r="G94" s="1958"/>
      <c r="H94" s="1958"/>
      <c r="I94" s="1958"/>
      <c r="J94" s="1958"/>
      <c r="K94" s="1958"/>
      <c r="L94" s="1958"/>
      <c r="M94" s="1958"/>
      <c r="N94" s="1958"/>
      <c r="O94" s="2014"/>
    </row>
    <row r="95" spans="1:15" s="2013" customFormat="1">
      <c r="A95" s="2014"/>
      <c r="B95" s="2019" t="s">
        <v>2153</v>
      </c>
      <c r="C95" s="2020"/>
      <c r="D95" s="2020"/>
      <c r="E95" s="1972"/>
      <c r="F95" s="1958"/>
      <c r="G95" s="1958"/>
      <c r="H95" s="1958"/>
      <c r="I95" s="1958"/>
      <c r="J95" s="1958"/>
      <c r="K95" s="1958"/>
      <c r="L95" s="1958"/>
      <c r="M95" s="1958"/>
      <c r="N95" s="1958"/>
      <c r="O95" s="2014"/>
    </row>
    <row r="96" spans="1:15">
      <c r="A96" s="2014"/>
      <c r="B96" s="2014" t="s">
        <v>2154</v>
      </c>
      <c r="C96" s="2020">
        <v>93.778000000000006</v>
      </c>
      <c r="D96" s="1982" t="s">
        <v>2155</v>
      </c>
      <c r="E96" s="1972" t="s">
        <v>2156</v>
      </c>
      <c r="F96" s="2002">
        <v>21416</v>
      </c>
      <c r="G96" s="2002">
        <v>0</v>
      </c>
      <c r="H96" s="2002">
        <v>0</v>
      </c>
      <c r="I96" s="2002"/>
      <c r="J96" s="2002">
        <v>0</v>
      </c>
      <c r="K96" s="2002"/>
      <c r="L96" s="2002"/>
      <c r="M96" s="2002">
        <f>H96+J96</f>
        <v>0</v>
      </c>
      <c r="N96" s="2002">
        <v>0</v>
      </c>
      <c r="O96" s="2018" t="s">
        <v>2094</v>
      </c>
    </row>
    <row r="97" spans="1:15">
      <c r="A97" s="1984"/>
      <c r="B97" s="1984" t="s">
        <v>2154</v>
      </c>
      <c r="C97" s="1985">
        <v>93.778000000000006</v>
      </c>
      <c r="D97" s="1986" t="s">
        <v>2157</v>
      </c>
      <c r="E97" s="1972" t="s">
        <v>2158</v>
      </c>
      <c r="F97" s="1987">
        <v>75230</v>
      </c>
      <c r="G97" s="1987">
        <v>24152</v>
      </c>
      <c r="H97" s="1987">
        <v>99382</v>
      </c>
      <c r="I97" s="1987"/>
      <c r="J97" s="1987">
        <v>0</v>
      </c>
      <c r="K97" s="1987"/>
      <c r="L97" s="1987"/>
      <c r="M97" s="1987">
        <f>H97+J97</f>
        <v>99382</v>
      </c>
      <c r="N97" s="1987">
        <v>0</v>
      </c>
      <c r="O97" s="1988" t="s">
        <v>2094</v>
      </c>
    </row>
    <row r="98" spans="1:15" s="1954" customFormat="1">
      <c r="A98" s="1970"/>
      <c r="B98" s="1970" t="s">
        <v>2154</v>
      </c>
      <c r="C98" s="1969">
        <v>93.778000000000006</v>
      </c>
      <c r="D98" s="1977" t="s">
        <v>2192</v>
      </c>
      <c r="E98" s="1981" t="s">
        <v>2193</v>
      </c>
      <c r="F98" s="1968">
        <v>0</v>
      </c>
      <c r="G98" s="1968">
        <v>67918</v>
      </c>
      <c r="H98" s="1968">
        <v>0</v>
      </c>
      <c r="I98" s="1968"/>
      <c r="J98" s="1968">
        <v>90795</v>
      </c>
      <c r="K98" s="1968"/>
      <c r="L98" s="1968"/>
      <c r="M98" s="1968">
        <f>H98+J98</f>
        <v>90795</v>
      </c>
      <c r="N98" s="1968">
        <f>G98-M98</f>
        <v>-22877</v>
      </c>
      <c r="O98" s="1976" t="s">
        <v>2094</v>
      </c>
    </row>
    <row r="99" spans="1:15">
      <c r="A99" s="2012" t="s">
        <v>2159</v>
      </c>
      <c r="B99" s="1970"/>
      <c r="C99" s="1969"/>
      <c r="D99" s="1969"/>
      <c r="E99" s="1969"/>
      <c r="F99" s="2010">
        <f>SUM(F96:F98)</f>
        <v>96646</v>
      </c>
      <c r="G99" s="2010">
        <f>SUM(G96:G98)</f>
        <v>92070</v>
      </c>
      <c r="H99" s="2010">
        <f>SUM(H96:H98)</f>
        <v>99382</v>
      </c>
      <c r="I99" s="2010">
        <v>0</v>
      </c>
      <c r="J99" s="2010">
        <f>SUM(J96:J98)</f>
        <v>90795</v>
      </c>
      <c r="K99" s="2010">
        <v>0</v>
      </c>
      <c r="L99" s="2010">
        <v>0</v>
      </c>
      <c r="M99" s="2010">
        <f>SUM(M96:M98)</f>
        <v>190177</v>
      </c>
      <c r="N99" s="2010">
        <f>SUM(N96:N98)</f>
        <v>-22877</v>
      </c>
      <c r="O99" s="1970"/>
    </row>
    <row r="100" spans="1:15" ht="13.5" thickBot="1">
      <c r="A100" s="2014"/>
      <c r="B100" s="2014"/>
      <c r="C100" s="2020"/>
      <c r="D100" s="2020"/>
      <c r="E100" s="2020"/>
      <c r="F100" s="1958"/>
      <c r="G100" s="1958"/>
      <c r="H100" s="1958"/>
      <c r="I100" s="1958"/>
      <c r="J100" s="1958"/>
      <c r="K100" s="1958"/>
      <c r="L100" s="1958"/>
      <c r="M100" s="1958"/>
      <c r="N100" s="1958"/>
      <c r="O100" s="2014"/>
    </row>
    <row r="101" spans="1:15" ht="13.5" thickBot="1">
      <c r="A101" s="2019" t="s">
        <v>2160</v>
      </c>
      <c r="B101" s="2014"/>
      <c r="C101" s="2020"/>
      <c r="D101" s="2020"/>
      <c r="E101" s="2020"/>
      <c r="F101" s="1999">
        <f>F29+F91+F99</f>
        <v>4196716</v>
      </c>
      <c r="G101" s="2001">
        <f>G29+G91+G99</f>
        <v>3705207</v>
      </c>
      <c r="H101" s="2001">
        <f>H29+H91+H99</f>
        <v>4158130</v>
      </c>
      <c r="I101" s="2001">
        <v>0</v>
      </c>
      <c r="J101" s="2001">
        <f>J29+J91+J99</f>
        <v>3775052</v>
      </c>
      <c r="K101" s="2001">
        <v>0</v>
      </c>
      <c r="L101" s="2001">
        <f>L99+L91+L29</f>
        <v>21551</v>
      </c>
      <c r="M101" s="2001">
        <f>M29+M91+M99</f>
        <v>7954733</v>
      </c>
      <c r="N101" s="1998">
        <f>N29+N91+N99</f>
        <v>-152928</v>
      </c>
      <c r="O101" s="2014"/>
    </row>
    <row r="102" spans="1:15" s="2013" customFormat="1">
      <c r="A102" s="2014"/>
      <c r="B102" s="2014"/>
      <c r="C102" s="2020"/>
      <c r="D102" s="2020"/>
      <c r="E102" s="2020"/>
      <c r="F102" s="2014"/>
      <c r="G102" s="2014"/>
      <c r="H102" s="2014"/>
      <c r="I102" s="2014"/>
      <c r="J102" s="2014"/>
      <c r="K102" s="2014"/>
      <c r="L102" s="2014"/>
      <c r="M102" s="2014"/>
      <c r="N102" s="2014"/>
      <c r="O102" s="2014"/>
    </row>
    <row r="103" spans="1:15" s="2013" customFormat="1">
      <c r="A103" s="2014" t="s">
        <v>2161</v>
      </c>
      <c r="B103" s="2014"/>
      <c r="C103" s="2020"/>
      <c r="D103" s="2020"/>
      <c r="E103" s="2020"/>
      <c r="F103" s="2014"/>
      <c r="G103" s="2014"/>
      <c r="H103" s="2014"/>
      <c r="I103" s="2014"/>
      <c r="J103" s="2014"/>
      <c r="K103" s="2014"/>
      <c r="L103" s="2014"/>
      <c r="M103" s="2014"/>
      <c r="N103" s="2014"/>
      <c r="O103" s="2014"/>
    </row>
    <row r="104" spans="1:15">
      <c r="A104" s="1954"/>
      <c r="B104" s="1954"/>
      <c r="C104" s="1954"/>
      <c r="D104" s="1954"/>
      <c r="E104" s="2000"/>
      <c r="F104" s="2013"/>
      <c r="G104" s="2013"/>
      <c r="H104" s="2013"/>
      <c r="I104" s="2013"/>
      <c r="J104" s="2013"/>
      <c r="K104" s="2013"/>
      <c r="L104" s="2013"/>
      <c r="M104" s="2013"/>
      <c r="N104" s="2013"/>
      <c r="O104" s="1954"/>
    </row>
    <row r="105" spans="1:15">
      <c r="A105" s="1954"/>
      <c r="B105" s="1954"/>
      <c r="C105" s="1954"/>
      <c r="D105" s="1954"/>
      <c r="E105" s="2000"/>
      <c r="F105" s="2013"/>
      <c r="G105" s="2013"/>
      <c r="H105" s="2013"/>
      <c r="I105" s="2013"/>
      <c r="J105" s="2013"/>
      <c r="K105" s="2013"/>
      <c r="L105" s="2013"/>
      <c r="M105" s="2013"/>
      <c r="N105" s="2013"/>
      <c r="O105" s="1954"/>
    </row>
    <row r="106" spans="1:15">
      <c r="A106" s="1954"/>
      <c r="B106" s="1954"/>
      <c r="C106" s="1954"/>
      <c r="D106" s="1954"/>
      <c r="E106" s="2000"/>
      <c r="F106" s="2013"/>
      <c r="G106" s="2013"/>
      <c r="H106" s="2013"/>
      <c r="I106" s="2013"/>
      <c r="J106" s="2013"/>
      <c r="K106" s="2013"/>
      <c r="L106" s="2013"/>
      <c r="M106" s="2013"/>
      <c r="N106" s="2013"/>
      <c r="O106" s="1954"/>
    </row>
    <row r="107" spans="1:15">
      <c r="E107" s="2000"/>
      <c r="F107" s="2013"/>
      <c r="G107" s="2013"/>
      <c r="H107" s="2013"/>
      <c r="I107" s="2013"/>
      <c r="J107" s="2013"/>
      <c r="K107" s="2013"/>
      <c r="L107" s="2013"/>
      <c r="M107" s="2013"/>
      <c r="N107" s="2013"/>
    </row>
    <row r="108" spans="1:15">
      <c r="E108" s="2013"/>
      <c r="F108" s="2013"/>
      <c r="G108" s="2013"/>
      <c r="H108" s="2013"/>
      <c r="I108" s="2013"/>
      <c r="J108" s="2013"/>
      <c r="K108" s="2013"/>
      <c r="L108" s="2013"/>
      <c r="M108" s="2013"/>
      <c r="N108" s="2013"/>
    </row>
  </sheetData>
  <mergeCells count="4">
    <mergeCell ref="A1:N1"/>
    <mergeCell ref="A2:N2"/>
    <mergeCell ref="A3:N3"/>
    <mergeCell ref="A4:N4"/>
  </mergeCells>
  <pageMargins left="0.5" right="0.5" top="0.3" bottom="0.25" header="0" footer="0"/>
  <pageSetup scale="67" fitToHeight="0" orientation="landscape"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31" zoomScaleNormal="100" workbookViewId="0"/>
  </sheetViews>
  <sheetFormatPr defaultColWidth="9.140625" defaultRowHeight="12.75"/>
  <cols>
    <col min="1" max="1" width="1.42578125" style="1298" customWidth="1"/>
    <col min="2" max="2" width="24.42578125" style="1355"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532" t="str">
        <f>'Single Audit Cover'!A7</f>
        <v>East Moline SD 37</v>
      </c>
      <c r="C1" s="2533"/>
      <c r="D1" s="2533"/>
      <c r="E1" s="2533"/>
      <c r="F1" s="2533"/>
      <c r="G1" s="2533"/>
      <c r="H1" s="2533"/>
      <c r="I1" s="2533"/>
      <c r="J1" s="1420"/>
    </row>
    <row r="2" spans="2:10" s="317" customFormat="1" ht="12.75" customHeight="1">
      <c r="B2" s="2534">
        <f>'Single Audit Cover'!E7</f>
        <v>49081037002</v>
      </c>
      <c r="C2" s="2535"/>
      <c r="D2" s="2535"/>
      <c r="E2" s="2535"/>
      <c r="F2" s="2535"/>
      <c r="G2" s="2535"/>
      <c r="H2" s="2535"/>
      <c r="I2" s="2535"/>
      <c r="J2" s="1420"/>
    </row>
    <row r="3" spans="2:10" s="317" customFormat="1" ht="12.75" customHeight="1">
      <c r="B3" s="2536" t="s">
        <v>1347</v>
      </c>
      <c r="C3" s="2537"/>
      <c r="D3" s="2537"/>
      <c r="E3" s="2537"/>
      <c r="F3" s="2537"/>
      <c r="G3" s="2537"/>
      <c r="H3" s="2537"/>
      <c r="I3" s="2537"/>
      <c r="J3" s="1421"/>
    </row>
    <row r="4" spans="2:10" s="317" customFormat="1" ht="12.75" customHeight="1">
      <c r="B4" s="2536" t="str">
        <f>'Single Audit Cover'!A4</f>
        <v>Year Ending June 30, 2018</v>
      </c>
      <c r="C4" s="2537"/>
      <c r="D4" s="2537"/>
      <c r="E4" s="2537"/>
      <c r="F4" s="2537"/>
      <c r="G4" s="2537"/>
      <c r="H4" s="2537"/>
      <c r="I4" s="2537"/>
    </row>
    <row r="5" spans="2:10" s="317" customFormat="1" ht="6.2" customHeight="1">
      <c r="B5" s="1422" t="s">
        <v>1231</v>
      </c>
      <c r="C5" s="1292"/>
      <c r="D5" s="1292"/>
      <c r="E5" s="1381"/>
      <c r="F5" s="322"/>
      <c r="G5" s="322"/>
      <c r="H5" s="322"/>
      <c r="I5" s="322"/>
    </row>
    <row r="6" spans="2:10" s="317" customFormat="1" ht="6.2" customHeight="1">
      <c r="B6" s="1423"/>
      <c r="C6" s="1377"/>
      <c r="D6" s="1377"/>
      <c r="E6" s="1378"/>
      <c r="F6" s="1377"/>
      <c r="G6" s="1377"/>
      <c r="H6" s="1377"/>
      <c r="I6" s="1377"/>
    </row>
    <row r="7" spans="2:10" s="317" customFormat="1" ht="13.5" customHeight="1">
      <c r="B7" s="2536" t="s">
        <v>1346</v>
      </c>
      <c r="C7" s="2537"/>
      <c r="D7" s="2537"/>
      <c r="E7" s="2537"/>
      <c r="F7" s="2537"/>
      <c r="G7" s="2537"/>
      <c r="H7" s="2537"/>
      <c r="I7" s="2537"/>
    </row>
    <row r="8" spans="2:10" s="317" customFormat="1" ht="6.2" customHeight="1">
      <c r="B8" s="1424" t="s">
        <v>1231</v>
      </c>
      <c r="C8" s="1425"/>
      <c r="D8" s="1425"/>
      <c r="E8" s="1426"/>
      <c r="F8" s="1425"/>
      <c r="G8" s="1425"/>
      <c r="H8" s="1425"/>
      <c r="I8" s="1425"/>
    </row>
    <row r="9" spans="2:10" s="317" customFormat="1" ht="9" customHeight="1">
      <c r="B9" s="1427"/>
      <c r="C9" s="322"/>
      <c r="D9" s="322"/>
      <c r="E9" s="1381"/>
      <c r="F9" s="322"/>
      <c r="G9" s="322"/>
      <c r="H9" s="322"/>
      <c r="I9" s="322"/>
    </row>
    <row r="10" spans="2:10" s="317" customFormat="1" ht="12.75" customHeight="1">
      <c r="B10" s="1428" t="s">
        <v>1345</v>
      </c>
      <c r="C10" s="1429"/>
      <c r="D10" s="1429"/>
      <c r="E10" s="1257"/>
    </row>
    <row r="11" spans="2:10" s="317" customFormat="1" ht="13.5" customHeight="1">
      <c r="B11" s="1347" t="s">
        <v>1344</v>
      </c>
      <c r="C11" s="2538" t="s">
        <v>2226</v>
      </c>
      <c r="D11" s="2538"/>
      <c r="E11" s="1430"/>
      <c r="F11" s="1430"/>
      <c r="G11" s="1430"/>
    </row>
    <row r="12" spans="2:10" s="317" customFormat="1" ht="11.45" customHeight="1">
      <c r="B12" s="1355"/>
      <c r="C12" s="1431" t="s">
        <v>1517</v>
      </c>
      <c r="D12" s="1432"/>
      <c r="E12" s="1257"/>
    </row>
    <row r="13" spans="2:10" s="317" customFormat="1" ht="12.75" customHeight="1">
      <c r="B13" s="1433"/>
      <c r="C13" s="1385"/>
      <c r="D13" s="1385"/>
      <c r="E13" s="1257"/>
    </row>
    <row r="14" spans="2:10" s="317" customFormat="1" ht="12.75" customHeight="1">
      <c r="B14" s="1366" t="s">
        <v>1343</v>
      </c>
      <c r="C14" s="1280"/>
      <c r="E14" s="1257"/>
    </row>
    <row r="15" spans="2:10" s="317" customFormat="1" ht="13.5" customHeight="1">
      <c r="B15" s="1434" t="s">
        <v>1340</v>
      </c>
      <c r="C15" s="1435"/>
      <c r="D15" s="1396"/>
      <c r="E15" s="1436"/>
      <c r="F15" s="1298" t="s">
        <v>940</v>
      </c>
      <c r="G15" s="1436" t="s">
        <v>2204</v>
      </c>
      <c r="H15" s="1298" t="s">
        <v>1338</v>
      </c>
      <c r="I15" s="1298"/>
    </row>
    <row r="16" spans="2:10" s="317" customFormat="1" ht="8.4499999999999993" customHeight="1">
      <c r="B16" s="1366"/>
      <c r="C16" s="1280"/>
      <c r="E16" s="1381"/>
      <c r="F16" s="1298"/>
      <c r="G16" s="322"/>
      <c r="H16" s="1298"/>
      <c r="I16" s="1298"/>
    </row>
    <row r="17" spans="2:9" s="317" customFormat="1" ht="13.5" customHeight="1">
      <c r="B17" s="1434" t="s">
        <v>1339</v>
      </c>
      <c r="C17" s="1435"/>
      <c r="D17" s="1396"/>
      <c r="E17" s="1437"/>
      <c r="F17" s="1256"/>
      <c r="G17" s="1437"/>
      <c r="H17" s="1298"/>
      <c r="I17" s="1298"/>
    </row>
    <row r="18" spans="2:9" s="317" customFormat="1" ht="12.75" customHeight="1">
      <c r="B18" s="1434" t="s">
        <v>1518</v>
      </c>
      <c r="C18" s="1435"/>
      <c r="D18" s="1396"/>
      <c r="E18" s="1436" t="s">
        <v>2204</v>
      </c>
      <c r="F18" s="1298" t="s">
        <v>940</v>
      </c>
      <c r="G18" s="1436"/>
      <c r="H18" s="1298" t="s">
        <v>1338</v>
      </c>
      <c r="I18" s="1298"/>
    </row>
    <row r="19" spans="2:9" s="317" customFormat="1" ht="8.4499999999999993" customHeight="1">
      <c r="B19" s="1366"/>
      <c r="C19" s="1280"/>
      <c r="E19" s="1381"/>
      <c r="F19" s="1298"/>
      <c r="G19" s="322"/>
      <c r="H19" s="1298"/>
      <c r="I19" s="1298"/>
    </row>
    <row r="20" spans="2:9" s="317" customFormat="1" ht="13.5" customHeight="1">
      <c r="B20" s="1434" t="s">
        <v>1673</v>
      </c>
      <c r="C20" s="1435"/>
      <c r="D20" s="1396"/>
      <c r="E20" s="1436"/>
      <c r="F20" s="1298" t="s">
        <v>940</v>
      </c>
      <c r="G20" s="1436" t="s">
        <v>2204</v>
      </c>
      <c r="H20" s="1298" t="s">
        <v>101</v>
      </c>
      <c r="I20" s="1298"/>
    </row>
    <row r="21" spans="2:9" s="317" customFormat="1" ht="12.75" customHeight="1">
      <c r="B21" s="1366"/>
      <c r="C21" s="1280"/>
      <c r="E21" s="1381"/>
      <c r="F21" s="1298"/>
      <c r="G21" s="322"/>
      <c r="H21" s="1298"/>
      <c r="I21" s="1298"/>
    </row>
    <row r="22" spans="2:9" s="317" customFormat="1" ht="12.75" customHeight="1">
      <c r="B22" s="1428" t="s">
        <v>1342</v>
      </c>
      <c r="C22" s="1438"/>
      <c r="D22" s="1429"/>
      <c r="E22" s="1381"/>
      <c r="F22" s="1298"/>
      <c r="G22" s="322"/>
      <c r="H22" s="1298"/>
      <c r="I22" s="1298"/>
    </row>
    <row r="23" spans="2:9" s="317" customFormat="1" ht="12.75" customHeight="1">
      <c r="B23" s="1366" t="s">
        <v>1341</v>
      </c>
      <c r="C23" s="1280"/>
      <c r="E23" s="1381"/>
      <c r="F23" s="1298"/>
      <c r="G23" s="322"/>
      <c r="H23" s="1298"/>
      <c r="I23" s="1298"/>
    </row>
    <row r="24" spans="2:9" s="317" customFormat="1" ht="13.5" customHeight="1">
      <c r="B24" s="1434" t="s">
        <v>1340</v>
      </c>
      <c r="C24" s="1435"/>
      <c r="D24" s="1396"/>
      <c r="E24" s="1436"/>
      <c r="F24" s="1298" t="s">
        <v>940</v>
      </c>
      <c r="G24" s="1436" t="s">
        <v>2204</v>
      </c>
      <c r="H24" s="1298" t="s">
        <v>1338</v>
      </c>
      <c r="I24" s="1298"/>
    </row>
    <row r="25" spans="2:9" s="317" customFormat="1" ht="8.4499999999999993" customHeight="1">
      <c r="B25" s="1366"/>
      <c r="C25" s="1280"/>
      <c r="E25" s="1381"/>
      <c r="F25" s="1298"/>
      <c r="G25" s="322"/>
      <c r="H25" s="1298"/>
      <c r="I25" s="1298"/>
    </row>
    <row r="26" spans="2:9" s="317" customFormat="1" ht="13.5" customHeight="1">
      <c r="B26" s="1434" t="s">
        <v>1339</v>
      </c>
      <c r="C26" s="1435"/>
      <c r="D26" s="1396"/>
      <c r="E26" s="1437"/>
      <c r="F26" s="1256"/>
      <c r="G26" s="1437"/>
      <c r="H26" s="1298"/>
      <c r="I26" s="1298"/>
    </row>
    <row r="27" spans="2:9" s="317" customFormat="1" ht="12.75" customHeight="1">
      <c r="B27" s="1434" t="s">
        <v>1518</v>
      </c>
      <c r="C27" s="1435"/>
      <c r="D27" s="1396"/>
      <c r="E27" s="1436"/>
      <c r="F27" s="1298" t="s">
        <v>940</v>
      </c>
      <c r="G27" s="1436" t="s">
        <v>2204</v>
      </c>
      <c r="H27" s="1298" t="s">
        <v>1338</v>
      </c>
      <c r="I27" s="1298"/>
    </row>
    <row r="28" spans="2:9" s="317" customFormat="1" ht="12.75" customHeight="1">
      <c r="B28" s="1366"/>
      <c r="C28" s="1280"/>
      <c r="E28" s="1257"/>
    </row>
    <row r="29" spans="2:9" s="317" customFormat="1" ht="12.75" customHeight="1">
      <c r="B29" s="1366" t="s">
        <v>1337</v>
      </c>
      <c r="C29" s="1280"/>
      <c r="D29" s="2539" t="s">
        <v>2226</v>
      </c>
      <c r="E29" s="2539"/>
      <c r="F29" s="2539"/>
      <c r="G29" s="2539"/>
      <c r="H29" s="2539"/>
      <c r="I29" s="2539"/>
    </row>
    <row r="30" spans="2:9" s="317" customFormat="1">
      <c r="B30" s="1366"/>
      <c r="C30" s="322"/>
      <c r="D30" s="1431" t="s">
        <v>1848</v>
      </c>
      <c r="E30" s="1432"/>
      <c r="F30" s="1432"/>
      <c r="G30" s="1432"/>
      <c r="H30" s="1432"/>
      <c r="I30" s="1432"/>
    </row>
    <row r="31" spans="2:9" s="317" customFormat="1" ht="9.9499999999999993" customHeight="1">
      <c r="B31" s="1366"/>
      <c r="E31" s="1257"/>
    </row>
    <row r="32" spans="2:9" s="317" customFormat="1">
      <c r="B32" s="1366" t="s">
        <v>1336</v>
      </c>
      <c r="C32" s="1280"/>
      <c r="E32" s="1257"/>
    </row>
    <row r="33" spans="2:9" ht="13.5" customHeight="1">
      <c r="B33" s="1366" t="s">
        <v>1633</v>
      </c>
      <c r="C33" s="1280"/>
      <c r="E33" s="1436"/>
      <c r="F33" s="1298" t="s">
        <v>940</v>
      </c>
      <c r="G33" s="1436" t="s">
        <v>2204</v>
      </c>
      <c r="H33" s="1298" t="s">
        <v>101</v>
      </c>
    </row>
    <row r="35" spans="2:9">
      <c r="B35" s="1439" t="s">
        <v>1849</v>
      </c>
      <c r="C35" s="1440"/>
      <c r="D35" s="1266"/>
    </row>
    <row r="36" spans="2:9" ht="6" customHeight="1">
      <c r="B36" s="1439"/>
      <c r="C36" s="1440"/>
      <c r="D36" s="1266"/>
    </row>
    <row r="37" spans="2:9" ht="17.25" customHeight="1">
      <c r="B37" s="1441" t="s">
        <v>1850</v>
      </c>
      <c r="C37" s="2540" t="s">
        <v>1851</v>
      </c>
      <c r="D37" s="2541"/>
      <c r="E37" s="2541"/>
      <c r="F37" s="2542"/>
      <c r="G37" s="2540" t="s">
        <v>1674</v>
      </c>
      <c r="H37" s="2541"/>
      <c r="I37" s="2542"/>
    </row>
    <row r="38" spans="2:9" ht="16.5" customHeight="1">
      <c r="B38" s="1442" t="s">
        <v>2227</v>
      </c>
      <c r="C38" s="2528" t="s">
        <v>2228</v>
      </c>
      <c r="D38" s="2529"/>
      <c r="E38" s="2529"/>
      <c r="F38" s="2530"/>
      <c r="G38" s="2543">
        <f>'WF SEFA '!J21</f>
        <v>1803324</v>
      </c>
      <c r="H38" s="2544"/>
      <c r="I38" s="2545"/>
    </row>
    <row r="39" spans="2:9" ht="16.5" customHeight="1">
      <c r="B39" s="1442"/>
      <c r="C39" s="2528"/>
      <c r="D39" s="2529"/>
      <c r="E39" s="2529"/>
      <c r="F39" s="2530"/>
      <c r="G39" s="2531"/>
      <c r="H39" s="2531"/>
      <c r="I39" s="2531"/>
    </row>
    <row r="40" spans="2:9" ht="16.5" customHeight="1">
      <c r="B40" s="1442"/>
      <c r="C40" s="2528"/>
      <c r="D40" s="2529"/>
      <c r="E40" s="2529"/>
      <c r="F40" s="2530"/>
      <c r="G40" s="2531"/>
      <c r="H40" s="2531"/>
      <c r="I40" s="2531"/>
    </row>
    <row r="41" spans="2:9" ht="16.5" customHeight="1">
      <c r="B41" s="1442"/>
      <c r="C41" s="2528"/>
      <c r="D41" s="2529"/>
      <c r="E41" s="2529"/>
      <c r="F41" s="2530"/>
      <c r="G41" s="2531"/>
      <c r="H41" s="2531"/>
      <c r="I41" s="2531"/>
    </row>
    <row r="42" spans="2:9" ht="16.5" customHeight="1">
      <c r="B42" s="1442"/>
      <c r="C42" s="2546" t="s">
        <v>1675</v>
      </c>
      <c r="D42" s="2547"/>
      <c r="E42" s="2547"/>
      <c r="F42" s="2548"/>
      <c r="G42" s="2549">
        <f>SUM(G38:I41)</f>
        <v>1803324</v>
      </c>
      <c r="H42" s="2549"/>
      <c r="I42" s="2549"/>
    </row>
    <row r="43" spans="2:9" ht="12.75" customHeight="1"/>
    <row r="44" spans="2:9" ht="12.75" customHeight="1">
      <c r="B44" s="1433" t="s">
        <v>1949</v>
      </c>
      <c r="D44" s="2550">
        <f>'WF SEFA '!J101</f>
        <v>3775052</v>
      </c>
      <c r="E44" s="2551"/>
    </row>
    <row r="45" spans="2:9" ht="5.25" customHeight="1">
      <c r="B45" s="1443"/>
      <c r="D45" s="1444"/>
      <c r="E45" s="1445"/>
    </row>
    <row r="46" spans="2:9" ht="12.75" customHeight="1">
      <c r="B46" s="1298" t="s">
        <v>1676</v>
      </c>
      <c r="C46" s="1298"/>
      <c r="D46" s="1446">
        <f>+G42/D44</f>
        <v>0.47769514168281657</v>
      </c>
      <c r="E46" s="1447"/>
      <c r="F46" s="1448"/>
      <c r="I46" s="1449"/>
    </row>
    <row r="47" spans="2:9" ht="9.9499999999999993" customHeight="1"/>
    <row r="48" spans="2:9">
      <c r="B48" s="1366" t="s">
        <v>1335</v>
      </c>
      <c r="C48" s="1280"/>
      <c r="D48" s="1280"/>
      <c r="E48" s="2552">
        <v>750000</v>
      </c>
      <c r="F48" s="2552"/>
      <c r="G48" s="2552"/>
      <c r="H48" s="322"/>
    </row>
    <row r="50" spans="1:9" ht="13.5" customHeight="1">
      <c r="B50" s="1366" t="s">
        <v>1334</v>
      </c>
      <c r="C50" s="1280"/>
      <c r="E50" s="1436"/>
      <c r="F50" s="1298" t="s">
        <v>940</v>
      </c>
      <c r="G50" s="1436" t="s">
        <v>2204</v>
      </c>
      <c r="H50" s="1298" t="s">
        <v>101</v>
      </c>
    </row>
    <row r="51" spans="1:9">
      <c r="B51" s="1358"/>
      <c r="C51" s="1295"/>
      <c r="D51" s="1450"/>
      <c r="E51" s="1451"/>
      <c r="F51" s="1452"/>
      <c r="G51" s="1452"/>
      <c r="H51" s="1452"/>
      <c r="I51" s="1452"/>
    </row>
    <row r="52" spans="1:9" ht="6" customHeight="1">
      <c r="B52" s="1427"/>
      <c r="C52" s="322"/>
      <c r="D52" s="1453"/>
      <c r="E52" s="1454"/>
      <c r="F52" s="1455"/>
      <c r="G52" s="1455"/>
      <c r="H52" s="1455"/>
      <c r="I52" s="1455"/>
    </row>
    <row r="53" spans="1:9" s="1459" customFormat="1" ht="14.25">
      <c r="A53" s="1456"/>
      <c r="B53" s="1457" t="s">
        <v>1852</v>
      </c>
      <c r="C53" s="1458"/>
      <c r="D53" s="1458"/>
    </row>
    <row r="54" spans="1:9" s="1459" customFormat="1" ht="12.75" customHeight="1">
      <c r="A54" s="1456"/>
      <c r="B54" s="1460" t="s">
        <v>1677</v>
      </c>
      <c r="C54" s="1456"/>
      <c r="D54" s="1456"/>
    </row>
    <row r="55" spans="1:9" s="1459" customFormat="1" ht="12.75" customHeight="1">
      <c r="A55" s="1456"/>
      <c r="B55" s="1460" t="s">
        <v>1678</v>
      </c>
      <c r="C55" s="1456"/>
      <c r="D55" s="1456"/>
    </row>
    <row r="56" spans="1:9" s="1459" customFormat="1" ht="3.95" customHeight="1">
      <c r="A56" s="1456"/>
      <c r="B56" s="1460"/>
      <c r="C56" s="1456"/>
      <c r="D56" s="1456"/>
    </row>
    <row r="57" spans="1:9" s="1459" customFormat="1" ht="13.5" customHeight="1">
      <c r="A57" s="1456"/>
      <c r="B57" s="1461" t="s">
        <v>1853</v>
      </c>
      <c r="C57" s="1462"/>
      <c r="D57" s="1462"/>
    </row>
    <row r="58" spans="1:9" s="1459" customFormat="1" ht="3.95" customHeight="1">
      <c r="A58" s="1456"/>
      <c r="B58" s="1461"/>
      <c r="C58" s="1462"/>
      <c r="D58" s="1462"/>
    </row>
    <row r="59" spans="1:9" s="1459" customFormat="1" ht="13.5" customHeight="1">
      <c r="A59" s="1456"/>
      <c r="B59" s="1461" t="s">
        <v>1854</v>
      </c>
      <c r="C59" s="1462"/>
      <c r="D59" s="1462"/>
    </row>
    <row r="60" spans="1:9" s="1459" customFormat="1" ht="3.95" customHeight="1">
      <c r="A60" s="1456"/>
      <c r="B60" s="1461"/>
      <c r="C60" s="1462"/>
      <c r="D60" s="1462"/>
    </row>
    <row r="61" spans="1:9" s="1459" customFormat="1" ht="12.75" customHeight="1">
      <c r="A61" s="1456"/>
      <c r="B61" s="1461" t="s">
        <v>1855</v>
      </c>
      <c r="C61" s="1462"/>
      <c r="D61" s="1462"/>
    </row>
    <row r="62" spans="1:9" s="1459" customFormat="1" ht="13.5" customHeight="1">
      <c r="A62" s="1456"/>
      <c r="B62" s="1460" t="s">
        <v>1679</v>
      </c>
      <c r="C62" s="1456"/>
      <c r="D62" s="1456"/>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Normal="10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532" t="str">
        <f>'Single Audit Cover'!A7</f>
        <v>East Moline SD 37</v>
      </c>
      <c r="C1" s="2532"/>
      <c r="D1" s="2532"/>
      <c r="E1" s="2532"/>
      <c r="F1" s="2532"/>
      <c r="G1" s="2532"/>
      <c r="H1" s="2532"/>
      <c r="I1" s="2532"/>
      <c r="J1" s="2532"/>
      <c r="K1" s="2532"/>
      <c r="L1" s="1372"/>
      <c r="M1" s="1372"/>
    </row>
    <row r="2" spans="1:13" ht="12" customHeight="1">
      <c r="B2" s="2534">
        <f>'Single Audit Cover'!E7</f>
        <v>49081037002</v>
      </c>
      <c r="C2" s="2534"/>
      <c r="D2" s="2534"/>
      <c r="E2" s="2534"/>
      <c r="F2" s="2534"/>
      <c r="G2" s="2534"/>
      <c r="H2" s="2534"/>
      <c r="I2" s="2534"/>
      <c r="J2" s="2534"/>
      <c r="K2" s="2534"/>
      <c r="L2" s="1373"/>
      <c r="M2" s="1374"/>
    </row>
    <row r="3" spans="1:13" ht="10.35" customHeight="1">
      <c r="B3" s="2556" t="s">
        <v>1347</v>
      </c>
      <c r="C3" s="2556"/>
      <c r="D3" s="2556"/>
      <c r="E3" s="2556"/>
      <c r="F3" s="2556"/>
      <c r="G3" s="2556"/>
      <c r="H3" s="2556"/>
      <c r="I3" s="2556"/>
      <c r="J3" s="2556"/>
      <c r="K3" s="2556"/>
      <c r="L3" s="1375"/>
      <c r="M3" s="1375"/>
    </row>
    <row r="4" spans="1:13" ht="14.25" customHeight="1">
      <c r="B4" s="2557" t="str">
        <f>'Single Audit Cover'!A4</f>
        <v>Year Ending June 30, 2018</v>
      </c>
      <c r="C4" s="2557"/>
      <c r="D4" s="2557"/>
      <c r="E4" s="2557"/>
      <c r="F4" s="2557"/>
      <c r="G4" s="2557"/>
      <c r="H4" s="2557"/>
      <c r="I4" s="2557"/>
      <c r="J4" s="2557"/>
      <c r="K4" s="2557"/>
      <c r="L4" s="313"/>
      <c r="M4" s="313"/>
    </row>
    <row r="5" spans="1:13" ht="7.5" customHeight="1">
      <c r="B5" s="1259" t="s">
        <v>1231</v>
      </c>
      <c r="C5" s="1259"/>
    </row>
    <row r="6" spans="1:13" ht="7.5" customHeight="1">
      <c r="B6" s="1376"/>
      <c r="C6" s="1376"/>
      <c r="D6" s="1377"/>
      <c r="E6" s="1377"/>
      <c r="F6" s="1377"/>
      <c r="G6" s="1378"/>
      <c r="H6" s="1377"/>
      <c r="I6" s="1378"/>
      <c r="J6" s="1377"/>
      <c r="K6" s="1377"/>
      <c r="L6" s="1379"/>
    </row>
    <row r="7" spans="1:13" ht="12.75" customHeight="1">
      <c r="A7" s="1280"/>
      <c r="B7" s="2557" t="s">
        <v>1363</v>
      </c>
      <c r="C7" s="2557"/>
      <c r="D7" s="2558"/>
      <c r="E7" s="2558"/>
      <c r="F7" s="2558"/>
      <c r="G7" s="2558"/>
      <c r="H7" s="2558"/>
      <c r="I7" s="2558"/>
      <c r="J7" s="2558"/>
      <c r="K7" s="2558"/>
      <c r="L7" s="1380"/>
    </row>
    <row r="8" spans="1:13" ht="7.5" customHeight="1">
      <c r="B8" s="322"/>
      <c r="C8" s="322"/>
      <c r="D8" s="322"/>
      <c r="E8" s="322"/>
      <c r="F8" s="322"/>
      <c r="G8" s="1381"/>
      <c r="H8" s="322"/>
      <c r="I8" s="1381"/>
      <c r="J8" s="322"/>
      <c r="K8" s="322"/>
      <c r="L8" s="1379"/>
    </row>
    <row r="9" spans="1:13" ht="9.6" customHeight="1">
      <c r="B9" s="1377"/>
      <c r="C9" s="1377"/>
      <c r="D9" s="1377"/>
      <c r="E9" s="1377"/>
      <c r="F9" s="1377"/>
      <c r="G9" s="1378"/>
      <c r="H9" s="1377"/>
      <c r="I9" s="1378"/>
      <c r="J9" s="1377"/>
      <c r="K9" s="1377"/>
      <c r="L9" s="1379"/>
    </row>
    <row r="10" spans="1:13" ht="16.5" customHeight="1">
      <c r="B10" s="1382" t="s">
        <v>1842</v>
      </c>
      <c r="C10" s="1383" t="s">
        <v>1950</v>
      </c>
      <c r="D10" s="1384">
        <v>1</v>
      </c>
      <c r="E10" s="322"/>
      <c r="F10" s="1385" t="s">
        <v>1362</v>
      </c>
      <c r="G10" s="1386"/>
      <c r="H10" s="1387" t="s">
        <v>1361</v>
      </c>
      <c r="I10" s="1386" t="s">
        <v>2204</v>
      </c>
      <c r="J10" s="1388" t="s">
        <v>1360</v>
      </c>
      <c r="K10" s="322"/>
      <c r="L10" s="1379"/>
    </row>
    <row r="11" spans="1:13" ht="13.5" customHeight="1">
      <c r="B11" s="322"/>
      <c r="C11" s="322"/>
      <c r="D11" s="322"/>
      <c r="E11" s="322"/>
      <c r="F11" s="322"/>
      <c r="G11" s="1381"/>
      <c r="H11" s="322"/>
      <c r="I11" s="1389" t="s">
        <v>1359</v>
      </c>
      <c r="J11" s="322"/>
      <c r="K11" s="1390">
        <v>2007</v>
      </c>
      <c r="L11" s="1379"/>
    </row>
    <row r="12" spans="1:13" ht="13.5" customHeight="1">
      <c r="B12" s="1292"/>
      <c r="C12" s="1292"/>
      <c r="D12" s="322"/>
      <c r="E12" s="322"/>
      <c r="F12" s="322"/>
      <c r="G12" s="1381"/>
      <c r="H12" s="322"/>
      <c r="I12" s="1381"/>
      <c r="J12" s="322"/>
      <c r="L12" s="1379"/>
    </row>
    <row r="13" spans="1:13" s="1280" customFormat="1" ht="13.5" customHeight="1">
      <c r="B13" s="1391" t="s">
        <v>1358</v>
      </c>
      <c r="C13" s="1391"/>
      <c r="D13" s="1392"/>
      <c r="E13" s="1392"/>
      <c r="F13" s="1392"/>
      <c r="G13" s="1393"/>
      <c r="H13" s="1392"/>
      <c r="I13" s="1393"/>
      <c r="J13" s="1392"/>
      <c r="K13" s="1392"/>
      <c r="L13" s="1394"/>
    </row>
    <row r="14" spans="1:13" ht="45.75" customHeight="1">
      <c r="B14" s="2553" t="s">
        <v>2229</v>
      </c>
      <c r="C14" s="2553"/>
      <c r="D14" s="2553"/>
      <c r="E14" s="2553"/>
      <c r="F14" s="2553"/>
      <c r="G14" s="2553"/>
      <c r="H14" s="2553"/>
      <c r="I14" s="2553"/>
      <c r="J14" s="2553"/>
      <c r="K14" s="2553"/>
      <c r="L14" s="1395"/>
    </row>
    <row r="15" spans="1:13" ht="4.5" customHeight="1">
      <c r="B15" s="1396"/>
      <c r="C15" s="1396"/>
      <c r="D15" s="1397"/>
      <c r="E15" s="1397"/>
      <c r="F15" s="1397"/>
      <c r="H15" s="1397"/>
      <c r="J15" s="1397"/>
      <c r="K15" s="1397"/>
      <c r="L15" s="1395"/>
    </row>
    <row r="16" spans="1:13" s="1280" customFormat="1" ht="13.5" customHeight="1">
      <c r="B16" s="1391" t="s">
        <v>1357</v>
      </c>
      <c r="C16" s="1391"/>
      <c r="D16" s="1392"/>
      <c r="E16" s="1392"/>
      <c r="F16" s="1392"/>
      <c r="G16" s="1393"/>
      <c r="H16" s="1392"/>
      <c r="I16" s="1393"/>
      <c r="J16" s="1392"/>
      <c r="K16" s="1392"/>
      <c r="L16" s="1394"/>
    </row>
    <row r="17" spans="2:12" ht="45.75" customHeight="1">
      <c r="B17" s="2553" t="s">
        <v>2230</v>
      </c>
      <c r="C17" s="2553"/>
      <c r="D17" s="2553"/>
      <c r="E17" s="2553"/>
      <c r="F17" s="2553"/>
      <c r="G17" s="2553"/>
      <c r="H17" s="2553"/>
      <c r="I17" s="2553"/>
      <c r="J17" s="2553"/>
      <c r="K17" s="2553"/>
      <c r="L17" s="1379"/>
    </row>
    <row r="18" spans="2:12" ht="4.5" customHeight="1">
      <c r="B18" s="1396"/>
      <c r="C18" s="1396"/>
      <c r="L18" s="1379"/>
    </row>
    <row r="19" spans="2:12" s="1280" customFormat="1" ht="13.5" customHeight="1">
      <c r="B19" s="1391" t="s">
        <v>1843</v>
      </c>
      <c r="C19" s="1391"/>
      <c r="D19" s="1392"/>
      <c r="E19" s="1392"/>
      <c r="F19" s="1392"/>
      <c r="G19" s="1393"/>
      <c r="H19" s="1392"/>
      <c r="I19" s="1393"/>
      <c r="J19" s="1392"/>
      <c r="K19" s="1392"/>
      <c r="L19" s="1394"/>
    </row>
    <row r="20" spans="2:12" ht="45.75" customHeight="1">
      <c r="B20" s="2559" t="s">
        <v>2231</v>
      </c>
      <c r="C20" s="2559"/>
      <c r="D20" s="2553"/>
      <c r="E20" s="2553"/>
      <c r="F20" s="2553"/>
      <c r="G20" s="2553"/>
      <c r="H20" s="2553"/>
      <c r="I20" s="2553"/>
      <c r="J20" s="2553"/>
      <c r="K20" s="2553"/>
      <c r="L20" s="1379"/>
    </row>
    <row r="21" spans="2:12" ht="4.5" customHeight="1">
      <c r="B21" s="1398"/>
      <c r="C21" s="1398"/>
      <c r="L21" s="1379"/>
    </row>
    <row r="22" spans="2:12" ht="13.5" customHeight="1">
      <c r="B22" s="1391" t="s">
        <v>1356</v>
      </c>
      <c r="C22" s="1391"/>
      <c r="D22" s="1377"/>
      <c r="E22" s="1377"/>
      <c r="F22" s="1377"/>
      <c r="G22" s="1378"/>
      <c r="H22" s="1377"/>
      <c r="I22" s="1378"/>
      <c r="J22" s="1377"/>
      <c r="K22" s="1377"/>
      <c r="L22" s="1379"/>
    </row>
    <row r="23" spans="2:12" ht="45" customHeight="1">
      <c r="B23" s="2553" t="s">
        <v>2232</v>
      </c>
      <c r="C23" s="2553"/>
      <c r="D23" s="2553"/>
      <c r="E23" s="2553"/>
      <c r="F23" s="2553"/>
      <c r="G23" s="2553"/>
      <c r="H23" s="2553"/>
      <c r="I23" s="2553"/>
      <c r="J23" s="2553"/>
      <c r="K23" s="2553"/>
      <c r="L23" s="1379"/>
    </row>
    <row r="24" spans="2:12" ht="4.5" customHeight="1">
      <c r="B24" s="1396"/>
      <c r="C24" s="1396"/>
      <c r="L24" s="1379"/>
    </row>
    <row r="25" spans="2:12" ht="13.5" customHeight="1">
      <c r="B25" s="1391" t="s">
        <v>1355</v>
      </c>
      <c r="C25" s="1391"/>
      <c r="D25" s="1377"/>
      <c r="E25" s="1377"/>
      <c r="F25" s="1377"/>
      <c r="G25" s="1378"/>
      <c r="H25" s="1377"/>
      <c r="I25" s="1378"/>
      <c r="J25" s="1377"/>
      <c r="K25" s="1377"/>
      <c r="L25" s="1379"/>
    </row>
    <row r="26" spans="2:12" ht="45.75" customHeight="1">
      <c r="B26" s="2553" t="s">
        <v>2233</v>
      </c>
      <c r="C26" s="2553"/>
      <c r="D26" s="2553"/>
      <c r="E26" s="2553"/>
      <c r="F26" s="2553"/>
      <c r="G26" s="2553"/>
      <c r="H26" s="2553"/>
      <c r="I26" s="2553"/>
      <c r="J26" s="2553"/>
      <c r="K26" s="2553"/>
      <c r="L26" s="1379"/>
    </row>
    <row r="27" spans="2:12" ht="4.5" customHeight="1">
      <c r="B27" s="1396"/>
      <c r="C27" s="1396"/>
      <c r="L27" s="1379"/>
    </row>
    <row r="28" spans="2:12" ht="13.5" customHeight="1">
      <c r="B28" s="1399" t="s">
        <v>1354</v>
      </c>
      <c r="C28" s="1399"/>
      <c r="D28" s="1377"/>
      <c r="E28" s="1377"/>
      <c r="F28" s="1377"/>
      <c r="G28" s="1378"/>
      <c r="H28" s="1377"/>
      <c r="I28" s="1378"/>
      <c r="J28" s="1377"/>
      <c r="K28" s="1377"/>
      <c r="L28" s="1379"/>
    </row>
    <row r="29" spans="2:12" ht="45.75" customHeight="1">
      <c r="B29" s="2554" t="s">
        <v>2234</v>
      </c>
      <c r="C29" s="2554"/>
      <c r="D29" s="2553"/>
      <c r="E29" s="2553"/>
      <c r="F29" s="2553"/>
      <c r="G29" s="2553"/>
      <c r="H29" s="2553"/>
      <c r="I29" s="2553"/>
      <c r="J29" s="2553"/>
      <c r="K29" s="2553"/>
      <c r="L29" s="1379"/>
    </row>
    <row r="30" spans="2:12" ht="4.5" customHeight="1">
      <c r="B30" s="1400"/>
      <c r="C30" s="1400"/>
      <c r="D30" s="322"/>
      <c r="E30" s="322"/>
      <c r="F30" s="322"/>
      <c r="G30" s="1381"/>
      <c r="H30" s="322"/>
      <c r="I30" s="1381"/>
      <c r="J30" s="322"/>
      <c r="K30" s="322"/>
      <c r="L30" s="1379"/>
    </row>
    <row r="31" spans="2:12" s="322" customFormat="1" ht="13.5" customHeight="1">
      <c r="B31" s="1401" t="s">
        <v>1844</v>
      </c>
      <c r="C31" s="1401"/>
      <c r="D31" s="1376"/>
      <c r="E31" s="1377"/>
      <c r="F31" s="1377"/>
      <c r="G31" s="1378"/>
      <c r="H31" s="1377"/>
      <c r="I31" s="1378"/>
      <c r="J31" s="1377"/>
      <c r="K31" s="1377"/>
      <c r="L31" s="1379"/>
    </row>
    <row r="32" spans="2:12" s="322" customFormat="1" ht="44.25" customHeight="1">
      <c r="B32" s="2555" t="s">
        <v>2235</v>
      </c>
      <c r="C32" s="2555"/>
      <c r="D32" s="2553"/>
      <c r="E32" s="2553"/>
      <c r="F32" s="2553"/>
      <c r="G32" s="2553"/>
      <c r="H32" s="2553"/>
      <c r="I32" s="2553"/>
      <c r="J32" s="2553"/>
      <c r="K32" s="2553"/>
      <c r="L32" s="1379"/>
    </row>
    <row r="33" spans="1:13" s="322" customFormat="1" ht="4.5" customHeight="1">
      <c r="B33" s="1400"/>
      <c r="C33" s="1400"/>
      <c r="G33" s="1381"/>
      <c r="I33" s="1381"/>
      <c r="L33" s="1379"/>
    </row>
    <row r="34" spans="1:13" s="322" customFormat="1">
      <c r="A34" s="1295"/>
      <c r="B34" s="1415"/>
      <c r="C34" s="1415"/>
      <c r="D34" s="1415"/>
      <c r="E34" s="1415"/>
      <c r="F34" s="1415"/>
      <c r="G34" s="1416"/>
      <c r="H34" s="1415"/>
      <c r="I34" s="1416"/>
      <c r="J34" s="1415"/>
      <c r="K34" s="1415"/>
      <c r="L34" s="1379"/>
    </row>
    <row r="35" spans="1:13" ht="11.85" customHeight="1">
      <c r="B35" s="1417" t="s">
        <v>1845</v>
      </c>
      <c r="C35" s="1417"/>
      <c r="D35" s="322"/>
      <c r="E35" s="322"/>
      <c r="F35" s="322"/>
      <c r="L35" s="1379"/>
    </row>
    <row r="36" spans="1:13" ht="9.6" customHeight="1">
      <c r="B36" s="1298" t="s">
        <v>1951</v>
      </c>
      <c r="C36" s="1298"/>
      <c r="L36" s="1379"/>
    </row>
    <row r="37" spans="1:13" ht="9.6" customHeight="1">
      <c r="B37" s="1298" t="s">
        <v>1952</v>
      </c>
      <c r="C37" s="1298"/>
    </row>
    <row r="38" spans="1:13" ht="11.85" customHeight="1">
      <c r="B38" s="1418" t="s">
        <v>1846</v>
      </c>
      <c r="C38" s="1418"/>
    </row>
    <row r="39" spans="1:13" ht="9.6" customHeight="1">
      <c r="B39" s="1298" t="s">
        <v>1348</v>
      </c>
      <c r="C39" s="1298"/>
      <c r="M39" s="1419"/>
    </row>
    <row r="40" spans="1:13" ht="12.6" customHeight="1">
      <c r="B40" s="1418" t="s">
        <v>1847</v>
      </c>
      <c r="C40" s="1418"/>
      <c r="M40" s="1419"/>
    </row>
    <row r="41" spans="1:13" ht="9.6" customHeight="1">
      <c r="B41" s="1298"/>
      <c r="C41" s="1298"/>
      <c r="M41" s="1419"/>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3" zoomScaleNormal="10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60" t="str">
        <f>'Single Audit Cover'!A7</f>
        <v>East Moline SD 37</v>
      </c>
      <c r="C1" s="2560"/>
      <c r="D1" s="2560"/>
      <c r="E1" s="2560"/>
      <c r="F1" s="2560"/>
      <c r="G1" s="2560"/>
      <c r="H1" s="2560"/>
      <c r="I1" s="2560"/>
      <c r="J1" s="2560"/>
      <c r="K1" s="2560"/>
      <c r="L1" s="1463"/>
    </row>
    <row r="2" spans="1:12" ht="12.75" customHeight="1">
      <c r="B2" s="2561">
        <f>'Single Audit Cover'!E7</f>
        <v>49081037002</v>
      </c>
      <c r="C2" s="2561"/>
      <c r="D2" s="2561"/>
      <c r="E2" s="2561"/>
      <c r="F2" s="2561"/>
      <c r="G2" s="2561"/>
      <c r="H2" s="2561"/>
      <c r="I2" s="2561"/>
      <c r="J2" s="2561"/>
      <c r="K2" s="2561"/>
      <c r="L2" s="1464"/>
    </row>
    <row r="3" spans="1:12" ht="12.75" customHeight="1">
      <c r="B3" s="2556" t="s">
        <v>1347</v>
      </c>
      <c r="C3" s="2556"/>
      <c r="D3" s="2556"/>
      <c r="E3" s="2556"/>
      <c r="F3" s="2556"/>
      <c r="G3" s="2556"/>
      <c r="H3" s="2556"/>
      <c r="I3" s="2556"/>
      <c r="J3" s="2556"/>
      <c r="K3" s="2556"/>
      <c r="L3" s="1375"/>
    </row>
    <row r="4" spans="1:12" ht="12.75" customHeight="1">
      <c r="B4" s="2556" t="str">
        <f>'Single Audit Cover'!A4</f>
        <v>Year Ending June 30, 2018</v>
      </c>
      <c r="C4" s="2556"/>
      <c r="D4" s="2556"/>
      <c r="E4" s="2556"/>
      <c r="F4" s="2556"/>
      <c r="G4" s="2556"/>
      <c r="H4" s="2556"/>
      <c r="I4" s="2556"/>
      <c r="J4" s="2556"/>
      <c r="K4" s="2556"/>
      <c r="L4" s="1375"/>
    </row>
    <row r="5" spans="1:12" ht="5.25" customHeight="1">
      <c r="B5" s="1259" t="s">
        <v>1231</v>
      </c>
      <c r="C5" s="1259"/>
      <c r="L5" s="322"/>
    </row>
    <row r="6" spans="1:12" ht="30.75" customHeight="1">
      <c r="A6" s="322"/>
      <c r="B6" s="2562" t="s">
        <v>1375</v>
      </c>
      <c r="C6" s="2562"/>
      <c r="D6" s="2562"/>
      <c r="E6" s="2562"/>
      <c r="F6" s="2562"/>
      <c r="G6" s="2562"/>
      <c r="H6" s="2562"/>
      <c r="I6" s="2562"/>
      <c r="J6" s="2562"/>
      <c r="K6" s="2562"/>
      <c r="L6" s="322"/>
    </row>
    <row r="7" spans="1:12" ht="4.5" customHeight="1">
      <c r="B7" s="1377"/>
      <c r="C7" s="1377"/>
      <c r="D7" s="1377"/>
      <c r="E7" s="1377"/>
      <c r="F7" s="1377"/>
      <c r="G7" s="1378"/>
      <c r="H7" s="1377"/>
      <c r="I7" s="1378"/>
      <c r="J7" s="1377"/>
      <c r="K7" s="1377"/>
      <c r="L7" s="322"/>
    </row>
    <row r="8" spans="1:12" ht="13.5" customHeight="1">
      <c r="B8" s="1385" t="s">
        <v>1856</v>
      </c>
      <c r="C8" s="1465" t="s">
        <v>1950</v>
      </c>
      <c r="D8" s="1466"/>
      <c r="E8" s="322"/>
      <c r="F8" s="1382" t="s">
        <v>1362</v>
      </c>
      <c r="G8" s="1467"/>
      <c r="H8" s="1468" t="s">
        <v>1374</v>
      </c>
      <c r="I8" s="1467"/>
      <c r="J8" s="1469" t="s">
        <v>1373</v>
      </c>
      <c r="L8" s="322"/>
    </row>
    <row r="9" spans="1:12" ht="13.5" customHeight="1">
      <c r="D9" s="322"/>
      <c r="E9" s="322"/>
      <c r="F9" s="322"/>
      <c r="G9" s="1381"/>
      <c r="H9" s="322"/>
      <c r="I9" s="1470" t="s">
        <v>1359</v>
      </c>
      <c r="J9" s="322"/>
      <c r="K9" s="1471"/>
      <c r="L9" s="322"/>
    </row>
    <row r="10" spans="1:12" ht="4.5" customHeight="1">
      <c r="B10" s="1472"/>
      <c r="C10" s="1472"/>
      <c r="D10" s="1425"/>
      <c r="E10" s="1425"/>
      <c r="F10" s="1425"/>
      <c r="G10" s="1426"/>
      <c r="H10" s="1425"/>
      <c r="I10" s="1426"/>
      <c r="J10" s="1425"/>
      <c r="K10" s="1425"/>
      <c r="L10" s="322"/>
    </row>
    <row r="11" spans="1:12" ht="5.25" customHeight="1">
      <c r="B11" s="322"/>
      <c r="C11" s="322"/>
      <c r="D11" s="304"/>
      <c r="E11" s="322"/>
      <c r="F11" s="322"/>
      <c r="G11" s="1381"/>
      <c r="H11" s="322"/>
      <c r="I11" s="1381"/>
      <c r="J11" s="322"/>
      <c r="K11" s="1430"/>
      <c r="L11" s="322"/>
    </row>
    <row r="12" spans="1:12" ht="13.5" customHeight="1">
      <c r="B12" s="1382" t="s">
        <v>1372</v>
      </c>
      <c r="C12" s="1382"/>
      <c r="D12" s="304"/>
      <c r="E12" s="322"/>
      <c r="F12" s="2539"/>
      <c r="G12" s="2539"/>
      <c r="H12" s="2539"/>
      <c r="I12" s="2539"/>
      <c r="J12" s="2539"/>
      <c r="K12" s="2539"/>
      <c r="L12" s="322"/>
    </row>
    <row r="13" spans="1:12" ht="9.6" customHeight="1">
      <c r="B13" s="1256"/>
      <c r="C13" s="1256"/>
      <c r="D13" s="304"/>
      <c r="E13" s="322"/>
      <c r="F13" s="322"/>
      <c r="G13" s="1381"/>
      <c r="H13" s="322"/>
      <c r="I13" s="1381"/>
      <c r="J13" s="322"/>
      <c r="K13" s="1430"/>
      <c r="L13" s="322"/>
    </row>
    <row r="14" spans="1:12" ht="13.5" customHeight="1">
      <c r="B14" s="1385" t="s">
        <v>1371</v>
      </c>
      <c r="C14" s="1385"/>
      <c r="D14" s="2564"/>
      <c r="E14" s="2564"/>
      <c r="F14" s="2564"/>
      <c r="H14" s="1473" t="s">
        <v>1370</v>
      </c>
      <c r="I14" s="2565"/>
      <c r="J14" s="2565"/>
      <c r="K14" s="2565"/>
      <c r="L14" s="322"/>
    </row>
    <row r="15" spans="1:12" ht="9.4" customHeight="1">
      <c r="B15" s="1385"/>
      <c r="C15" s="1385"/>
      <c r="D15" s="1371"/>
      <c r="E15" s="1259"/>
      <c r="F15" s="1259"/>
      <c r="G15" s="1284"/>
      <c r="H15" s="1259"/>
      <c r="I15" s="1474"/>
      <c r="J15" s="1292"/>
      <c r="K15" s="1289"/>
      <c r="L15" s="322"/>
    </row>
    <row r="16" spans="1:12" ht="13.5" customHeight="1">
      <c r="B16" s="1385" t="s">
        <v>1369</v>
      </c>
      <c r="C16" s="1385"/>
      <c r="D16" s="2565"/>
      <c r="E16" s="2565"/>
      <c r="F16" s="2565"/>
      <c r="G16" s="2565"/>
      <c r="H16" s="2565"/>
      <c r="I16" s="2565"/>
      <c r="J16" s="2565"/>
      <c r="K16" s="2565"/>
      <c r="L16" s="322"/>
    </row>
    <row r="17" spans="2:12" ht="13.5" customHeight="1">
      <c r="B17" s="1385" t="s">
        <v>1368</v>
      </c>
      <c r="C17" s="1385"/>
      <c r="D17" s="2566"/>
      <c r="E17" s="2566"/>
      <c r="F17" s="2566"/>
      <c r="G17" s="2566"/>
      <c r="H17" s="2566"/>
      <c r="I17" s="2566"/>
      <c r="J17" s="2566"/>
      <c r="K17" s="2566"/>
      <c r="L17" s="322"/>
    </row>
    <row r="18" spans="2:12" ht="9.4" customHeight="1">
      <c r="B18" s="1425"/>
      <c r="C18" s="1425"/>
      <c r="D18" s="1425"/>
      <c r="E18" s="1425"/>
      <c r="F18" s="1425"/>
      <c r="G18" s="1426"/>
      <c r="H18" s="1425"/>
      <c r="I18" s="1426"/>
      <c r="J18" s="1425"/>
      <c r="K18" s="1425"/>
      <c r="L18" s="322"/>
    </row>
    <row r="19" spans="2:12" ht="13.5" customHeight="1">
      <c r="B19" s="1475" t="s">
        <v>1367</v>
      </c>
      <c r="C19" s="1475"/>
      <c r="D19" s="328"/>
      <c r="E19" s="328"/>
      <c r="F19" s="328"/>
      <c r="G19" s="1476"/>
      <c r="H19" s="328"/>
      <c r="I19" s="1476"/>
      <c r="J19" s="322"/>
      <c r="K19" s="322"/>
      <c r="L19" s="322"/>
    </row>
    <row r="20" spans="2:12" ht="35.25" customHeight="1">
      <c r="B20" s="2563"/>
      <c r="C20" s="2563"/>
      <c r="D20" s="2563"/>
      <c r="E20" s="2563"/>
      <c r="F20" s="2563"/>
      <c r="G20" s="2563"/>
      <c r="H20" s="2563"/>
      <c r="I20" s="2563"/>
      <c r="J20" s="2563"/>
      <c r="K20" s="2563"/>
      <c r="L20" s="1430"/>
    </row>
    <row r="21" spans="2:12" ht="4.5" customHeight="1">
      <c r="B21" s="1477"/>
      <c r="C21" s="1477"/>
      <c r="D21" s="1478"/>
      <c r="E21" s="1478"/>
      <c r="F21" s="1478"/>
      <c r="G21" s="1426"/>
      <c r="H21" s="1478"/>
      <c r="I21" s="1426"/>
      <c r="J21" s="1478"/>
      <c r="K21" s="1478"/>
      <c r="L21" s="1430"/>
    </row>
    <row r="22" spans="2:12" ht="13.35" customHeight="1">
      <c r="B22" s="1475" t="s">
        <v>1857</v>
      </c>
      <c r="C22" s="1475"/>
      <c r="D22" s="322"/>
      <c r="E22" s="322"/>
      <c r="F22" s="322"/>
      <c r="G22" s="1381"/>
      <c r="H22" s="322"/>
      <c r="I22" s="1381"/>
      <c r="J22" s="322"/>
      <c r="K22" s="322"/>
      <c r="L22" s="322"/>
    </row>
    <row r="23" spans="2:12" ht="37.5" customHeight="1">
      <c r="B23" s="2563"/>
      <c r="C23" s="2563"/>
      <c r="D23" s="2563"/>
      <c r="E23" s="2563"/>
      <c r="F23" s="2563"/>
      <c r="G23" s="2563"/>
      <c r="H23" s="2563"/>
      <c r="I23" s="2563"/>
      <c r="J23" s="2563"/>
      <c r="K23" s="2563"/>
      <c r="L23" s="322"/>
    </row>
    <row r="24" spans="2:12" ht="4.5" customHeight="1">
      <c r="B24" s="1477"/>
      <c r="C24" s="1477"/>
      <c r="D24" s="1425"/>
      <c r="E24" s="1425"/>
      <c r="F24" s="1425"/>
      <c r="G24" s="1426"/>
      <c r="H24" s="1425"/>
      <c r="I24" s="1426"/>
      <c r="J24" s="1425"/>
      <c r="K24" s="1425"/>
      <c r="L24" s="322"/>
    </row>
    <row r="25" spans="2:12" ht="13.5" customHeight="1">
      <c r="B25" s="1475" t="s">
        <v>1858</v>
      </c>
      <c r="C25" s="1475"/>
      <c r="D25" s="322"/>
      <c r="E25" s="322"/>
      <c r="F25" s="322"/>
      <c r="G25" s="1381"/>
      <c r="H25" s="322"/>
      <c r="I25" s="1381"/>
      <c r="J25" s="322"/>
      <c r="K25" s="322"/>
      <c r="L25" s="322"/>
    </row>
    <row r="26" spans="2:12" ht="37.5" customHeight="1">
      <c r="B26" s="2563"/>
      <c r="C26" s="2563"/>
      <c r="D26" s="2563"/>
      <c r="E26" s="2563"/>
      <c r="F26" s="2563"/>
      <c r="G26" s="2563"/>
      <c r="H26" s="2563"/>
      <c r="I26" s="2563"/>
      <c r="J26" s="2563"/>
      <c r="K26" s="2563"/>
      <c r="L26" s="322"/>
    </row>
    <row r="27" spans="2:12" ht="4.5" customHeight="1">
      <c r="B27" s="1479"/>
      <c r="C27" s="1479"/>
      <c r="D27" s="1479"/>
      <c r="E27" s="1425"/>
      <c r="F27" s="1425"/>
      <c r="G27" s="1426"/>
      <c r="H27" s="1425"/>
      <c r="I27" s="1426"/>
      <c r="J27" s="1425"/>
      <c r="K27" s="1425"/>
      <c r="L27" s="322"/>
    </row>
    <row r="28" spans="2:12" ht="13.5" customHeight="1">
      <c r="B28" s="1475" t="s">
        <v>1859</v>
      </c>
      <c r="C28" s="1475"/>
      <c r="D28" s="322"/>
      <c r="E28" s="322"/>
      <c r="F28" s="322"/>
      <c r="G28" s="1381"/>
      <c r="H28" s="322"/>
      <c r="I28" s="1381"/>
      <c r="J28" s="322"/>
      <c r="K28" s="322"/>
      <c r="L28" s="322"/>
    </row>
    <row r="29" spans="2:12" ht="37.5" customHeight="1">
      <c r="B29" s="2563"/>
      <c r="C29" s="2563"/>
      <c r="D29" s="2563"/>
      <c r="E29" s="2563"/>
      <c r="F29" s="2563"/>
      <c r="G29" s="2563"/>
      <c r="H29" s="2563"/>
      <c r="I29" s="2563"/>
      <c r="J29" s="2563"/>
      <c r="K29" s="2563"/>
      <c r="L29" s="322"/>
    </row>
    <row r="30" spans="2:12" ht="4.5" customHeight="1">
      <c r="B30" s="1477"/>
      <c r="C30" s="1477"/>
      <c r="D30" s="1425"/>
      <c r="E30" s="1425"/>
      <c r="F30" s="1425"/>
      <c r="G30" s="1426"/>
      <c r="H30" s="1425"/>
      <c r="I30" s="1426"/>
      <c r="J30" s="1425"/>
      <c r="K30" s="1425"/>
      <c r="L30" s="322"/>
    </row>
    <row r="31" spans="2:12" ht="13.5" customHeight="1">
      <c r="B31" s="1475" t="s">
        <v>1366</v>
      </c>
      <c r="C31" s="1475"/>
      <c r="D31" s="322"/>
      <c r="E31" s="322"/>
      <c r="F31" s="322"/>
      <c r="G31" s="1381"/>
      <c r="H31" s="322"/>
      <c r="I31" s="1381"/>
      <c r="J31" s="322"/>
      <c r="K31" s="322"/>
      <c r="L31" s="322"/>
    </row>
    <row r="32" spans="2:12" ht="37.5" customHeight="1">
      <c r="B32" s="2563"/>
      <c r="C32" s="2563"/>
      <c r="D32" s="2563"/>
      <c r="E32" s="2563"/>
      <c r="F32" s="2563"/>
      <c r="G32" s="2563"/>
      <c r="H32" s="2563"/>
      <c r="I32" s="2563"/>
      <c r="J32" s="2563"/>
      <c r="K32" s="2563"/>
      <c r="L32" s="322"/>
    </row>
    <row r="33" spans="2:12" ht="4.5" customHeight="1">
      <c r="B33" s="1477"/>
      <c r="C33" s="1477"/>
      <c r="D33" s="1425"/>
      <c r="E33" s="1425"/>
      <c r="F33" s="1425"/>
      <c r="G33" s="1426"/>
      <c r="H33" s="1425"/>
      <c r="I33" s="1426"/>
      <c r="J33" s="1425"/>
      <c r="K33" s="1425"/>
      <c r="L33" s="322"/>
    </row>
    <row r="34" spans="2:12" ht="13.5" customHeight="1">
      <c r="B34" s="1382" t="s">
        <v>1365</v>
      </c>
      <c r="C34" s="1382"/>
      <c r="D34" s="322"/>
      <c r="E34" s="322"/>
      <c r="F34" s="322"/>
      <c r="G34" s="1381"/>
      <c r="H34" s="322"/>
      <c r="I34" s="1381"/>
      <c r="J34" s="322"/>
      <c r="K34" s="322"/>
      <c r="L34" s="322"/>
    </row>
    <row r="35" spans="2:12" ht="37.5" customHeight="1">
      <c r="B35" s="2563"/>
      <c r="C35" s="2563"/>
      <c r="D35" s="2563"/>
      <c r="E35" s="2563"/>
      <c r="F35" s="2563"/>
      <c r="G35" s="2563"/>
      <c r="H35" s="2563"/>
      <c r="I35" s="2563"/>
      <c r="J35" s="2563"/>
      <c r="K35" s="2563"/>
      <c r="L35" s="322"/>
    </row>
    <row r="36" spans="2:12" ht="4.5" customHeight="1">
      <c r="B36" s="1477"/>
      <c r="C36" s="1477"/>
      <c r="D36" s="1425"/>
      <c r="E36" s="1425"/>
      <c r="F36" s="1425"/>
      <c r="G36" s="1426"/>
      <c r="H36" s="1425"/>
      <c r="I36" s="1426"/>
      <c r="J36" s="1425"/>
      <c r="K36" s="1425"/>
      <c r="L36" s="322"/>
    </row>
    <row r="37" spans="2:12" ht="13.5" customHeight="1">
      <c r="B37" s="1382" t="s">
        <v>1364</v>
      </c>
      <c r="C37" s="1382"/>
      <c r="D37" s="322"/>
      <c r="E37" s="322"/>
      <c r="F37" s="322"/>
      <c r="G37" s="1381"/>
      <c r="H37" s="322"/>
      <c r="I37" s="1381"/>
      <c r="J37" s="322"/>
      <c r="K37" s="322"/>
      <c r="L37" s="322"/>
    </row>
    <row r="38" spans="2:12" ht="35.25" customHeight="1">
      <c r="B38" s="2563"/>
      <c r="C38" s="2563"/>
      <c r="D38" s="2563"/>
      <c r="E38" s="2563"/>
      <c r="F38" s="2563"/>
      <c r="G38" s="2563"/>
      <c r="H38" s="2563"/>
      <c r="I38" s="2563"/>
      <c r="J38" s="2563"/>
      <c r="K38" s="2563"/>
      <c r="L38" s="322"/>
    </row>
    <row r="39" spans="2:12" ht="4.5" customHeight="1">
      <c r="B39" s="1400"/>
      <c r="C39" s="1400"/>
      <c r="D39" s="322"/>
      <c r="E39" s="322"/>
      <c r="F39" s="322"/>
      <c r="G39" s="1381"/>
      <c r="H39" s="322"/>
      <c r="I39" s="1381"/>
      <c r="J39" s="322"/>
      <c r="K39" s="322"/>
      <c r="L39" s="322"/>
    </row>
    <row r="40" spans="2:12" s="322" customFormat="1" ht="13.5" customHeight="1">
      <c r="B40" s="1401" t="s">
        <v>1860</v>
      </c>
      <c r="C40" s="1401"/>
      <c r="D40" s="1376"/>
      <c r="E40" s="1377"/>
      <c r="F40" s="1377"/>
      <c r="G40" s="1378"/>
      <c r="H40" s="1377"/>
      <c r="I40" s="1378"/>
      <c r="J40" s="1377"/>
      <c r="K40" s="1377"/>
    </row>
    <row r="41" spans="2:12" s="322" customFormat="1" ht="33.75" customHeight="1">
      <c r="B41" s="2563"/>
      <c r="C41" s="2563"/>
      <c r="D41" s="2563"/>
      <c r="E41" s="2563"/>
      <c r="F41" s="2563"/>
      <c r="G41" s="2563"/>
      <c r="H41" s="2563"/>
      <c r="I41" s="2563"/>
      <c r="J41" s="2563"/>
      <c r="K41" s="2563"/>
    </row>
    <row r="42" spans="2:12" s="322" customFormat="1" ht="4.5" customHeight="1">
      <c r="B42" s="1400"/>
      <c r="C42" s="1400"/>
      <c r="G42" s="1381"/>
      <c r="I42" s="1381"/>
    </row>
    <row r="43" spans="2:12" s="322" customFormat="1" ht="13.5" customHeight="1">
      <c r="B43" s="1480" t="s">
        <v>1353</v>
      </c>
      <c r="C43" s="1481"/>
      <c r="D43" s="1402"/>
      <c r="E43" s="1402"/>
      <c r="F43" s="1402"/>
      <c r="G43" s="1403"/>
      <c r="H43" s="1402"/>
      <c r="I43" s="1403"/>
      <c r="J43" s="1402"/>
      <c r="K43" s="1404"/>
      <c r="L43" s="1482"/>
    </row>
    <row r="44" spans="2:12" s="322" customFormat="1" ht="13.5" customHeight="1">
      <c r="B44" s="1405" t="s">
        <v>1352</v>
      </c>
      <c r="C44" s="1406"/>
      <c r="D44" s="1483"/>
      <c r="E44" s="1407"/>
      <c r="F44" s="1411" t="s">
        <v>1351</v>
      </c>
      <c r="G44" s="1409"/>
      <c r="H44" s="1408"/>
      <c r="I44" s="1409"/>
      <c r="J44" s="1484"/>
      <c r="K44" s="1485"/>
      <c r="L44" s="1482"/>
    </row>
    <row r="45" spans="2:12" s="322" customFormat="1" ht="13.5" customHeight="1">
      <c r="B45" s="1405" t="s">
        <v>1350</v>
      </c>
      <c r="C45" s="1406"/>
      <c r="D45" s="1484"/>
      <c r="E45" s="1408"/>
      <c r="F45" s="1411" t="s">
        <v>1349</v>
      </c>
      <c r="G45" s="1409"/>
      <c r="H45" s="1408"/>
      <c r="I45" s="1409"/>
      <c r="J45" s="1484"/>
      <c r="K45" s="1485"/>
      <c r="L45" s="1482"/>
    </row>
    <row r="46" spans="2:12" s="322" customFormat="1" ht="13.5" customHeight="1">
      <c r="B46" s="1412"/>
      <c r="C46" s="1410"/>
      <c r="D46" s="1410"/>
      <c r="E46" s="1410"/>
      <c r="F46" s="1410"/>
      <c r="G46" s="1413"/>
      <c r="H46" s="1410"/>
      <c r="I46" s="1413"/>
      <c r="J46" s="1410"/>
      <c r="K46" s="1414"/>
      <c r="L46" s="1482"/>
    </row>
    <row r="47" spans="2:12" ht="7.5" customHeight="1">
      <c r="B47" s="1486"/>
      <c r="C47" s="1486"/>
      <c r="D47" s="1487"/>
      <c r="E47" s="1487"/>
      <c r="F47" s="1487"/>
      <c r="G47" s="1488"/>
      <c r="H47" s="1487"/>
      <c r="I47" s="1488"/>
      <c r="J47" s="1487"/>
      <c r="K47" s="1487"/>
    </row>
    <row r="48" spans="2:12" ht="13.5" customHeight="1">
      <c r="B48" s="1417" t="s">
        <v>1861</v>
      </c>
      <c r="C48" s="1417"/>
      <c r="D48" s="322"/>
      <c r="E48" s="322"/>
      <c r="F48" s="322"/>
    </row>
    <row r="49" spans="2:3" s="317" customFormat="1" ht="10.5" customHeight="1">
      <c r="B49" s="1418" t="s">
        <v>1862</v>
      </c>
      <c r="C49" s="1418"/>
    </row>
    <row r="50" spans="2:3" s="317" customFormat="1" ht="11.1" customHeight="1">
      <c r="B50" s="1418" t="s">
        <v>1863</v>
      </c>
      <c r="C50" s="1418"/>
    </row>
    <row r="51" spans="2:3" s="317" customFormat="1" ht="11.1" customHeight="1">
      <c r="B51" s="1418" t="s">
        <v>1864</v>
      </c>
      <c r="C51" s="1418"/>
    </row>
    <row r="52" spans="2:3" s="317" customFormat="1" ht="11.1" customHeight="1">
      <c r="B52" s="1418" t="s">
        <v>1865</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c r="B1" s="2532" t="str">
        <f>'Single Audit Cover'!A7</f>
        <v>East Moline SD 37</v>
      </c>
      <c r="C1" s="2532"/>
      <c r="D1" s="2532"/>
      <c r="E1" s="1489"/>
    </row>
    <row r="2" spans="2:5" s="1280" customFormat="1" ht="12.75" customHeight="1">
      <c r="B2" s="2534">
        <f>'Single Audit Cover'!E7</f>
        <v>49081037002</v>
      </c>
      <c r="C2" s="2534"/>
      <c r="D2" s="2534"/>
      <c r="E2" s="1490"/>
    </row>
    <row r="3" spans="2:5" ht="12.75" customHeight="1">
      <c r="B3" s="2556" t="s">
        <v>1866</v>
      </c>
      <c r="C3" s="2556"/>
      <c r="D3" s="2556"/>
      <c r="E3" s="1272"/>
    </row>
    <row r="4" spans="2:5" s="1280" customFormat="1" ht="12.75" customHeight="1">
      <c r="B4" s="2567" t="str">
        <f>'Single Audit Cover'!A4</f>
        <v>Year Ending June 30, 2018</v>
      </c>
      <c r="C4" s="2567"/>
      <c r="D4" s="2567"/>
      <c r="E4" s="1491"/>
    </row>
    <row r="5" spans="2:5" s="1280" customFormat="1" ht="40.15" customHeight="1">
      <c r="B5" s="1492" t="s">
        <v>1867</v>
      </c>
      <c r="C5" s="328"/>
      <c r="D5" s="328"/>
      <c r="E5" s="328"/>
    </row>
    <row r="6" spans="2:5" s="1280" customFormat="1" ht="13.5" customHeight="1">
      <c r="B6" s="1493" t="s">
        <v>1382</v>
      </c>
      <c r="C6" s="1493" t="s">
        <v>1381</v>
      </c>
      <c r="D6" s="1493" t="s">
        <v>1868</v>
      </c>
    </row>
    <row r="7" spans="2:5" ht="13.5" customHeight="1">
      <c r="B7" s="1494"/>
      <c r="C7" s="324"/>
      <c r="D7" s="324"/>
      <c r="E7" s="324"/>
    </row>
    <row r="8" spans="2:5" ht="13.5" customHeight="1">
      <c r="B8" s="1494" t="s">
        <v>2236</v>
      </c>
      <c r="C8" s="324" t="s">
        <v>2237</v>
      </c>
      <c r="D8" s="324" t="s">
        <v>2238</v>
      </c>
      <c r="E8" s="324"/>
    </row>
    <row r="9" spans="2:5" ht="13.5" customHeight="1">
      <c r="B9" s="1495"/>
      <c r="C9" s="323"/>
      <c r="D9" s="323"/>
      <c r="E9" s="323"/>
    </row>
    <row r="10" spans="2:5" ht="13.5" customHeight="1">
      <c r="B10" s="1494" t="s">
        <v>2239</v>
      </c>
      <c r="C10" s="323" t="s">
        <v>2237</v>
      </c>
      <c r="D10" s="323" t="s">
        <v>2238</v>
      </c>
      <c r="E10" s="323"/>
    </row>
    <row r="11" spans="2:5" ht="13.5" customHeight="1">
      <c r="B11" s="1494"/>
      <c r="C11" s="323"/>
      <c r="D11" s="323"/>
      <c r="E11" s="323"/>
    </row>
    <row r="12" spans="2:5" ht="13.5" customHeight="1">
      <c r="B12" s="1494"/>
      <c r="C12" s="323"/>
      <c r="D12" s="323"/>
      <c r="E12" s="323"/>
    </row>
    <row r="13" spans="2:5" ht="13.5" customHeight="1">
      <c r="B13" s="1494"/>
      <c r="C13" s="323"/>
      <c r="D13" s="323"/>
      <c r="E13" s="323"/>
    </row>
    <row r="14" spans="2:5" ht="13.5" customHeight="1">
      <c r="B14" s="1494"/>
      <c r="C14" s="323"/>
      <c r="D14" s="323"/>
      <c r="E14" s="323"/>
    </row>
    <row r="15" spans="2:5" ht="13.5" customHeight="1">
      <c r="B15" s="1494"/>
      <c r="C15" s="323"/>
      <c r="D15" s="323"/>
      <c r="E15" s="323"/>
    </row>
    <row r="16" spans="2:5" ht="13.5" customHeight="1">
      <c r="B16" s="1494"/>
      <c r="C16" s="323"/>
      <c r="D16" s="323"/>
      <c r="E16" s="323"/>
    </row>
    <row r="17" spans="2:5" ht="13.5" customHeight="1">
      <c r="B17" s="1494"/>
      <c r="C17" s="323"/>
      <c r="D17" s="323"/>
      <c r="E17" s="323"/>
    </row>
    <row r="18" spans="2:5" ht="13.5" customHeight="1">
      <c r="B18" s="1494"/>
      <c r="C18" s="323"/>
      <c r="D18" s="323"/>
      <c r="E18" s="323"/>
    </row>
    <row r="19" spans="2:5" ht="13.5" customHeight="1">
      <c r="B19" s="1494"/>
      <c r="C19" s="323"/>
      <c r="D19" s="323"/>
      <c r="E19" s="323"/>
    </row>
    <row r="20" spans="2:5" ht="13.5" customHeight="1">
      <c r="B20" s="1494"/>
      <c r="C20" s="323"/>
      <c r="D20" s="323"/>
      <c r="E20" s="323"/>
    </row>
    <row r="21" spans="2:5" ht="13.5" customHeight="1">
      <c r="B21" s="1494"/>
      <c r="C21" s="323"/>
      <c r="D21" s="323"/>
      <c r="E21" s="323"/>
    </row>
    <row r="22" spans="2:5" ht="13.5" customHeight="1">
      <c r="B22" s="1494"/>
      <c r="C22" s="323"/>
      <c r="D22" s="323"/>
      <c r="E22" s="323"/>
    </row>
    <row r="23" spans="2:5" ht="13.5" customHeight="1">
      <c r="B23" s="1494"/>
      <c r="C23" s="323"/>
      <c r="D23" s="323"/>
      <c r="E23" s="323"/>
    </row>
    <row r="24" spans="2:5" ht="13.5" customHeight="1">
      <c r="B24" s="1494"/>
      <c r="C24" s="323"/>
      <c r="D24" s="323"/>
      <c r="E24" s="323"/>
    </row>
    <row r="25" spans="2:5" ht="13.5" customHeight="1">
      <c r="B25" s="1494"/>
      <c r="C25" s="323"/>
      <c r="D25" s="323"/>
      <c r="E25" s="323"/>
    </row>
    <row r="26" spans="2:5" ht="13.5" customHeight="1">
      <c r="B26" s="1494"/>
      <c r="C26" s="323"/>
      <c r="D26" s="323"/>
      <c r="E26" s="323"/>
    </row>
    <row r="27" spans="2:5" ht="13.5" customHeight="1">
      <c r="B27" s="1494"/>
      <c r="C27" s="323"/>
      <c r="D27" s="323"/>
      <c r="E27" s="323"/>
    </row>
    <row r="28" spans="2:5" ht="13.5" customHeight="1">
      <c r="B28" s="1494"/>
      <c r="C28" s="323"/>
      <c r="D28" s="323"/>
      <c r="E28" s="323"/>
    </row>
    <row r="29" spans="2:5" ht="13.5" customHeight="1">
      <c r="B29" s="1494"/>
      <c r="C29" s="323"/>
      <c r="D29" s="323"/>
      <c r="E29" s="323"/>
    </row>
    <row r="30" spans="2:5" ht="13.5" customHeight="1">
      <c r="B30" s="1494"/>
      <c r="C30" s="323"/>
      <c r="D30" s="323"/>
      <c r="E30" s="323"/>
    </row>
    <row r="31" spans="2:5" ht="13.5" customHeight="1">
      <c r="B31" s="1494"/>
      <c r="C31" s="323"/>
      <c r="D31" s="323"/>
      <c r="E31" s="323"/>
    </row>
    <row r="32" spans="2:5" ht="13.5" customHeight="1">
      <c r="B32" s="1496"/>
      <c r="C32" s="323"/>
      <c r="D32" s="323"/>
      <c r="E32" s="323"/>
    </row>
    <row r="33" spans="2:5" ht="13.5" customHeight="1">
      <c r="B33" s="1497"/>
      <c r="C33" s="323"/>
      <c r="D33" s="323"/>
      <c r="E33" s="323"/>
    </row>
    <row r="34" spans="2:5" ht="13.5" customHeight="1">
      <c r="B34" s="1498"/>
      <c r="C34" s="323"/>
      <c r="D34" s="323"/>
      <c r="E34" s="323"/>
    </row>
    <row r="35" spans="2:5" ht="13.5" customHeight="1">
      <c r="B35" s="1497"/>
      <c r="C35" s="323"/>
      <c r="D35" s="323"/>
      <c r="E35" s="323"/>
    </row>
    <row r="36" spans="2:5" ht="13.5" customHeight="1">
      <c r="B36" s="1498"/>
      <c r="C36" s="323"/>
      <c r="D36" s="323"/>
      <c r="E36" s="323"/>
    </row>
    <row r="37" spans="2:5" ht="13.5" customHeight="1">
      <c r="B37" s="1498"/>
      <c r="C37" s="323"/>
      <c r="D37" s="323"/>
      <c r="E37" s="323"/>
    </row>
    <row r="38" spans="2:5" ht="13.5" customHeight="1">
      <c r="B38" s="1497"/>
      <c r="C38" s="323"/>
      <c r="D38" s="323"/>
      <c r="E38" s="323"/>
    </row>
    <row r="39" spans="2:5" ht="13.5" customHeight="1">
      <c r="B39" s="1498"/>
      <c r="C39" s="323"/>
      <c r="D39" s="323"/>
      <c r="E39" s="323"/>
    </row>
    <row r="40" spans="2:5" ht="13.5" customHeight="1">
      <c r="B40" s="1497"/>
      <c r="C40" s="323"/>
      <c r="D40" s="323"/>
      <c r="E40" s="323"/>
    </row>
    <row r="41" spans="2:5" ht="13.5" customHeight="1">
      <c r="B41" s="1499"/>
      <c r="C41" s="323"/>
      <c r="D41" s="323"/>
      <c r="E41" s="323"/>
    </row>
    <row r="42" spans="2:5" ht="13.5" customHeight="1">
      <c r="B42" s="1500"/>
      <c r="C42" s="323"/>
      <c r="D42" s="323"/>
      <c r="E42" s="323"/>
    </row>
    <row r="43" spans="2:5" ht="12.75" customHeight="1">
      <c r="B43" s="1501"/>
      <c r="C43" s="1502"/>
      <c r="D43" s="1502"/>
      <c r="E43" s="323"/>
    </row>
    <row r="44" spans="2:5" ht="12.2" customHeight="1">
      <c r="B44" s="1256" t="s">
        <v>1380</v>
      </c>
      <c r="C44" s="322"/>
    </row>
    <row r="45" spans="2:5" ht="12.2" customHeight="1">
      <c r="B45" s="1503" t="s">
        <v>1869</v>
      </c>
    </row>
    <row r="46" spans="2:5" ht="12.2" customHeight="1">
      <c r="B46" s="1503" t="s">
        <v>1870</v>
      </c>
    </row>
    <row r="47" spans="2:5" ht="12.2" customHeight="1">
      <c r="B47" s="1504" t="s">
        <v>1379</v>
      </c>
    </row>
    <row r="48" spans="2:5" ht="12.2" customHeight="1">
      <c r="B48" s="1504" t="s">
        <v>1378</v>
      </c>
    </row>
    <row r="49" spans="2:5" ht="12.2" customHeight="1">
      <c r="B49" s="1504" t="s">
        <v>1377</v>
      </c>
    </row>
    <row r="50" spans="2:5" ht="12.2" customHeight="1">
      <c r="B50" s="1504" t="s">
        <v>1376</v>
      </c>
    </row>
    <row r="53" spans="2:5" ht="12.75" customHeight="1"/>
    <row r="54" spans="2:5" ht="12.75" customHeight="1">
      <c r="B54" s="1266"/>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7"/>
    </row>
    <row r="68" spans="2:2">
      <c r="B68" s="1298"/>
    </row>
    <row r="69" spans="2:2">
      <c r="B69" s="1298"/>
    </row>
    <row r="70" spans="2:2">
      <c r="B70" s="1418"/>
    </row>
    <row r="71" spans="2:2">
      <c r="B71" s="1418"/>
    </row>
    <row r="72" spans="2:2">
      <c r="B72" s="1418"/>
    </row>
    <row r="73" spans="2: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 ds:uri="http://schemas.microsoft.com/sharepoint/v3"/>
    <ds:schemaRef ds:uri="http://schemas.microsoft.com/office/2006/documentManagement/types"/>
    <ds:schemaRef ds:uri="d21dc803-237d-4c68-8692-8d731fd29118"/>
    <ds:schemaRef ds:uri="http://purl.org/dc/dcmitype/"/>
    <ds:schemaRef ds:uri="http://schemas.microsoft.com/office/infopath/2007/PartnerControls"/>
    <ds:schemaRef ds:uri="4d435f69-8686-490b-bd6d-b153bf22ab50"/>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Audit quest signature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WF SEFA </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'WF SEFA '!Print_Area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'WF SEFA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2018-10-09T18:13:33Z</cp:lastPrinted>
  <dcterms:created xsi:type="dcterms:W3CDTF">2003-10-29T19:06:34Z</dcterms:created>
  <dcterms:modified xsi:type="dcterms:W3CDTF">2018-12-17T20:58:03Z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