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Finding 2018-00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G32" i="8" l="1"/>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c r="B6633" i="106"/>
  <c r="D6633" i="106" s="1"/>
  <c r="B6636" i="106"/>
  <c r="D6636" i="106"/>
  <c r="B6640" i="106"/>
  <c r="D6640" i="106"/>
  <c r="B6641" i="106"/>
  <c r="D6641" i="106" s="1"/>
  <c r="B6644" i="106"/>
  <c r="D6644" i="106" s="1"/>
  <c r="B6648" i="106"/>
  <c r="D6648" i="106" s="1"/>
  <c r="B6649" i="106"/>
  <c r="D6649" i="106" s="1"/>
  <c r="B6652" i="106"/>
  <c r="D6652" i="106" s="1"/>
  <c r="B6656" i="106"/>
  <c r="D6656" i="106"/>
  <c r="B6657" i="106"/>
  <c r="D6657" i="106" s="1"/>
  <c r="B6660" i="106"/>
  <c r="D6660" i="106" s="1"/>
  <c r="B6664" i="106"/>
  <c r="D6664" i="106" s="1"/>
  <c r="B6665" i="106"/>
  <c r="D6665" i="106" s="1"/>
  <c r="B6668" i="106"/>
  <c r="D6668" i="106" s="1"/>
  <c r="B6672" i="106"/>
  <c r="D6672" i="106" s="1"/>
  <c r="B6673" i="106"/>
  <c r="D6673" i="106" s="1"/>
  <c r="B6676" i="106"/>
  <c r="D6676" i="106"/>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H33" i="118"/>
  <c r="D22" i="37"/>
  <c r="D24" i="37"/>
  <c r="B4270" i="106" s="1"/>
  <c r="D4270" i="106" s="1"/>
  <c r="J22" i="37" l="1"/>
  <c r="L5" i="11"/>
  <c r="B2056" i="106" s="1"/>
  <c r="D2056" i="106" s="1"/>
  <c r="I24" i="12"/>
  <c r="I26" i="12" s="1"/>
  <c r="B7741" i="106" s="1"/>
  <c r="D7741" i="106" s="1"/>
  <c r="N22" i="3"/>
  <c r="B283" i="106" s="1"/>
  <c r="D283" i="106" s="1"/>
  <c r="D31" i="36"/>
  <c r="H29" i="118"/>
  <c r="F21" i="8"/>
  <c r="B1879" i="106" s="1"/>
  <c r="D1879" i="106" s="1"/>
  <c r="D11" i="37"/>
  <c r="H28" i="118"/>
  <c r="L15" i="11"/>
  <c r="B3459" i="106" s="1"/>
  <c r="D3459" i="106" s="1"/>
  <c r="D54" i="36"/>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H22" i="37" l="1"/>
  <c r="K28" i="118"/>
  <c r="O27" i="118" s="1"/>
  <c r="O29" i="118" s="1"/>
  <c r="I7" i="4"/>
  <c r="B4444" i="106" s="1"/>
  <c r="D4444" i="106" s="1"/>
  <c r="B1996" i="106"/>
  <c r="D1996" i="106" s="1"/>
  <c r="J24" i="12"/>
  <c r="B7732" i="106" s="1"/>
  <c r="D7732"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J26" i="12" l="1"/>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81" i="106" l="1"/>
  <c r="D7781" i="106" s="1"/>
  <c r="K159" i="29"/>
  <c r="B7782" i="106" s="1"/>
  <c r="D7782" i="106" s="1"/>
  <c r="B7779" i="106"/>
  <c r="D7779" i="106" s="1"/>
  <c r="K158" i="29"/>
  <c r="B7780" i="106" s="1"/>
  <c r="D7780" i="106" s="1"/>
  <c r="K282" i="29"/>
  <c r="B7783" i="106"/>
  <c r="D7783" i="106" s="1"/>
  <c r="K355" i="29"/>
  <c r="B7793" i="106"/>
  <c r="D7793" i="106" s="1"/>
  <c r="B7237" i="106"/>
  <c r="D7237" i="106" s="1"/>
  <c r="K354" i="29"/>
  <c r="B7791" i="106"/>
  <c r="D7791" i="106" s="1"/>
  <c r="B7236" i="106"/>
  <c r="D7236" i="106" s="1"/>
  <c r="B7775" i="106" l="1"/>
  <c r="D7775" i="106" s="1"/>
  <c r="K133" i="29"/>
  <c r="B7774" i="106"/>
  <c r="D7774" i="106" s="1"/>
  <c r="B7784" i="106"/>
  <c r="D7784" i="106" s="1"/>
  <c r="B7787" i="106"/>
  <c r="D7787" i="106" s="1"/>
  <c r="K333" i="29"/>
  <c r="B7788" i="106" s="1"/>
  <c r="D7788" i="106" s="1"/>
  <c r="L334" i="29"/>
  <c r="H334" i="29"/>
  <c r="B7789" i="106" s="1"/>
  <c r="D7789" i="106" s="1"/>
  <c r="K332" i="29"/>
  <c r="B7785" i="106"/>
  <c r="D7785" i="106" s="1"/>
  <c r="B7794" i="106"/>
  <c r="D7794" i="106" s="1"/>
  <c r="B3674" i="106"/>
  <c r="D3674" i="106" s="1"/>
  <c r="B7792" i="106"/>
  <c r="D7792" i="106" s="1"/>
  <c r="B3673" i="106"/>
  <c r="D3673" i="106" s="1"/>
  <c r="B7776" i="106" l="1"/>
  <c r="D7776" i="106" s="1"/>
  <c r="B7786" i="106"/>
  <c r="D7786" i="106" s="1"/>
  <c r="K334" i="29"/>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3" i="106"/>
  <c r="D5063" i="106" s="1"/>
  <c r="B5068" i="106"/>
  <c r="D5068" i="106" s="1"/>
  <c r="B5069" i="106"/>
  <c r="D5069" i="106" s="1"/>
  <c r="B5070" i="106"/>
  <c r="D5070" i="106" s="1"/>
  <c r="B5073" i="106"/>
  <c r="D5073" i="106" s="1"/>
  <c r="B5074" i="106"/>
  <c r="D5074" i="106" s="1"/>
  <c r="B5075" i="106"/>
  <c r="D5075" i="106" s="1"/>
  <c r="B5076" i="106"/>
  <c r="D5076" i="106" s="1"/>
  <c r="B5077" i="106"/>
  <c r="D5077" i="106" s="1"/>
  <c r="B6308" i="106"/>
  <c r="D6308" i="106" s="1"/>
  <c r="B5078" i="106"/>
  <c r="D5078" i="106" s="1"/>
  <c r="B5080" i="106"/>
  <c r="D5080" i="106" s="1"/>
  <c r="B6309" i="106"/>
  <c r="D6309" i="106" s="1"/>
  <c r="B5081" i="106"/>
  <c r="D5081" i="106" s="1"/>
  <c r="B5082" i="106"/>
  <c r="D5082" i="106" s="1"/>
  <c r="B5083" i="106"/>
  <c r="D5083" i="106" s="1"/>
  <c r="B6310" i="106"/>
  <c r="D6310" i="106" s="1"/>
  <c r="B5084" i="106"/>
  <c r="D5084" i="106" s="1"/>
  <c r="B5086" i="106"/>
  <c r="D5086" i="106" s="1"/>
  <c r="B5091" i="106"/>
  <c r="D5091" i="106" s="1"/>
  <c r="B5094" i="106"/>
  <c r="D5094"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1007" i="106"/>
  <c r="D1007" i="106" s="1"/>
  <c r="B949" i="106"/>
  <c r="D949"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L243" i="29"/>
  <c r="B6985" i="106"/>
  <c r="D6985" i="106" s="1"/>
  <c r="K87" i="29"/>
  <c r="B6986" i="106" s="1"/>
  <c r="D6986" i="106" s="1"/>
  <c r="B6906" i="106"/>
  <c r="D6906" i="106" s="1"/>
  <c r="B6882" i="106"/>
  <c r="D6882" i="106" s="1"/>
  <c r="K23" i="29"/>
  <c r="K6" i="29"/>
  <c r="B7763" i="106" s="1"/>
  <c r="D7763" i="106" s="1"/>
  <c r="B7762" i="106"/>
  <c r="D7762" i="106" s="1"/>
  <c r="K105" i="29"/>
  <c r="B1048" i="106"/>
  <c r="D1048" i="106" s="1"/>
  <c r="K95" i="29"/>
  <c r="B7001" i="106" s="1"/>
  <c r="D7001" i="106" s="1"/>
  <c r="B7000" i="106"/>
  <c r="D7000" i="106" s="1"/>
  <c r="B6983" i="106"/>
  <c r="D6983" i="106" s="1"/>
  <c r="K86" i="29"/>
  <c r="B6984" i="106" s="1"/>
  <c r="D6984" i="106" s="1"/>
  <c r="H72" i="29"/>
  <c r="B1043" i="106" s="1"/>
  <c r="D1043" i="106" s="1"/>
  <c r="B1036" i="106"/>
  <c r="D1036" i="106" s="1"/>
  <c r="B1033" i="106"/>
  <c r="D1033" i="106" s="1"/>
  <c r="B975" i="106"/>
  <c r="D975" i="106" s="1"/>
  <c r="B1028" i="106"/>
  <c r="D1028"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K30" i="29"/>
  <c r="B6896" i="106"/>
  <c r="D6896" i="106" s="1"/>
  <c r="B6880" i="106"/>
  <c r="D6880" i="106" s="1"/>
  <c r="K22" i="29"/>
  <c r="E33" i="29"/>
  <c r="B821" i="106"/>
  <c r="D821" i="106" s="1"/>
  <c r="B5107" i="106"/>
  <c r="D5107" i="106" s="1"/>
  <c r="F98" i="34"/>
  <c r="B6950" i="106"/>
  <c r="D6950" i="106" s="1"/>
  <c r="I65" i="29"/>
  <c r="B6961" i="106" s="1"/>
  <c r="D6961" i="106" s="1"/>
  <c r="B6898" i="106"/>
  <c r="D6898" i="106" s="1"/>
  <c r="K31" i="29"/>
  <c r="B6311" i="106"/>
  <c r="D6311" i="106" s="1"/>
  <c r="B7748" i="106"/>
  <c r="D7748" i="106" s="1"/>
  <c r="K94" i="29"/>
  <c r="B6999" i="106" s="1"/>
  <c r="D6999" i="106" s="1"/>
  <c r="B6998" i="106"/>
  <c r="D6998" i="106" s="1"/>
  <c r="H92" i="29"/>
  <c r="B6981" i="106"/>
  <c r="D6981" i="106" s="1"/>
  <c r="K85" i="29"/>
  <c r="B6982" i="106" s="1"/>
  <c r="D6982" i="106" s="1"/>
  <c r="B988" i="106"/>
  <c r="D988" i="106" s="1"/>
  <c r="B983" i="106"/>
  <c r="D983" i="106" s="1"/>
  <c r="B981" i="106"/>
  <c r="D981" i="106" s="1"/>
  <c r="B980" i="106"/>
  <c r="D980" i="106" s="1"/>
  <c r="B973" i="106"/>
  <c r="D973" i="106" s="1"/>
  <c r="B970" i="106"/>
  <c r="D970" i="106" s="1"/>
  <c r="G57" i="29"/>
  <c r="B969" i="106" s="1"/>
  <c r="D969" i="106" s="1"/>
  <c r="B967" i="106"/>
  <c r="D967" i="106" s="1"/>
  <c r="B6936" i="106"/>
  <c r="D6936" i="106" s="1"/>
  <c r="B964" i="106"/>
  <c r="D964" i="106" s="1"/>
  <c r="B960" i="106"/>
  <c r="D960" i="106" s="1"/>
  <c r="G47" i="29"/>
  <c r="B963" i="106" s="1"/>
  <c r="D963" i="106" s="1"/>
  <c r="B958" i="106"/>
  <c r="D958" i="106" s="1"/>
  <c r="B6894" i="106"/>
  <c r="D6894" i="106" s="1"/>
  <c r="K29" i="29"/>
  <c r="B6878" i="106"/>
  <c r="D6878" i="106" s="1"/>
  <c r="K21" i="29"/>
  <c r="B774" i="106"/>
  <c r="D774" i="106" s="1"/>
  <c r="B7258" i="106"/>
  <c r="D7258" i="106" s="1"/>
  <c r="B7252" i="106"/>
  <c r="D7252" i="106" s="1"/>
  <c r="B763" i="106"/>
  <c r="D763" i="106" s="1"/>
  <c r="B6753" i="106"/>
  <c r="D6753" i="106" s="1"/>
  <c r="B5085" i="106"/>
  <c r="D5085" i="106" s="1"/>
  <c r="B5079" i="106"/>
  <c r="D5079" i="106" s="1"/>
  <c r="B5065" i="106"/>
  <c r="D5065" i="106" s="1"/>
  <c r="B5022" i="106"/>
  <c r="D5022" i="106" s="1"/>
  <c r="C76" i="4"/>
  <c r="B3231" i="106" s="1"/>
  <c r="D3231" i="106" s="1"/>
  <c r="I57" i="29"/>
  <c r="B6948" i="106" s="1"/>
  <c r="D6948" i="106" s="1"/>
  <c r="B6944" i="106"/>
  <c r="D6944" i="106" s="1"/>
  <c r="B6926" i="106"/>
  <c r="D6926" i="106" s="1"/>
  <c r="I42" i="29"/>
  <c r="B6904" i="106"/>
  <c r="D6904" i="106" s="1"/>
  <c r="B6125" i="106"/>
  <c r="D6125" i="106" s="1"/>
  <c r="C34" i="3"/>
  <c r="L110" i="29"/>
  <c r="L112" i="29"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B7263" i="106"/>
  <c r="D7263" i="106" s="1"/>
  <c r="K17" i="29"/>
  <c r="B6871" i="106" s="1"/>
  <c r="D6871" i="106" s="1"/>
  <c r="B719" i="106"/>
  <c r="D719" i="106" s="1"/>
  <c r="K15" i="29"/>
  <c r="B718" i="106"/>
  <c r="D718" i="106" s="1"/>
  <c r="K14" i="29"/>
  <c r="B1106" i="106" s="1"/>
  <c r="D1106" i="106" s="1"/>
  <c r="B717" i="106"/>
  <c r="D717" i="106" s="1"/>
  <c r="K13" i="29"/>
  <c r="B1105" i="106" s="1"/>
  <c r="D1105" i="106" s="1"/>
  <c r="B716" i="106"/>
  <c r="D716" i="106" s="1"/>
  <c r="K12" i="29"/>
  <c r="B7257" i="106"/>
  <c r="D7257" i="106" s="1"/>
  <c r="B3055" i="106"/>
  <c r="D3055" i="106" s="1"/>
  <c r="K10" i="29"/>
  <c r="B3062" i="106" s="1"/>
  <c r="D3062" i="106" s="1"/>
  <c r="K9" i="29"/>
  <c r="B7251" i="106"/>
  <c r="D7251" i="106" s="1"/>
  <c r="B3366" i="106"/>
  <c r="D3366" i="106" s="1"/>
  <c r="K8" i="29"/>
  <c r="B3380" i="106" s="1"/>
  <c r="D3380" i="106" s="1"/>
  <c r="B6727" i="106"/>
  <c r="D6727" i="106" s="1"/>
  <c r="K7" i="29"/>
  <c r="B705" i="106"/>
  <c r="D705" i="106" s="1"/>
  <c r="B5072" i="106"/>
  <c r="D5072" i="106" s="1"/>
  <c r="B6963" i="106"/>
  <c r="D6963" i="106" s="1"/>
  <c r="I72" i="29"/>
  <c r="B6973" i="106" s="1"/>
  <c r="D6973" i="106" s="1"/>
  <c r="F162" i="34"/>
  <c r="B7761" i="106"/>
  <c r="D7761" i="106"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B2952" i="106"/>
  <c r="D2952" i="106" s="1"/>
  <c r="K81" i="29"/>
  <c r="B2976" i="106" s="1"/>
  <c r="D2976"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K26" i="29"/>
  <c r="B6888" i="106"/>
  <c r="D6888" i="106" s="1"/>
  <c r="B6844" i="106"/>
  <c r="D6844" i="106" s="1"/>
  <c r="B6031" i="106"/>
  <c r="D6031" i="106" s="1"/>
  <c r="K96" i="29"/>
  <c r="B7003" i="106" s="1"/>
  <c r="D7003" i="106" s="1"/>
  <c r="B7002" i="106"/>
  <c r="D7002" i="106" s="1"/>
  <c r="B6928" i="106"/>
  <c r="D6928" i="106" s="1"/>
  <c r="K98" i="29"/>
  <c r="B7007" i="106" s="1"/>
  <c r="D7007" i="106" s="1"/>
  <c r="B7006" i="106"/>
  <c r="D7006" i="106" s="1"/>
  <c r="B6989" i="106"/>
  <c r="D6989" i="106" s="1"/>
  <c r="K89" i="29"/>
  <c r="B6990" i="106" s="1"/>
  <c r="D6990" i="106" s="1"/>
  <c r="B756" i="106"/>
  <c r="D756" i="106" s="1"/>
  <c r="B754" i="106"/>
  <c r="D754" i="106" s="1"/>
  <c r="K73" i="29"/>
  <c r="B1142" i="106" s="1"/>
  <c r="D1142" i="106" s="1"/>
  <c r="B751" i="106"/>
  <c r="D751" i="106" s="1"/>
  <c r="K70" i="29"/>
  <c r="B1137" i="106" s="1"/>
  <c r="D1137" i="106" s="1"/>
  <c r="B749" i="106"/>
  <c r="D749" i="106" s="1"/>
  <c r="B748" i="106"/>
  <c r="D748" i="106" s="1"/>
  <c r="B747" i="106"/>
  <c r="D747" i="106" s="1"/>
  <c r="K68" i="29"/>
  <c r="B1135" i="106" s="1"/>
  <c r="D1135" i="106" s="1"/>
  <c r="K67" i="29"/>
  <c r="E33" i="108" s="1"/>
  <c r="C72" i="29"/>
  <c r="B753" i="106" s="1"/>
  <c r="D753" i="106" s="1"/>
  <c r="B746" i="106"/>
  <c r="D746" i="106" s="1"/>
  <c r="B743" i="106"/>
  <c r="D743" i="106" s="1"/>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B736" i="106"/>
  <c r="D736" i="106" s="1"/>
  <c r="K56" i="29"/>
  <c r="B735" i="106"/>
  <c r="D735" i="106" s="1"/>
  <c r="C57" i="29"/>
  <c r="B737" i="106" s="1"/>
  <c r="D737" i="106" s="1"/>
  <c r="K55" i="29"/>
  <c r="B6932" i="106"/>
  <c r="D6932" i="106" s="1"/>
  <c r="B2718" i="106"/>
  <c r="D2718" i="106" s="1"/>
  <c r="K51" i="29"/>
  <c r="B733" i="106"/>
  <c r="D733" i="106" s="1"/>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B725" i="106"/>
  <c r="D725" i="106" s="1"/>
  <c r="K40" i="29"/>
  <c r="B1113" i="106" s="1"/>
  <c r="D1113" i="106" s="1"/>
  <c r="K39" i="29"/>
  <c r="B1112" i="106" s="1"/>
  <c r="D1112" i="106" s="1"/>
  <c r="B724" i="106"/>
  <c r="D724" i="106" s="1"/>
  <c r="K38" i="29"/>
  <c r="B1111" i="106" s="1"/>
  <c r="D1111" i="106" s="1"/>
  <c r="B723" i="106"/>
  <c r="D723" i="106" s="1"/>
  <c r="B722" i="106"/>
  <c r="D722" i="106" s="1"/>
  <c r="K37" i="29"/>
  <c r="B1110" i="106" s="1"/>
  <c r="D1110" i="106" s="1"/>
  <c r="C42" i="29"/>
  <c r="B721" i="106"/>
  <c r="D721" i="106" s="1"/>
  <c r="K36" i="29"/>
  <c r="K25" i="29"/>
  <c r="B6886" i="106"/>
  <c r="D6886" i="106" s="1"/>
  <c r="B6874" i="106"/>
  <c r="D6874" i="106" s="1"/>
  <c r="B3377" i="106"/>
  <c r="D3377" i="106" s="1"/>
  <c r="B7262" i="106"/>
  <c r="D7262" i="106" s="1"/>
  <c r="B995" i="106"/>
  <c r="D995" i="106" s="1"/>
  <c r="B5061" i="106"/>
  <c r="D5061" i="106" s="1"/>
  <c r="B4" i="7"/>
  <c r="C12" i="5"/>
  <c r="B5110" i="106"/>
  <c r="D5110" i="106" s="1"/>
  <c r="F99" i="34"/>
  <c r="B5118" i="106"/>
  <c r="D5118" i="106" s="1"/>
  <c r="F104" i="34"/>
  <c r="B6941" i="106"/>
  <c r="D6941" i="106" s="1"/>
  <c r="K106" i="29"/>
  <c r="B1147" i="106" s="1"/>
  <c r="D1147" i="106" s="1"/>
  <c r="B1049" i="106"/>
  <c r="D1049" i="106" s="1"/>
  <c r="B6938" i="106"/>
  <c r="D6938" i="106" s="1"/>
  <c r="B879" i="106"/>
  <c r="D879" i="106" s="1"/>
  <c r="F33" i="29"/>
  <c r="B6307" i="106"/>
  <c r="D6307" i="106" s="1"/>
  <c r="B2791" i="106"/>
  <c r="D2791" i="106" s="1"/>
  <c r="K107" i="29"/>
  <c r="B2795" i="106" s="1"/>
  <c r="D2795" i="106" s="1"/>
  <c r="B7004" i="106"/>
  <c r="D7004" i="106" s="1"/>
  <c r="K97" i="29"/>
  <c r="B7005" i="106" s="1"/>
  <c r="D7005" i="106" s="1"/>
  <c r="K88" i="29"/>
  <c r="B6988" i="106" s="1"/>
  <c r="D6988" i="106" s="1"/>
  <c r="B6987" i="106"/>
  <c r="D6987"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B6905" i="106"/>
  <c r="D6905" i="106" s="1"/>
  <c r="J42" i="29"/>
  <c r="B6900" i="106"/>
  <c r="D6900" i="106" s="1"/>
  <c r="K32" i="29"/>
  <c r="B6884" i="106"/>
  <c r="D6884" i="106" s="1"/>
  <c r="K24" i="29"/>
  <c r="B5088" i="106"/>
  <c r="D5088" i="106" s="1"/>
  <c r="B5067" i="106"/>
  <c r="D5067" i="106" s="1"/>
  <c r="C18" i="5"/>
  <c r="B5071" i="106" s="1"/>
  <c r="D5071" i="106" s="1"/>
  <c r="F163" i="34"/>
  <c r="D13" i="3"/>
  <c r="B3414" i="106"/>
  <c r="D3414" i="106" s="1"/>
  <c r="D35" i="36"/>
  <c r="B1269" i="106"/>
  <c r="D1269" i="106" s="1"/>
  <c r="K143" i="29"/>
  <c r="B1284" i="106" s="1"/>
  <c r="D1284" i="106" s="1"/>
  <c r="B4199" i="106"/>
  <c r="D4199" i="106" s="1"/>
  <c r="K134" i="29"/>
  <c r="E137" i="29"/>
  <c r="K130" i="29"/>
  <c r="B2797" i="106"/>
  <c r="D2797" i="106" s="1"/>
  <c r="K128" i="29"/>
  <c r="B1280" i="106" s="1"/>
  <c r="D1280" i="106" s="1"/>
  <c r="B1224" i="106"/>
  <c r="D1224" i="106" s="1"/>
  <c r="B1236" i="106"/>
  <c r="D1236" i="106" s="1"/>
  <c r="K122" i="29"/>
  <c r="B4076" i="106"/>
  <c r="D4076" i="106" s="1"/>
  <c r="F33" i="34"/>
  <c r="B5494" i="106"/>
  <c r="D5494" i="106" s="1"/>
  <c r="F124" i="34"/>
  <c r="B4329" i="106"/>
  <c r="D4329" i="106" s="1"/>
  <c r="D154" i="5"/>
  <c r="B5394" i="106" s="1"/>
  <c r="D5394" i="106" s="1"/>
  <c r="B5391" i="106"/>
  <c r="D5391" i="106" s="1"/>
  <c r="B5331" i="106"/>
  <c r="D5331" i="106" s="1"/>
  <c r="B5349" i="106"/>
  <c r="D5349" i="106" s="1"/>
  <c r="D108" i="5"/>
  <c r="B5355" i="106" s="1"/>
  <c r="D5355" i="106" s="1"/>
  <c r="L149" i="29"/>
  <c r="L147" i="29"/>
  <c r="E40" i="4"/>
  <c r="B6288" i="106" s="1"/>
  <c r="D6288" i="106" s="1"/>
  <c r="B6249" i="106"/>
  <c r="D6249" i="106" s="1"/>
  <c r="H147" i="29"/>
  <c r="B1268" i="106"/>
  <c r="D1268" i="106" s="1"/>
  <c r="K142" i="29"/>
  <c r="D127" i="29"/>
  <c r="B1231" i="106" s="1"/>
  <c r="D1231" i="106" s="1"/>
  <c r="B1227" i="106"/>
  <c r="D1227" i="106" s="1"/>
  <c r="B4075" i="106"/>
  <c r="D4075" i="106" s="1"/>
  <c r="D191" i="5"/>
  <c r="B5426" i="106"/>
  <c r="D5426" i="106" s="1"/>
  <c r="D121" i="5"/>
  <c r="B5361" i="106"/>
  <c r="D5361" i="106" s="1"/>
  <c r="D82" i="5"/>
  <c r="B5343" i="106"/>
  <c r="D5343" i="106" s="1"/>
  <c r="B5458" i="106"/>
  <c r="D5458" i="106" s="1"/>
  <c r="D224" i="5"/>
  <c r="B5470" i="106" s="1"/>
  <c r="D5470" i="106" s="1"/>
  <c r="K138" i="29"/>
  <c r="B2094" i="106" s="1"/>
  <c r="D2094" i="106" s="1"/>
  <c r="B2092" i="106"/>
  <c r="D2092" i="106" s="1"/>
  <c r="B1254" i="106"/>
  <c r="D1254" i="106" s="1"/>
  <c r="K126" i="29"/>
  <c r="B1277" i="106" s="1"/>
  <c r="D1277" i="106" s="1"/>
  <c r="K125" i="29"/>
  <c r="B3488" i="106" s="1"/>
  <c r="D3488" i="106" s="1"/>
  <c r="B3482" i="106"/>
  <c r="D3482" i="106" s="1"/>
  <c r="B1221" i="106"/>
  <c r="D1221" i="106" s="1"/>
  <c r="K124" i="29"/>
  <c r="B1276" i="106" s="1"/>
  <c r="D1276" i="106" s="1"/>
  <c r="B1220" i="106"/>
  <c r="D1220" i="106" s="1"/>
  <c r="B1219" i="106"/>
  <c r="D1219" i="106" s="1"/>
  <c r="C127" i="29"/>
  <c r="B1223" i="106" s="1"/>
  <c r="D1223" i="106" s="1"/>
  <c r="K120" i="29"/>
  <c r="B4074" i="106"/>
  <c r="D4074" i="106" s="1"/>
  <c r="B5485" i="106"/>
  <c r="D5485" i="106" s="1"/>
  <c r="D228" i="5"/>
  <c r="B5488" i="106" s="1"/>
  <c r="D5488" i="106" s="1"/>
  <c r="B5333" i="106"/>
  <c r="D5333" i="106" s="1"/>
  <c r="D44" i="4"/>
  <c r="B7749" i="106"/>
  <c r="D7749" i="106" s="1"/>
  <c r="J127" i="29"/>
  <c r="B7034" i="106" s="1"/>
  <c r="D7034" i="106" s="1"/>
  <c r="B7025" i="106"/>
  <c r="D7025" i="106" s="1"/>
  <c r="B7023" i="106"/>
  <c r="D7023" i="106" s="1"/>
  <c r="B5384" i="106"/>
  <c r="D5384" i="106" s="1"/>
  <c r="F110" i="34"/>
  <c r="B5370" i="106"/>
  <c r="D5370" i="106" s="1"/>
  <c r="D140" i="5"/>
  <c r="B5383" i="106" s="1"/>
  <c r="D5383" i="106" s="1"/>
  <c r="K148" i="29"/>
  <c r="B7050" i="106" s="1"/>
  <c r="D7050" i="106" s="1"/>
  <c r="B7049" i="106"/>
  <c r="D7049" i="106" s="1"/>
  <c r="B4201" i="106"/>
  <c r="D4201" i="106" s="1"/>
  <c r="K136" i="29"/>
  <c r="B2988" i="106" s="1"/>
  <c r="D2988" i="106" s="1"/>
  <c r="B7024" i="106"/>
  <c r="D7024" i="106" s="1"/>
  <c r="I127" i="29"/>
  <c r="B7033" i="106" s="1"/>
  <c r="D7033" i="106" s="1"/>
  <c r="B7022" i="106"/>
  <c r="D7022" i="106" s="1"/>
  <c r="B5424" i="106"/>
  <c r="D5424" i="106" s="1"/>
  <c r="D184" i="5"/>
  <c r="B5425" i="106" s="1"/>
  <c r="D5425" i="106" s="1"/>
  <c r="B5357" i="106"/>
  <c r="D5357" i="106" s="1"/>
  <c r="D114" i="5"/>
  <c r="B6251" i="106"/>
  <c r="D6251" i="106" s="1"/>
  <c r="H41" i="4"/>
  <c r="B6289" i="106" s="1"/>
  <c r="D6289" i="106" s="1"/>
  <c r="E39" i="4"/>
  <c r="B6287" i="106" s="1"/>
  <c r="D6287" i="106" s="1"/>
  <c r="B6247" i="106"/>
  <c r="D6247" i="106" s="1"/>
  <c r="B6241" i="106"/>
  <c r="D6241" i="106" s="1"/>
  <c r="H19" i="118"/>
  <c r="H14" i="118"/>
  <c r="B1270" i="106"/>
  <c r="D1270" i="106" s="1"/>
  <c r="K146" i="29"/>
  <c r="B1285" i="106" s="1"/>
  <c r="D1285" i="106" s="1"/>
  <c r="B1260" i="106"/>
  <c r="D1260" i="106" s="1"/>
  <c r="H127" i="29"/>
  <c r="B1264" i="106" s="1"/>
  <c r="D1264" i="106" s="1"/>
  <c r="B4079" i="106"/>
  <c r="D4079" i="106" s="1"/>
  <c r="B5440" i="106"/>
  <c r="D5440" i="106" s="1"/>
  <c r="D216" i="5"/>
  <c r="B4412" i="106" s="1"/>
  <c r="D4412" i="106" s="1"/>
  <c r="D211" i="5"/>
  <c r="B5444" i="106" s="1"/>
  <c r="D5444" i="106" s="1"/>
  <c r="B5431" i="106"/>
  <c r="D5431" i="106" s="1"/>
  <c r="B5368" i="106"/>
  <c r="D5368" i="106" s="1"/>
  <c r="D131" i="5"/>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B5422" i="106"/>
  <c r="D5422" i="106" s="1"/>
  <c r="D178" i="5"/>
  <c r="B5023" i="106"/>
  <c r="D5023" i="106" s="1"/>
  <c r="D76" i="4"/>
  <c r="B3237" i="106" s="1"/>
  <c r="D3237" i="106" s="1"/>
  <c r="H51" i="4"/>
  <c r="B3170" i="106" s="1"/>
  <c r="D3170" i="106" s="1"/>
  <c r="B3161" i="106"/>
  <c r="D3161" i="106" s="1"/>
  <c r="B2807" i="106"/>
  <c r="D2807" i="106" s="1"/>
  <c r="K144" i="29"/>
  <c r="B2810" i="106" s="1"/>
  <c r="D2810" i="106" s="1"/>
  <c r="B2979" i="106"/>
  <c r="D2979" i="106" s="1"/>
  <c r="H137" i="29"/>
  <c r="B1243" i="106"/>
  <c r="D1243" i="106" s="1"/>
  <c r="F127" i="29"/>
  <c r="B1247" i="106" s="1"/>
  <c r="D1247" i="106" s="1"/>
  <c r="B4077" i="106"/>
  <c r="D4077" i="106" s="1"/>
  <c r="D259" i="5"/>
  <c r="B6834" i="106" s="1"/>
  <c r="D6834" i="106" s="1"/>
  <c r="B6615" i="106"/>
  <c r="D6615" i="106" s="1"/>
  <c r="B5335" i="106"/>
  <c r="D5335" i="106" s="1"/>
  <c r="D18" i="5"/>
  <c r="B5339" i="106" s="1"/>
  <c r="D5339" i="106" s="1"/>
  <c r="K53" i="4"/>
  <c r="B3703" i="106" s="1"/>
  <c r="D3703" i="106" s="1"/>
  <c r="B3699" i="106"/>
  <c r="D3699" i="106" s="1"/>
  <c r="L168" i="29"/>
  <c r="B1312" i="106"/>
  <c r="D1312" i="106" s="1"/>
  <c r="K169" i="29"/>
  <c r="B1326" i="106" s="1"/>
  <c r="D1326" i="106" s="1"/>
  <c r="K166" i="29"/>
  <c r="B2819" i="106" s="1"/>
  <c r="D2819" i="106" s="1"/>
  <c r="B2813" i="106"/>
  <c r="D2813" i="106" s="1"/>
  <c r="E259" i="5"/>
  <c r="B6714" i="106"/>
  <c r="D6714" i="106" s="1"/>
  <c r="K165" i="29"/>
  <c r="B2818" i="106" s="1"/>
  <c r="D2818" i="106" s="1"/>
  <c r="B2812" i="106"/>
  <c r="D2812" i="106" s="1"/>
  <c r="E13" i="3"/>
  <c r="B3417" i="106"/>
  <c r="D3417" i="106" s="1"/>
  <c r="D36" i="36"/>
  <c r="K164" i="29"/>
  <c r="B1325" i="106" s="1"/>
  <c r="D1325" i="106" s="1"/>
  <c r="B1311" i="106"/>
  <c r="D1311" i="106" s="1"/>
  <c r="E178" i="5"/>
  <c r="B4364" i="106"/>
  <c r="D4364" i="106" s="1"/>
  <c r="B5514" i="106"/>
  <c r="D5514" i="106" s="1"/>
  <c r="E18" i="5"/>
  <c r="B5518" i="106" s="1"/>
  <c r="D5518" i="106" s="1"/>
  <c r="K167" i="29"/>
  <c r="B1327" i="106" s="1"/>
  <c r="D1327" i="106" s="1"/>
  <c r="B1313" i="106"/>
  <c r="D1313" i="106" s="1"/>
  <c r="B1310" i="106"/>
  <c r="D1310" i="106" s="1"/>
  <c r="H168" i="29"/>
  <c r="K163" i="29"/>
  <c r="E121" i="5"/>
  <c r="B5528" i="106"/>
  <c r="D5528" i="106" s="1"/>
  <c r="B6" i="7"/>
  <c r="B5509" i="106"/>
  <c r="D5509" i="106" s="1"/>
  <c r="B5522" i="106"/>
  <c r="D5522" i="106" s="1"/>
  <c r="E108" i="5"/>
  <c r="B5526" i="106" s="1"/>
  <c r="D5526" i="106" s="1"/>
  <c r="E172" i="5"/>
  <c r="B5537" i="106" s="1"/>
  <c r="D5537" i="106" s="1"/>
  <c r="B6368" i="106"/>
  <c r="D6368" i="106" s="1"/>
  <c r="E34" i="3"/>
  <c r="B6127" i="106"/>
  <c r="D6127" i="106" s="1"/>
  <c r="B2817" i="106"/>
  <c r="D2817" i="106" s="1"/>
  <c r="E76" i="4"/>
  <c r="B3276" i="106" s="1"/>
  <c r="D3276" i="106" s="1"/>
  <c r="E172" i="29"/>
  <c r="K171" i="29"/>
  <c r="B1330" i="106" s="1"/>
  <c r="D1330" i="106" s="1"/>
  <c r="B1307" i="106"/>
  <c r="D1307" i="106" s="1"/>
  <c r="H160" i="29"/>
  <c r="B7777" i="106"/>
  <c r="D7777" i="106" s="1"/>
  <c r="K157" i="29"/>
  <c r="B1315" i="106"/>
  <c r="D1315" i="106" s="1"/>
  <c r="K170" i="29"/>
  <c r="D69" i="36"/>
  <c r="B5512" i="106"/>
  <c r="D5512" i="106" s="1"/>
  <c r="B7751" i="106"/>
  <c r="D7751" i="106" s="1"/>
  <c r="B1371" i="106"/>
  <c r="D1371" i="106" s="1"/>
  <c r="K199" i="29"/>
  <c r="B2992" i="106"/>
  <c r="D2992" i="106" s="1"/>
  <c r="B4795" i="106"/>
  <c r="D4795" i="106" s="1"/>
  <c r="B5630" i="106"/>
  <c r="D5630" i="106" s="1"/>
  <c r="B5580" i="106"/>
  <c r="D5580" i="106" s="1"/>
  <c r="B5573" i="106"/>
  <c r="D5573" i="106" s="1"/>
  <c r="F91" i="34"/>
  <c r="F19" i="34"/>
  <c r="B5567" i="106"/>
  <c r="D5567" i="106" s="1"/>
  <c r="B7069" i="106"/>
  <c r="D7069" i="106" s="1"/>
  <c r="K207" i="29"/>
  <c r="B7070" i="106" s="1"/>
  <c r="D7070" i="106" s="1"/>
  <c r="B6315" i="106"/>
  <c r="D6315" i="106" s="1"/>
  <c r="F28" i="34"/>
  <c r="B6314" i="106"/>
  <c r="D6314" i="106" s="1"/>
  <c r="F90" i="34"/>
  <c r="F87" i="34"/>
  <c r="B6312" i="106"/>
  <c r="D6312" i="106" s="1"/>
  <c r="F18" i="5"/>
  <c r="B5562" i="106" s="1"/>
  <c r="D5562" i="106" s="1"/>
  <c r="B5558" i="106"/>
  <c r="D5558" i="106" s="1"/>
  <c r="K206" i="29"/>
  <c r="B4210" i="106"/>
  <c r="D4210" i="106" s="1"/>
  <c r="K195" i="29"/>
  <c r="B2839" i="106" s="1"/>
  <c r="D2839" i="106" s="1"/>
  <c r="B2824" i="106"/>
  <c r="D2824" i="106" s="1"/>
  <c r="B4085" i="106"/>
  <c r="D4085" i="106" s="1"/>
  <c r="B4318" i="106"/>
  <c r="D4318" i="106" s="1"/>
  <c r="B4877" i="106"/>
  <c r="D4877" i="106" s="1"/>
  <c r="F27" i="34"/>
  <c r="B5578" i="106"/>
  <c r="D5578" i="106" s="1"/>
  <c r="F89" i="34"/>
  <c r="B5572" i="106"/>
  <c r="D5572" i="106" s="1"/>
  <c r="F86" i="34"/>
  <c r="B5566" i="106"/>
  <c r="D5566" i="106" s="1"/>
  <c r="B5553" i="106"/>
  <c r="D5553" i="106" s="1"/>
  <c r="B7" i="7"/>
  <c r="B5691" i="106"/>
  <c r="D5691" i="106" s="1"/>
  <c r="F31" i="34"/>
  <c r="K205" i="29"/>
  <c r="B7068" i="106" s="1"/>
  <c r="D7068" i="106" s="1"/>
  <c r="B7067" i="106"/>
  <c r="D7067" i="106" s="1"/>
  <c r="B4084" i="106"/>
  <c r="D4084" i="106" s="1"/>
  <c r="F191" i="5"/>
  <c r="B5659" i="106"/>
  <c r="D5659" i="106" s="1"/>
  <c r="B5593" i="106"/>
  <c r="D5593" i="106" s="1"/>
  <c r="F121" i="5"/>
  <c r="B5577" i="106"/>
  <c r="D5577" i="106" s="1"/>
  <c r="F26" i="34"/>
  <c r="B5571" i="106"/>
  <c r="D5571" i="106" s="1"/>
  <c r="F23" i="34"/>
  <c r="B5565" i="106"/>
  <c r="D5565" i="106" s="1"/>
  <c r="F85" i="34"/>
  <c r="B5584" i="106"/>
  <c r="D5584" i="106" s="1"/>
  <c r="F102" i="34"/>
  <c r="B3419" i="106"/>
  <c r="D3419" i="106" s="1"/>
  <c r="D37" i="36"/>
  <c r="B1373" i="106"/>
  <c r="D1373" i="106" s="1"/>
  <c r="K203" i="29"/>
  <c r="B1385" i="106" s="1"/>
  <c r="D1385" i="106" s="1"/>
  <c r="K193" i="29"/>
  <c r="B3012" i="106" s="1"/>
  <c r="D3012" i="106" s="1"/>
  <c r="B2994" i="106"/>
  <c r="D2994" i="106" s="1"/>
  <c r="K189" i="29"/>
  <c r="B3008" i="106" s="1"/>
  <c r="D3008" i="106" s="1"/>
  <c r="B2990" i="106"/>
  <c r="D2990" i="106" s="1"/>
  <c r="B4083" i="106"/>
  <c r="D4083" i="106" s="1"/>
  <c r="E184" i="29"/>
  <c r="F259" i="5"/>
  <c r="B6836" i="106" s="1"/>
  <c r="D6836" i="106" s="1"/>
  <c r="B6617" i="106"/>
  <c r="D6617" i="106" s="1"/>
  <c r="F25" i="34"/>
  <c r="B5576" i="106"/>
  <c r="D5576" i="106" s="1"/>
  <c r="F88" i="34"/>
  <c r="B5570" i="106"/>
  <c r="D5570" i="106" s="1"/>
  <c r="B5564" i="106"/>
  <c r="D5564" i="106" s="1"/>
  <c r="F18" i="34"/>
  <c r="B5556" i="106"/>
  <c r="D5556" i="106" s="1"/>
  <c r="F108" i="5"/>
  <c r="B5587" i="106" s="1"/>
  <c r="D5587" i="106" s="1"/>
  <c r="B5583" i="106"/>
  <c r="D5583" i="106" s="1"/>
  <c r="B2832" i="106"/>
  <c r="D2832" i="106" s="1"/>
  <c r="K202" i="29"/>
  <c r="B2842" i="106" s="1"/>
  <c r="D2842" i="106" s="1"/>
  <c r="B2995" i="106"/>
  <c r="D2995" i="106" s="1"/>
  <c r="D184" i="29"/>
  <c r="B4082" i="106"/>
  <c r="D4082" i="106" s="1"/>
  <c r="F184" i="5"/>
  <c r="B5658" i="106" s="1"/>
  <c r="D5658" i="106" s="1"/>
  <c r="B4804" i="106"/>
  <c r="D4804" i="106" s="1"/>
  <c r="B7764" i="106"/>
  <c r="D7764" i="106" s="1"/>
  <c r="F93" i="34"/>
  <c r="B6313" i="106"/>
  <c r="D6313" i="106" s="1"/>
  <c r="F22" i="34"/>
  <c r="B5563" i="106"/>
  <c r="D5563" i="106" s="1"/>
  <c r="F84" i="34"/>
  <c r="L204" i="29"/>
  <c r="L208" i="29" s="1"/>
  <c r="B5024" i="106"/>
  <c r="D5024" i="106" s="1"/>
  <c r="D71" i="36"/>
  <c r="B5014" i="106"/>
  <c r="D5014" i="106" s="1"/>
  <c r="B2831" i="106"/>
  <c r="D2831" i="106" s="1"/>
  <c r="K201" i="29"/>
  <c r="B2841" i="106" s="1"/>
  <c r="D2841" i="106" s="1"/>
  <c r="B2989" i="106"/>
  <c r="D2989" i="106" s="1"/>
  <c r="K188" i="29"/>
  <c r="K185" i="29"/>
  <c r="B2820" i="106"/>
  <c r="D2820" i="106" s="1"/>
  <c r="K183" i="29"/>
  <c r="B1380" i="106" s="1"/>
  <c r="D1380" i="106" s="1"/>
  <c r="B1338" i="106"/>
  <c r="D1338" i="106" s="1"/>
  <c r="B1335" i="106"/>
  <c r="D1335" i="106" s="1"/>
  <c r="B5665" i="106"/>
  <c r="D5665" i="106" s="1"/>
  <c r="F154" i="5"/>
  <c r="B5618" i="106" s="1"/>
  <c r="D5618" i="106" s="1"/>
  <c r="B5615" i="106"/>
  <c r="D5615" i="106" s="1"/>
  <c r="B5589" i="106"/>
  <c r="D5589" i="106" s="1"/>
  <c r="F114" i="5"/>
  <c r="F92" i="34"/>
  <c r="B5575" i="106"/>
  <c r="D5575" i="106" s="1"/>
  <c r="F63" i="5"/>
  <c r="B5579" i="106" s="1"/>
  <c r="D5579" i="106" s="1"/>
  <c r="B4342" i="106"/>
  <c r="D4342" i="106" s="1"/>
  <c r="F32" i="34"/>
  <c r="B5692" i="106"/>
  <c r="D5692" i="106" s="1"/>
  <c r="H204" i="29"/>
  <c r="B2998" i="106"/>
  <c r="D2998" i="106" s="1"/>
  <c r="B7060" i="106"/>
  <c r="D7060" i="106" s="1"/>
  <c r="F216" i="5"/>
  <c r="B4413" i="106" s="1"/>
  <c r="D4413" i="106" s="1"/>
  <c r="B5673" i="106"/>
  <c r="D5673" i="106" s="1"/>
  <c r="B5664" i="106"/>
  <c r="D5664" i="106" s="1"/>
  <c r="B5654" i="106"/>
  <c r="D5654" i="106" s="1"/>
  <c r="F178" i="5"/>
  <c r="F131" i="5"/>
  <c r="B5600" i="106"/>
  <c r="D5600" i="106" s="1"/>
  <c r="B5574" i="106"/>
  <c r="D5574" i="106" s="1"/>
  <c r="F24" i="34"/>
  <c r="F20" i="34"/>
  <c r="B5568" i="106"/>
  <c r="D5568"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F168" i="34"/>
  <c r="B5858" i="106"/>
  <c r="D5858" i="106" s="1"/>
  <c r="B6805" i="106"/>
  <c r="D6805" i="106" s="1"/>
  <c r="B6741" i="106"/>
  <c r="D6741" i="106" s="1"/>
  <c r="B6678" i="106"/>
  <c r="D6678" i="106" s="1"/>
  <c r="B6618" i="106"/>
  <c r="D6618" i="106" s="1"/>
  <c r="G259" i="5"/>
  <c r="B6837" i="106" s="1"/>
  <c r="D6837" i="106" s="1"/>
  <c r="B5798" i="106"/>
  <c r="D5798" i="106" s="1"/>
  <c r="B6392" i="106"/>
  <c r="D6392" i="106" s="1"/>
  <c r="B5757" i="106"/>
  <c r="D5757" i="106" s="1"/>
  <c r="G144" i="5"/>
  <c r="B5754" i="106"/>
  <c r="D5754" i="106" s="1"/>
  <c r="B4886" i="106"/>
  <c r="D4886" i="106" s="1"/>
  <c r="B5731" i="106"/>
  <c r="D5731" i="106" s="1"/>
  <c r="B8" i="7"/>
  <c r="B5721" i="106"/>
  <c r="D5721" i="106" s="1"/>
  <c r="L257" i="29"/>
  <c r="L270" i="29"/>
  <c r="L285" i="29"/>
  <c r="G34" i="3"/>
  <c r="B6129" i="106"/>
  <c r="D6129" i="106" s="1"/>
  <c r="G76" i="4"/>
  <c r="B3260" i="106" s="1"/>
  <c r="D3260" i="106" s="1"/>
  <c r="B3259" i="106"/>
  <c r="D3259" i="106" s="1"/>
  <c r="K291" i="29"/>
  <c r="B2846" i="106" s="1"/>
  <c r="D2846" i="106" s="1"/>
  <c r="B2844" i="106"/>
  <c r="D2844" i="106" s="1"/>
  <c r="B1442" i="106"/>
  <c r="D1442" i="106" s="1"/>
  <c r="K276" i="29"/>
  <c r="B1506" i="106" s="1"/>
  <c r="D1506"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K215" i="29"/>
  <c r="B3387" i="106"/>
  <c r="D3387" i="106" s="1"/>
  <c r="F167" i="34"/>
  <c r="B5856" i="106"/>
  <c r="D5856" i="106" s="1"/>
  <c r="F156" i="34"/>
  <c r="B6797" i="106"/>
  <c r="D6797" i="106" s="1"/>
  <c r="B6733" i="106"/>
  <c r="D6733" i="106" s="1"/>
  <c r="B6670" i="106"/>
  <c r="D6670" i="106" s="1"/>
  <c r="F143" i="34"/>
  <c r="B4919" i="106"/>
  <c r="D4919" i="106" s="1"/>
  <c r="B6349" i="106"/>
  <c r="D6349" i="106" s="1"/>
  <c r="K290" i="29"/>
  <c r="B2845" i="106" s="1"/>
  <c r="D2845" i="106" s="1"/>
  <c r="B2843" i="106"/>
  <c r="D2843" i="106" s="1"/>
  <c r="B1440" i="106"/>
  <c r="D1440" i="106" s="1"/>
  <c r="K275" i="29"/>
  <c r="B1504" i="106" s="1"/>
  <c r="D1504" i="106" s="1"/>
  <c r="D36" i="108"/>
  <c r="F36" i="108"/>
  <c r="B1430" i="106"/>
  <c r="D1430" i="106" s="1"/>
  <c r="K265" i="29"/>
  <c r="B1494" i="106" s="1"/>
  <c r="D1494" i="106" s="1"/>
  <c r="B7091" i="106"/>
  <c r="D7091" i="106" s="1"/>
  <c r="K253" i="29"/>
  <c r="B7092" i="106" s="1"/>
  <c r="D7092"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4417" i="106"/>
  <c r="D4417" i="106" s="1"/>
  <c r="F148" i="34"/>
  <c r="B6724" i="106"/>
  <c r="D6724" i="106" s="1"/>
  <c r="G191" i="5"/>
  <c r="B5785" i="106"/>
  <c r="D5785" i="106" s="1"/>
  <c r="B6387" i="106"/>
  <c r="D6387"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B1420" i="106"/>
  <c r="D1420" i="106" s="1"/>
  <c r="K242" i="29"/>
  <c r="B1484" i="106" s="1"/>
  <c r="D1484" i="106" s="1"/>
  <c r="B1411" i="106"/>
  <c r="D1411" i="106" s="1"/>
  <c r="K232" i="29"/>
  <c r="D238" i="29"/>
  <c r="K221" i="29"/>
  <c r="B1406" i="106"/>
  <c r="D1406" i="106" s="1"/>
  <c r="D17" i="171"/>
  <c r="B4448" i="106"/>
  <c r="D4448" i="106" s="1"/>
  <c r="F173" i="34"/>
  <c r="B5855" i="106"/>
  <c r="D5855" i="106" s="1"/>
  <c r="B6781" i="106"/>
  <c r="D6781" i="106" s="1"/>
  <c r="F147" i="34"/>
  <c r="B6716" i="106"/>
  <c r="D6716" i="106" s="1"/>
  <c r="B6654" i="106"/>
  <c r="D6654" i="106" s="1"/>
  <c r="F141" i="34"/>
  <c r="B5844" i="106"/>
  <c r="D5844" i="106" s="1"/>
  <c r="G228" i="5"/>
  <c r="B6384" i="106"/>
  <c r="D6384" i="106" s="1"/>
  <c r="F117" i="34"/>
  <c r="G154" i="5"/>
  <c r="B6380" i="106"/>
  <c r="D6380" i="106" s="1"/>
  <c r="B5742" i="106"/>
  <c r="D5742" i="106" s="1"/>
  <c r="B5734" i="106"/>
  <c r="D5734" i="106" s="1"/>
  <c r="G108" i="5"/>
  <c r="B5737" i="106" s="1"/>
  <c r="D5737" i="106" s="1"/>
  <c r="B6402" i="106"/>
  <c r="D6402" i="106" s="1"/>
  <c r="G201" i="5"/>
  <c r="B5823" i="106"/>
  <c r="D5823" i="106" s="1"/>
  <c r="B5821" i="106"/>
  <c r="D5821" i="106" s="1"/>
  <c r="F132" i="34"/>
  <c r="B5817" i="106"/>
  <c r="D5817" i="106" s="1"/>
  <c r="G224" i="5"/>
  <c r="B5829" i="106" s="1"/>
  <c r="D5829" i="106" s="1"/>
  <c r="H293" i="29"/>
  <c r="B1449" i="106"/>
  <c r="D1449" i="106" s="1"/>
  <c r="K288" i="29"/>
  <c r="B1438" i="106"/>
  <c r="D1438" i="106" s="1"/>
  <c r="K273" i="29"/>
  <c r="B1502" i="106" s="1"/>
  <c r="D1502" i="106" s="1"/>
  <c r="G34" i="108"/>
  <c r="E34" i="108"/>
  <c r="B1428" i="106"/>
  <c r="D1428" i="106" s="1"/>
  <c r="D270" i="29"/>
  <c r="B1436" i="106" s="1"/>
  <c r="D1436" i="106" s="1"/>
  <c r="K263" i="29"/>
  <c r="D26" i="108"/>
  <c r="F26" i="108"/>
  <c r="K251" i="29"/>
  <c r="B7088" i="106" s="1"/>
  <c r="D7088" i="106" s="1"/>
  <c r="B7087" i="106"/>
  <c r="D7087" i="106" s="1"/>
  <c r="B1419" i="106"/>
  <c r="D1419" i="106" s="1"/>
  <c r="K241" i="29"/>
  <c r="B1483" i="106" s="1"/>
  <c r="D1483" i="106" s="1"/>
  <c r="B3389" i="106"/>
  <c r="D3389" i="106" s="1"/>
  <c r="K228" i="29"/>
  <c r="B3392" i="106" s="1"/>
  <c r="D3392" i="106" s="1"/>
  <c r="K220" i="29"/>
  <c r="B7077" i="106"/>
  <c r="D7077" i="106" s="1"/>
  <c r="F172" i="34"/>
  <c r="B4361" i="106"/>
  <c r="D4361" i="106" s="1"/>
  <c r="F164" i="34"/>
  <c r="B6843" i="106"/>
  <c r="D6843" i="106" s="1"/>
  <c r="B6773" i="106"/>
  <c r="D6773" i="106" s="1"/>
  <c r="B6646" i="106"/>
  <c r="D6646" i="106" s="1"/>
  <c r="G184" i="5"/>
  <c r="B4810" i="106"/>
  <c r="D4810" i="106" s="1"/>
  <c r="B5768" i="106"/>
  <c r="D5768" i="106" s="1"/>
  <c r="G18" i="5"/>
  <c r="B5730" i="106" s="1"/>
  <c r="D5730" i="106" s="1"/>
  <c r="B5726" i="106"/>
  <c r="D5726" i="106" s="1"/>
  <c r="B4165" i="106"/>
  <c r="D4165" i="106" s="1"/>
  <c r="K284" i="29"/>
  <c r="B4166" i="106" s="1"/>
  <c r="D4166" i="106" s="1"/>
  <c r="D277" i="29"/>
  <c r="B1444" i="106" s="1"/>
  <c r="D1444"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L238" i="29"/>
  <c r="K283" i="29"/>
  <c r="B3721" i="106"/>
  <c r="D3721" i="106" s="1"/>
  <c r="D285" i="29"/>
  <c r="B3722" i="106" s="1"/>
  <c r="D3722" i="106" s="1"/>
  <c r="B1434" i="106"/>
  <c r="D1434" i="106" s="1"/>
  <c r="K269" i="29"/>
  <c r="B1498" i="106" s="1"/>
  <c r="D1498" i="106" s="1"/>
  <c r="D261" i="29"/>
  <c r="K259" i="29"/>
  <c r="B1425" i="106"/>
  <c r="D1425" i="106" s="1"/>
  <c r="K249" i="29"/>
  <c r="B7084" i="106" s="1"/>
  <c r="D7084" i="106" s="1"/>
  <c r="B7083" i="106"/>
  <c r="D7083" i="106" s="1"/>
  <c r="K237" i="29"/>
  <c r="B1480" i="106" s="1"/>
  <c r="D1480" i="106" s="1"/>
  <c r="B1416" i="106"/>
  <c r="D1416" i="106" s="1"/>
  <c r="B7079" i="106"/>
  <c r="D7079" i="106" s="1"/>
  <c r="K226" i="29"/>
  <c r="B7080" i="106" s="1"/>
  <c r="D7080" i="106" s="1"/>
  <c r="K218" i="29"/>
  <c r="B7075" i="106"/>
  <c r="D7075" i="106" s="1"/>
  <c r="B4421" i="106"/>
  <c r="D4421" i="106" s="1"/>
  <c r="B6821" i="106"/>
  <c r="D6821" i="106" s="1"/>
  <c r="F159" i="34"/>
  <c r="B6757" i="106"/>
  <c r="D6757" i="106" s="1"/>
  <c r="B6693" i="106"/>
  <c r="D6693" i="106" s="1"/>
  <c r="B6630" i="106"/>
  <c r="D6630" i="106" s="1"/>
  <c r="G216" i="5"/>
  <c r="B5799" i="106"/>
  <c r="D5799" i="106" s="1"/>
  <c r="B5790" i="106"/>
  <c r="D5790" i="106" s="1"/>
  <c r="G211" i="5"/>
  <c r="B5779" i="106"/>
  <c r="D5779" i="106" s="1"/>
  <c r="G178" i="5"/>
  <c r="B4353" i="106"/>
  <c r="D4353" i="106" s="1"/>
  <c r="F109" i="34"/>
  <c r="B7752" i="106"/>
  <c r="D7752" i="106" s="1"/>
  <c r="G44" i="4"/>
  <c r="B1447" i="106"/>
  <c r="D1447" i="106" s="1"/>
  <c r="K280" i="29"/>
  <c r="K268" i="29"/>
  <c r="B1497" i="106" s="1"/>
  <c r="D1497" i="106" s="1"/>
  <c r="B1433" i="106"/>
  <c r="D1433" i="106" s="1"/>
  <c r="E30" i="108"/>
  <c r="G30" i="108"/>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B6813" i="106"/>
  <c r="D6813" i="106" s="1"/>
  <c r="F158" i="34"/>
  <c r="B6686" i="106"/>
  <c r="D6686" i="106" s="1"/>
  <c r="F137" i="34"/>
  <c r="B6625" i="106"/>
  <c r="D6625" i="106" s="1"/>
  <c r="B5763" i="106"/>
  <c r="D5763" i="106" s="1"/>
  <c r="B5749" i="106"/>
  <c r="D5749" i="106" s="1"/>
  <c r="G140" i="5"/>
  <c r="B5724" i="106"/>
  <c r="D5724" i="106" s="1"/>
  <c r="B4343" i="106"/>
  <c r="D4343" i="106" s="1"/>
  <c r="F135" i="34"/>
  <c r="B5822" i="106"/>
  <c r="D5822" i="106" s="1"/>
  <c r="B7106" i="106"/>
  <c r="D7106" i="106" s="1"/>
  <c r="H310" i="29"/>
  <c r="B7115" i="106" s="1"/>
  <c r="D7115" i="106" s="1"/>
  <c r="D303" i="29"/>
  <c r="B1525" i="106"/>
  <c r="D1525" i="106" s="1"/>
  <c r="H184" i="5"/>
  <c r="B5908" i="106" s="1"/>
  <c r="D5908" i="106" s="1"/>
  <c r="B5907" i="106"/>
  <c r="D5907" i="106" s="1"/>
  <c r="B5871" i="106"/>
  <c r="D5871" i="106" s="1"/>
  <c r="B9" i="7"/>
  <c r="B6245" i="106"/>
  <c r="D6245" i="106" s="1"/>
  <c r="E38" i="4"/>
  <c r="B6286" i="106" s="1"/>
  <c r="D6286" i="106" s="1"/>
  <c r="B7753" i="106"/>
  <c r="D7753" i="106" s="1"/>
  <c r="B7105" i="106"/>
  <c r="D7105" i="106" s="1"/>
  <c r="K306" i="29"/>
  <c r="E310" i="29"/>
  <c r="B7114" i="106" s="1"/>
  <c r="D7114" i="106" s="1"/>
  <c r="B1522" i="106"/>
  <c r="D1522" i="106" s="1"/>
  <c r="K302" i="29"/>
  <c r="B1558" i="106" s="1"/>
  <c r="D1558" i="106" s="1"/>
  <c r="C303" i="29"/>
  <c r="B1519" i="106"/>
  <c r="D1519" i="106" s="1"/>
  <c r="K301" i="29"/>
  <c r="H172" i="5"/>
  <c r="B5899" i="106" s="1"/>
  <c r="D5899" i="106" s="1"/>
  <c r="B6371" i="106"/>
  <c r="D6371" i="106" s="1"/>
  <c r="J303" i="29"/>
  <c r="B7100" i="106"/>
  <c r="D7100" i="106" s="1"/>
  <c r="B4365" i="106"/>
  <c r="D4365" i="106" s="1"/>
  <c r="H178" i="5"/>
  <c r="B7043" i="106"/>
  <c r="D7043" i="106" s="1"/>
  <c r="K309" i="29"/>
  <c r="B3717" i="106" s="1"/>
  <c r="D3717" i="106" s="1"/>
  <c r="B7112" i="106"/>
  <c r="D7112" i="106" s="1"/>
  <c r="B7099" i="106"/>
  <c r="D7099" i="106" s="1"/>
  <c r="I303" i="29"/>
  <c r="B1549" i="106"/>
  <c r="D1549" i="106" s="1"/>
  <c r="H303" i="29"/>
  <c r="B5874" i="106"/>
  <c r="D5874" i="106" s="1"/>
  <c r="H18" i="5"/>
  <c r="B5878" i="106" s="1"/>
  <c r="D5878" i="106" s="1"/>
  <c r="B5882" i="106"/>
  <c r="D5882" i="106" s="1"/>
  <c r="H108" i="5"/>
  <c r="B5886" i="106" s="1"/>
  <c r="D5886" i="106" s="1"/>
  <c r="E37" i="4"/>
  <c r="B6242" i="106"/>
  <c r="D6242" i="106" s="1"/>
  <c r="K308" i="29"/>
  <c r="B4100" i="106" s="1"/>
  <c r="D4100" i="106" s="1"/>
  <c r="B7110" i="106"/>
  <c r="D7110" i="106" s="1"/>
  <c r="G303" i="29"/>
  <c r="B1543" i="106"/>
  <c r="D1543" i="106" s="1"/>
  <c r="H259" i="5"/>
  <c r="B6619" i="106"/>
  <c r="D6619" i="106" s="1"/>
  <c r="B5887" i="106"/>
  <c r="D5887" i="106" s="1"/>
  <c r="H121" i="5"/>
  <c r="B6299" i="106"/>
  <c r="D6299" i="106" s="1"/>
  <c r="B6130" i="106"/>
  <c r="D6130" i="106" s="1"/>
  <c r="H34" i="3"/>
  <c r="F303" i="29"/>
  <c r="B1537" i="106"/>
  <c r="D1537" i="106" s="1"/>
  <c r="B2848" i="106"/>
  <c r="D2848" i="106" s="1"/>
  <c r="B7108" i="106"/>
  <c r="D7108" i="106" s="1"/>
  <c r="K307" i="29"/>
  <c r="B4099" i="106" s="1"/>
  <c r="D4099" i="106" s="1"/>
  <c r="B1531" i="106"/>
  <c r="D1531" i="106" s="1"/>
  <c r="E303" i="29"/>
  <c r="B5919" i="106"/>
  <c r="D5919" i="106" s="1"/>
  <c r="I18" i="5"/>
  <c r="B5923" i="106" s="1"/>
  <c r="D5923" i="106" s="1"/>
  <c r="I172" i="5"/>
  <c r="B4215" i="106"/>
  <c r="D4215" i="106" s="1"/>
  <c r="B5927" i="106"/>
  <c r="D5927" i="106" s="1"/>
  <c r="I108" i="5"/>
  <c r="B5930" i="106" s="1"/>
  <c r="D5930" i="106" s="1"/>
  <c r="B5917" i="106"/>
  <c r="D5917" i="106" s="1"/>
  <c r="I34" i="3"/>
  <c r="B6139" i="106"/>
  <c r="D6139" i="106" s="1"/>
  <c r="B2772" i="106"/>
  <c r="D2772" i="106" s="1"/>
  <c r="I44" i="4"/>
  <c r="B3317" i="106" s="1"/>
  <c r="D3317" i="106" s="1"/>
  <c r="B7125" i="106"/>
  <c r="D7125" i="106" s="1"/>
  <c r="J330" i="29"/>
  <c r="B6353" i="106"/>
  <c r="D6353" i="106" s="1"/>
  <c r="J121" i="5"/>
  <c r="I330" i="29"/>
  <c r="B7124" i="106"/>
  <c r="D7124" i="106" s="1"/>
  <c r="B6398" i="106"/>
  <c r="D6398" i="106" s="1"/>
  <c r="J178" i="5"/>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J44" i="4"/>
  <c r="B7754" i="106"/>
  <c r="D7754" i="106" s="1"/>
  <c r="B7121" i="106"/>
  <c r="D7121" i="106" s="1"/>
  <c r="F330" i="29"/>
  <c r="J172" i="5"/>
  <c r="B6396" i="106" s="1"/>
  <c r="D6396" i="106" s="1"/>
  <c r="B6373" i="106"/>
  <c r="D6373" i="106" s="1"/>
  <c r="K339" i="29"/>
  <c r="B7213" i="106" s="1"/>
  <c r="D7213" i="106" s="1"/>
  <c r="B7212" i="106"/>
  <c r="D7212" i="106" s="1"/>
  <c r="B7120" i="106"/>
  <c r="D7120" i="106" s="1"/>
  <c r="E330" i="29"/>
  <c r="J12" i="5"/>
  <c r="B6298" i="106"/>
  <c r="D6298" i="106" s="1"/>
  <c r="B11" i="7"/>
  <c r="B7210" i="106"/>
  <c r="D7210" i="106" s="1"/>
  <c r="K338" i="29"/>
  <c r="B7211" i="106" s="1"/>
  <c r="D7211" i="106" s="1"/>
  <c r="B7119" i="106"/>
  <c r="D7119" i="106" s="1"/>
  <c r="D330" i="29"/>
  <c r="J34" i="3"/>
  <c r="B6131" i="106"/>
  <c r="D6131" i="106" s="1"/>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B6302" i="106"/>
  <c r="D6302" i="106" s="1"/>
  <c r="J18" i="5"/>
  <c r="B6306" i="106" s="1"/>
  <c r="D6306" i="106" s="1"/>
  <c r="D42" i="36"/>
  <c r="B3546" i="106"/>
  <c r="D3546" i="106" s="1"/>
  <c r="K13" i="3"/>
  <c r="B6132" i="106"/>
  <c r="D6132" i="106" s="1"/>
  <c r="K361" i="29"/>
  <c r="B7239" i="106" s="1"/>
  <c r="D7239" i="106" s="1"/>
  <c r="B7238" i="106"/>
  <c r="D7238" i="106" s="1"/>
  <c r="B3631" i="106"/>
  <c r="D3631" i="106" s="1"/>
  <c r="E350" i="29"/>
  <c r="K121" i="5"/>
  <c r="B6000" i="106"/>
  <c r="D6000" i="106" s="1"/>
  <c r="B5996" i="106"/>
  <c r="D5996" i="106" s="1"/>
  <c r="K108" i="5"/>
  <c r="B5999" i="106" s="1"/>
  <c r="D5999" i="106" s="1"/>
  <c r="K360" i="29"/>
  <c r="H362" i="29"/>
  <c r="B3657" i="106"/>
  <c r="D3657" i="106" s="1"/>
  <c r="B3624" i="106"/>
  <c r="D3624" i="106" s="1"/>
  <c r="D350" i="29"/>
  <c r="B6296" i="106"/>
  <c r="D6296" i="106" s="1"/>
  <c r="D73" i="36"/>
  <c r="K364" i="29"/>
  <c r="B7746" i="106" s="1"/>
  <c r="D7746" i="106" s="1"/>
  <c r="B7745" i="106"/>
  <c r="D7745" i="106" s="1"/>
  <c r="K356" i="29"/>
  <c r="K357" i="29" s="1"/>
  <c r="K15" i="4" s="1"/>
  <c r="B3573" i="106" s="1"/>
  <c r="D3573" i="106" s="1"/>
  <c r="H357" i="29"/>
  <c r="K351" i="29"/>
  <c r="B3671" i="106" s="1"/>
  <c r="D3671" i="106" s="1"/>
  <c r="B3620" i="106"/>
  <c r="D3620" i="106" s="1"/>
  <c r="K349" i="29"/>
  <c r="B3669" i="106" s="1"/>
  <c r="D3669" i="106" s="1"/>
  <c r="B3618" i="106"/>
  <c r="D3618" i="106" s="1"/>
  <c r="K348" i="29"/>
  <c r="C350" i="29"/>
  <c r="B3617" i="106"/>
  <c r="D3617" i="106" s="1"/>
  <c r="B5986" i="106"/>
  <c r="D5986" i="106" s="1"/>
  <c r="B6257" i="106"/>
  <c r="D6257" i="106" s="1"/>
  <c r="K76" i="4"/>
  <c r="B3586" i="106" s="1"/>
  <c r="D3586" i="106" s="1"/>
  <c r="B3579" i="106"/>
  <c r="D3579" i="106" s="1"/>
  <c r="D68" i="36"/>
  <c r="J350" i="29"/>
  <c r="B7227" i="106"/>
  <c r="D7227" i="106" s="1"/>
  <c r="B4868" i="106"/>
  <c r="D4868" i="106" s="1"/>
  <c r="K273" i="5"/>
  <c r="B4442" i="106" s="1"/>
  <c r="D4442" i="106" s="1"/>
  <c r="B5993" i="106"/>
  <c r="D5993" i="106" s="1"/>
  <c r="B7240" i="106"/>
  <c r="D7240" i="106" s="1"/>
  <c r="K363" i="29"/>
  <c r="B7241" i="106" s="1"/>
  <c r="D7241" i="106" s="1"/>
  <c r="B3638" i="106"/>
  <c r="D3638" i="106" s="1"/>
  <c r="F350" i="29"/>
  <c r="B3578" i="106"/>
  <c r="D3578" i="106" s="1"/>
  <c r="B7226" i="106"/>
  <c r="D7226" i="106" s="1"/>
  <c r="I350" i="29"/>
  <c r="K184" i="5"/>
  <c r="B6016" i="106" s="1"/>
  <c r="D6016" i="106" s="1"/>
  <c r="B4816" i="106"/>
  <c r="D4816" i="106" s="1"/>
  <c r="B6374" i="106"/>
  <c r="D6374" i="106" s="1"/>
  <c r="K172" i="5"/>
  <c r="B5000" i="106" s="1"/>
  <c r="D5000" i="106" s="1"/>
  <c r="I48" i="4"/>
  <c r="B2106" i="106" s="1"/>
  <c r="D2106" i="106" s="1"/>
  <c r="B3577" i="106"/>
  <c r="D3577" i="106" s="1"/>
  <c r="H350" i="29"/>
  <c r="B3652" i="106"/>
  <c r="D3652" i="106" s="1"/>
  <c r="B5988" i="106"/>
  <c r="D5988" i="106" s="1"/>
  <c r="K18" i="5"/>
  <c r="B5992" i="106" s="1"/>
  <c r="D5992" i="106" s="1"/>
  <c r="L362" i="29"/>
  <c r="L365" i="29" s="1"/>
  <c r="K44" i="4"/>
  <c r="B7755" i="106"/>
  <c r="D7755" i="106" s="1"/>
  <c r="I47" i="4"/>
  <c r="G350" i="29"/>
  <c r="B3645" i="106"/>
  <c r="D3645" i="106" s="1"/>
  <c r="B4368" i="106"/>
  <c r="D4368" i="106" s="1"/>
  <c r="K178" i="5"/>
  <c r="B6785" i="106"/>
  <c r="D6785" i="106" s="1"/>
  <c r="B6410" i="106"/>
  <c r="D6410"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E194" i="29" l="1"/>
  <c r="H44" i="4"/>
  <c r="F129" i="29"/>
  <c r="G38" i="108"/>
  <c r="K123" i="29"/>
  <c r="B1275" i="106" s="1"/>
  <c r="D1275" i="106" s="1"/>
  <c r="L303" i="29"/>
  <c r="F28" i="108"/>
  <c r="E28" i="108"/>
  <c r="L293" i="29"/>
  <c r="D129" i="29"/>
  <c r="D151" i="29" s="1"/>
  <c r="B1234" i="106" s="1"/>
  <c r="D1234" i="106" s="1"/>
  <c r="L229" i="29"/>
  <c r="G121" i="5"/>
  <c r="B5748" i="106" s="1"/>
  <c r="D5748" i="106" s="1"/>
  <c r="C129" i="29"/>
  <c r="K75" i="29"/>
  <c r="G33" i="108"/>
  <c r="F211" i="5"/>
  <c r="B5677" i="106" s="1"/>
  <c r="D5677" i="106" s="1"/>
  <c r="H76" i="4"/>
  <c r="B3298" i="106" s="1"/>
  <c r="D3298" i="106" s="1"/>
  <c r="L277" i="29"/>
  <c r="L279" i="29" s="1"/>
  <c r="K64" i="29"/>
  <c r="B14" i="7"/>
  <c r="H65" i="29"/>
  <c r="B1035" i="106" s="1"/>
  <c r="D1035" i="106" s="1"/>
  <c r="C44" i="4"/>
  <c r="B3229" i="106" s="1"/>
  <c r="D3229" i="106" s="1"/>
  <c r="G65" i="29"/>
  <c r="B977" i="106" s="1"/>
  <c r="D977" i="106" s="1"/>
  <c r="L84" i="29"/>
  <c r="L100" i="29"/>
  <c r="G53" i="29"/>
  <c r="B966" i="106" s="1"/>
  <c r="D966" i="106" s="1"/>
  <c r="D12" i="171"/>
  <c r="H129" i="29"/>
  <c r="E38" i="108"/>
  <c r="B1093" i="106"/>
  <c r="D1093" i="106" s="1"/>
  <c r="B1104" i="106"/>
  <c r="D1104" i="106" s="1"/>
  <c r="F37" i="34"/>
  <c r="B2951" i="106"/>
  <c r="D2951" i="106" s="1"/>
  <c r="K80" i="29"/>
  <c r="B2975" i="106" s="1"/>
  <c r="D2975" i="106" s="1"/>
  <c r="C178" i="5"/>
  <c r="B5224" i="106"/>
  <c r="D5224" i="106" s="1"/>
  <c r="B5106" i="106"/>
  <c r="D5106" i="106" s="1"/>
  <c r="F97" i="34"/>
  <c r="F145" i="34"/>
  <c r="F138" i="34"/>
  <c r="F170" i="34"/>
  <c r="F171" i="34"/>
  <c r="F140" i="34"/>
  <c r="F27" i="108"/>
  <c r="F166" i="34"/>
  <c r="F121" i="34"/>
  <c r="F123" i="34"/>
  <c r="B6901" i="106"/>
  <c r="D6901" i="106" s="1"/>
  <c r="F51" i="34"/>
  <c r="B894" i="106"/>
  <c r="D894" i="106" s="1"/>
  <c r="L47" i="29"/>
  <c r="B6887" i="106"/>
  <c r="D6887" i="106" s="1"/>
  <c r="F44" i="34"/>
  <c r="K50" i="29"/>
  <c r="C40" i="5"/>
  <c r="B5087" i="106" s="1"/>
  <c r="D5087" i="106" s="1"/>
  <c r="L65" i="29"/>
  <c r="K108" i="29"/>
  <c r="B2796" i="106" s="1"/>
  <c r="D2796" i="106" s="1"/>
  <c r="B2792" i="106"/>
  <c r="D2792" i="106" s="1"/>
  <c r="B6877" i="106"/>
  <c r="D6877" i="106" s="1"/>
  <c r="F39" i="34"/>
  <c r="B5126" i="106"/>
  <c r="D5126" i="106" s="1"/>
  <c r="C121" i="5"/>
  <c r="F125" i="34"/>
  <c r="F146" i="34"/>
  <c r="F144" i="34"/>
  <c r="H33" i="29"/>
  <c r="B1109" i="106"/>
  <c r="D1109" i="106" s="1"/>
  <c r="E14" i="145"/>
  <c r="G14" i="145" s="1"/>
  <c r="B1124" i="106"/>
  <c r="D1124" i="106" s="1"/>
  <c r="K71" i="29"/>
  <c r="K82" i="29"/>
  <c r="B2977" i="106" s="1"/>
  <c r="D2977" i="106" s="1"/>
  <c r="B2953" i="106"/>
  <c r="D2953" i="106" s="1"/>
  <c r="B6889" i="106"/>
  <c r="D6889" i="106" s="1"/>
  <c r="F45" i="34"/>
  <c r="F47" i="34"/>
  <c r="B6893" i="106"/>
  <c r="D6893" i="106" s="1"/>
  <c r="I53" i="29"/>
  <c r="B6942" i="106" s="1"/>
  <c r="D6942" i="106" s="1"/>
  <c r="D33" i="29"/>
  <c r="B6879" i="106"/>
  <c r="D6879" i="106" s="1"/>
  <c r="F40" i="34"/>
  <c r="B836" i="106"/>
  <c r="D836" i="106" s="1"/>
  <c r="H110" i="29"/>
  <c r="B6883" i="106"/>
  <c r="D6883" i="106" s="1"/>
  <c r="F42" i="34"/>
  <c r="B1120" i="106"/>
  <c r="D1120" i="106" s="1"/>
  <c r="E84" i="29"/>
  <c r="K78" i="29"/>
  <c r="B2949" i="106"/>
  <c r="D2949" i="106" s="1"/>
  <c r="K16" i="29"/>
  <c r="B1094" i="106" s="1"/>
  <c r="D1094" i="106" s="1"/>
  <c r="B706" i="106"/>
  <c r="D706" i="106" s="1"/>
  <c r="I47" i="29"/>
  <c r="B6924" i="106" s="1"/>
  <c r="D6924" i="106" s="1"/>
  <c r="B6918" i="106"/>
  <c r="D6918" i="106" s="1"/>
  <c r="B5103" i="106"/>
  <c r="D5103" i="106" s="1"/>
  <c r="F96" i="34"/>
  <c r="C93" i="5"/>
  <c r="B5112" i="106" s="1"/>
  <c r="D5112" i="106" s="1"/>
  <c r="B5111" i="106"/>
  <c r="D5111" i="106" s="1"/>
  <c r="F100" i="34"/>
  <c r="F118" i="34"/>
  <c r="F174" i="34"/>
  <c r="F113" i="34"/>
  <c r="B6917" i="106"/>
  <c r="D6917" i="106" s="1"/>
  <c r="J74" i="29"/>
  <c r="B6978" i="106" s="1"/>
  <c r="D6978" i="106" s="1"/>
  <c r="E13" i="145"/>
  <c r="G13" i="145" s="1"/>
  <c r="B2724" i="106"/>
  <c r="D2724" i="106" s="1"/>
  <c r="B1134" i="106"/>
  <c r="D1134" i="106" s="1"/>
  <c r="E17" i="145"/>
  <c r="G17" i="145" s="1"/>
  <c r="B785" i="106"/>
  <c r="D785" i="106" s="1"/>
  <c r="D74" i="29"/>
  <c r="B813" i="106" s="1"/>
  <c r="D813" i="106" s="1"/>
  <c r="B6903" i="106"/>
  <c r="D6903" i="106" s="1"/>
  <c r="C33" i="29"/>
  <c r="B6853" i="106"/>
  <c r="D6853" i="106" s="1"/>
  <c r="F35" i="34"/>
  <c r="B6899" i="106"/>
  <c r="D6899" i="106" s="1"/>
  <c r="F50" i="34"/>
  <c r="B6881" i="106"/>
  <c r="D6881" i="106" s="1"/>
  <c r="F41" i="34"/>
  <c r="B1146" i="106"/>
  <c r="D1146" i="106" s="1"/>
  <c r="C259" i="5"/>
  <c r="B6833" i="106" s="1"/>
  <c r="D6833" i="106" s="1"/>
  <c r="B6614" i="106"/>
  <c r="D6614" i="106" s="1"/>
  <c r="B5230" i="106"/>
  <c r="D5230" i="106" s="1"/>
  <c r="F126" i="34"/>
  <c r="C184" i="5"/>
  <c r="B5232" i="106" s="1"/>
  <c r="D5232" i="106" s="1"/>
  <c r="B5133" i="106"/>
  <c r="D5133" i="106" s="1"/>
  <c r="C131" i="5"/>
  <c r="B5113" i="106"/>
  <c r="D5113" i="106" s="1"/>
  <c r="C108" i="5"/>
  <c r="B5120" i="106" s="1"/>
  <c r="D5120" i="106" s="1"/>
  <c r="F151" i="34"/>
  <c r="F139" i="34"/>
  <c r="F153" i="34"/>
  <c r="F122" i="34"/>
  <c r="F150" i="34"/>
  <c r="B727" i="106"/>
  <c r="D727" i="106" s="1"/>
  <c r="C74" i="29"/>
  <c r="B755" i="106" s="1"/>
  <c r="D755" i="106" s="1"/>
  <c r="E15" i="145"/>
  <c r="B1126" i="106"/>
  <c r="D1126" i="106" s="1"/>
  <c r="K65" i="29"/>
  <c r="B1133" i="106" s="1"/>
  <c r="D1133" i="106" s="1"/>
  <c r="B5064" i="106"/>
  <c r="D5064" i="106" s="1"/>
  <c r="B17" i="7"/>
  <c r="B6997" i="106"/>
  <c r="D6997" i="106" s="1"/>
  <c r="K100" i="29"/>
  <c r="B7013" i="106" s="1"/>
  <c r="D7013" i="106" s="1"/>
  <c r="B91" i="106"/>
  <c r="D91" i="106" s="1"/>
  <c r="L57" i="29"/>
  <c r="B6895" i="106"/>
  <c r="D6895" i="106" s="1"/>
  <c r="F48" i="34"/>
  <c r="K92" i="29"/>
  <c r="B2089" i="106" s="1"/>
  <c r="D2089" i="106" s="1"/>
  <c r="B6995" i="106"/>
  <c r="D6995" i="106" s="1"/>
  <c r="B5148" i="106"/>
  <c r="D5148" i="106" s="1"/>
  <c r="C140" i="5"/>
  <c r="B5161" i="106" s="1"/>
  <c r="D5161" i="106" s="1"/>
  <c r="B937" i="106"/>
  <c r="D937" i="106" s="1"/>
  <c r="G33" i="29"/>
  <c r="C211" i="5"/>
  <c r="B5260" i="106" s="1"/>
  <c r="D5260" i="106" s="1"/>
  <c r="B5247" i="106"/>
  <c r="D5247" i="106" s="1"/>
  <c r="B5097" i="106"/>
  <c r="D5097" i="106" s="1"/>
  <c r="C82" i="5"/>
  <c r="B5102" i="106" s="1"/>
  <c r="D5102" i="106" s="1"/>
  <c r="B5122" i="106"/>
  <c r="D5122" i="106" s="1"/>
  <c r="C114" i="5"/>
  <c r="F169" i="34"/>
  <c r="F152" i="34"/>
  <c r="F134" i="34"/>
  <c r="F149" i="34"/>
  <c r="F29" i="34" s="1"/>
  <c r="F101" i="34"/>
  <c r="C67" i="5"/>
  <c r="B5090" i="106" s="1"/>
  <c r="D5090" i="106" s="1"/>
  <c r="L33" i="29"/>
  <c r="K41" i="29"/>
  <c r="B1114" i="106" s="1"/>
  <c r="D1114" i="106" s="1"/>
  <c r="K52" i="29"/>
  <c r="B6940" i="106" s="1"/>
  <c r="D6940" i="106" s="1"/>
  <c r="C75" i="5"/>
  <c r="B6891" i="106"/>
  <c r="D6891" i="106" s="1"/>
  <c r="F46" i="34"/>
  <c r="L92" i="29"/>
  <c r="B901" i="106"/>
  <c r="D901" i="106" s="1"/>
  <c r="K101" i="29"/>
  <c r="B7015" i="106" s="1"/>
  <c r="D7015" i="106" s="1"/>
  <c r="B2947" i="106"/>
  <c r="D2947" i="106" s="1"/>
  <c r="B2081" i="106"/>
  <c r="D2081" i="106" s="1"/>
  <c r="H102" i="29"/>
  <c r="B1047" i="106" s="1"/>
  <c r="D1047" i="106" s="1"/>
  <c r="C216" i="5"/>
  <c r="B4411" i="106" s="1"/>
  <c r="D4411" i="106" s="1"/>
  <c r="B5256" i="106"/>
  <c r="D5256" i="106" s="1"/>
  <c r="B6401" i="106"/>
  <c r="D6401" i="106" s="1"/>
  <c r="C201" i="5"/>
  <c r="B5246" i="106" s="1"/>
  <c r="D5246" i="106" s="1"/>
  <c r="B5167" i="106"/>
  <c r="D5167" i="106" s="1"/>
  <c r="F108" i="34"/>
  <c r="B5233" i="106"/>
  <c r="D5233" i="106" s="1"/>
  <c r="C191" i="5"/>
  <c r="F128" i="34" s="1"/>
  <c r="C228" i="5"/>
  <c r="B5304" i="106" s="1"/>
  <c r="D5304" i="106" s="1"/>
  <c r="B5301" i="106"/>
  <c r="D5301" i="106" s="1"/>
  <c r="F114" i="34"/>
  <c r="F116" i="34"/>
  <c r="F154" i="34"/>
  <c r="D27" i="108"/>
  <c r="F103" i="34"/>
  <c r="K69" i="29"/>
  <c r="C144" i="5"/>
  <c r="B5165" i="106" s="1"/>
  <c r="D5165" i="106" s="1"/>
  <c r="B6848" i="106"/>
  <c r="D6848" i="106" s="1"/>
  <c r="F34" i="34"/>
  <c r="B1107" i="106"/>
  <c r="D1107" i="106" s="1"/>
  <c r="F38" i="34"/>
  <c r="L72" i="29"/>
  <c r="B953" i="106"/>
  <c r="D953" i="106" s="1"/>
  <c r="G42" i="29"/>
  <c r="G72" i="29"/>
  <c r="B985" i="106" s="1"/>
  <c r="D985" i="106" s="1"/>
  <c r="B978" i="106"/>
  <c r="D978" i="106" s="1"/>
  <c r="B6897" i="106"/>
  <c r="D6897" i="106" s="1"/>
  <c r="F49" i="34"/>
  <c r="B1744" i="106"/>
  <c r="D1744" i="106" s="1"/>
  <c r="D4" i="7"/>
  <c r="B1760" i="106" s="1"/>
  <c r="D1760" i="106" s="1"/>
  <c r="B5175" i="106"/>
  <c r="D5175" i="106" s="1"/>
  <c r="C154" i="5"/>
  <c r="B5178" i="106" s="1"/>
  <c r="D5178" i="106" s="1"/>
  <c r="B5181" i="106"/>
  <c r="D5181" i="106" s="1"/>
  <c r="F112" i="34"/>
  <c r="F133" i="34"/>
  <c r="F157" i="34"/>
  <c r="F43" i="34"/>
  <c r="B6885" i="106"/>
  <c r="D6885" i="106" s="1"/>
  <c r="L42" i="29"/>
  <c r="B5066" i="106"/>
  <c r="D5066" i="106" s="1"/>
  <c r="K44" i="29"/>
  <c r="K57" i="29"/>
  <c r="B1125" i="106" s="1"/>
  <c r="D1125" i="106" s="1"/>
  <c r="B1123" i="106"/>
  <c r="D1123" i="106" s="1"/>
  <c r="E16" i="145"/>
  <c r="G16" i="145" s="1"/>
  <c r="B1131" i="106"/>
  <c r="D1131" i="106" s="1"/>
  <c r="C14" i="4"/>
  <c r="B2558" i="106" s="1"/>
  <c r="D2558" i="106" s="1"/>
  <c r="B1144" i="106"/>
  <c r="D1144" i="106" s="1"/>
  <c r="F52" i="34"/>
  <c r="C13" i="3"/>
  <c r="B3411" i="106"/>
  <c r="D3411" i="106" s="1"/>
  <c r="D34" i="36"/>
  <c r="I33" i="29"/>
  <c r="B843" i="106"/>
  <c r="D843" i="106" s="1"/>
  <c r="E74" i="29"/>
  <c r="B871" i="106" s="1"/>
  <c r="D871" i="106" s="1"/>
  <c r="L53" i="29"/>
  <c r="K11" i="29"/>
  <c r="K19" i="29"/>
  <c r="B3381" i="106" s="1"/>
  <c r="D3381" i="106" s="1"/>
  <c r="F72" i="29"/>
  <c r="B927" i="106" s="1"/>
  <c r="D927" i="106" s="1"/>
  <c r="B6916" i="106"/>
  <c r="D6916" i="106" s="1"/>
  <c r="I74" i="29"/>
  <c r="B6977" i="106" s="1"/>
  <c r="D6977" i="106" s="1"/>
  <c r="B1017" i="106"/>
  <c r="D1017" i="106" s="1"/>
  <c r="H74" i="29"/>
  <c r="B1045" i="106" s="1"/>
  <c r="D1045" i="106" s="1"/>
  <c r="B5367" i="106"/>
  <c r="D5367" i="106" s="1"/>
  <c r="D34" i="3"/>
  <c r="B6126" i="106"/>
  <c r="D6126" i="106" s="1"/>
  <c r="B2091" i="106"/>
  <c r="D2091" i="106" s="1"/>
  <c r="H139" i="29"/>
  <c r="B1267" i="106" s="1"/>
  <c r="D1267" i="106" s="1"/>
  <c r="B13" i="7"/>
  <c r="B5330" i="106"/>
  <c r="D5330" i="106" s="1"/>
  <c r="H149" i="29"/>
  <c r="B1272" i="106" s="1"/>
  <c r="D1272" i="106" s="1"/>
  <c r="B7047" i="106"/>
  <c r="D7047" i="106" s="1"/>
  <c r="B1266" i="106"/>
  <c r="D1266" i="106" s="1"/>
  <c r="B4396" i="106"/>
  <c r="D4396" i="106" s="1"/>
  <c r="D273" i="5"/>
  <c r="B5501" i="106" s="1"/>
  <c r="D5501" i="106" s="1"/>
  <c r="B5328" i="106"/>
  <c r="D5328" i="106" s="1"/>
  <c r="B5" i="7"/>
  <c r="D12" i="5"/>
  <c r="B5360" i="106"/>
  <c r="D5360" i="106" s="1"/>
  <c r="D5" i="4"/>
  <c r="B3406" i="106" s="1"/>
  <c r="D3406" i="106" s="1"/>
  <c r="B3235" i="106"/>
  <c r="D3235" i="106" s="1"/>
  <c r="D77" i="4"/>
  <c r="B3238" i="106" s="1"/>
  <c r="D3238" i="106" s="1"/>
  <c r="B1225" i="106"/>
  <c r="D1225" i="106" s="1"/>
  <c r="C151" i="29"/>
  <c r="B1226" i="106" s="1"/>
  <c r="D1226" i="106" s="1"/>
  <c r="L127" i="29"/>
  <c r="L129" i="29" s="1"/>
  <c r="B5423" i="106"/>
  <c r="D5423" i="106" s="1"/>
  <c r="B5369" i="106"/>
  <c r="D5369" i="106" s="1"/>
  <c r="D172" i="5"/>
  <c r="B5412" i="106" s="1"/>
  <c r="D5412" i="106" s="1"/>
  <c r="F151" i="29"/>
  <c r="B1250" i="106" s="1"/>
  <c r="D1250" i="106" s="1"/>
  <c r="B1249" i="106"/>
  <c r="D1249" i="106" s="1"/>
  <c r="B4080" i="106"/>
  <c r="D4080" i="106" s="1"/>
  <c r="B2805" i="106"/>
  <c r="D2805" i="106" s="1"/>
  <c r="D14" i="4"/>
  <c r="B2570" i="106" s="1"/>
  <c r="D2570" i="106" s="1"/>
  <c r="F56" i="34"/>
  <c r="B5341" i="106"/>
  <c r="D5341" i="106" s="1"/>
  <c r="G129" i="29"/>
  <c r="J129" i="29"/>
  <c r="F15" i="145"/>
  <c r="B1274" i="106"/>
  <c r="D1274" i="106" s="1"/>
  <c r="K127" i="29"/>
  <c r="B1279" i="106" s="1"/>
  <c r="D1279" i="106" s="1"/>
  <c r="G26" i="108"/>
  <c r="E26" i="108"/>
  <c r="B5348" i="106"/>
  <c r="D5348" i="106" s="1"/>
  <c r="L137" i="29"/>
  <c r="L139" i="29" s="1"/>
  <c r="E127" i="29"/>
  <c r="B1235" i="106"/>
  <c r="D1235" i="106" s="1"/>
  <c r="E139" i="29"/>
  <c r="B4203" i="106" s="1"/>
  <c r="D4203" i="106" s="1"/>
  <c r="B4202" i="106"/>
  <c r="D4202" i="106" s="1"/>
  <c r="I129" i="29"/>
  <c r="B1283" i="106"/>
  <c r="D1283" i="106" s="1"/>
  <c r="K147" i="29"/>
  <c r="B2986" i="106"/>
  <c r="D2986" i="106" s="1"/>
  <c r="K137" i="29"/>
  <c r="B109" i="106"/>
  <c r="D109" i="106" s="1"/>
  <c r="B5520" i="106"/>
  <c r="D5520" i="106" s="1"/>
  <c r="E273" i="5"/>
  <c r="B7747" i="106" s="1"/>
  <c r="D7747" i="106" s="1"/>
  <c r="B6835" i="106"/>
  <c r="D6835" i="106" s="1"/>
  <c r="B139" i="106"/>
  <c r="D139" i="106" s="1"/>
  <c r="D6" i="7"/>
  <c r="B1762" i="106" s="1"/>
  <c r="D1762" i="106" s="1"/>
  <c r="B1746" i="106"/>
  <c r="D1746" i="106" s="1"/>
  <c r="E12" i="5"/>
  <c r="B131" i="106"/>
  <c r="D131" i="106" s="1"/>
  <c r="B5534" i="106"/>
  <c r="D5534" i="106" s="1"/>
  <c r="E173" i="5"/>
  <c r="L172" i="29"/>
  <c r="L174" i="29" s="1"/>
  <c r="B7778" i="106"/>
  <c r="D7778" i="106" s="1"/>
  <c r="K160" i="29"/>
  <c r="B1308" i="106"/>
  <c r="D1308" i="106" s="1"/>
  <c r="E174" i="29"/>
  <c r="B1309" i="106" s="1"/>
  <c r="D1309" i="106" s="1"/>
  <c r="B1324" i="106"/>
  <c r="D1324" i="106" s="1"/>
  <c r="K168" i="29"/>
  <c r="B4372" i="106"/>
  <c r="D4372" i="106" s="1"/>
  <c r="B5511" i="106"/>
  <c r="D5511" i="106" s="1"/>
  <c r="B15" i="7"/>
  <c r="B1329" i="106"/>
  <c r="D1329" i="106" s="1"/>
  <c r="F61" i="34"/>
  <c r="B1314" i="106"/>
  <c r="D1314" i="106" s="1"/>
  <c r="H172" i="29"/>
  <c r="H208" i="29"/>
  <c r="B1375" i="106" s="1"/>
  <c r="D1375" i="106" s="1"/>
  <c r="B4156" i="106"/>
  <c r="D4156" i="106" s="1"/>
  <c r="E196" i="29"/>
  <c r="B1352" i="106" s="1"/>
  <c r="D1352" i="106" s="1"/>
  <c r="B2823" i="106"/>
  <c r="D2823" i="106" s="1"/>
  <c r="B5592" i="106"/>
  <c r="D5592" i="106" s="1"/>
  <c r="F5" i="4"/>
  <c r="B3408" i="106" s="1"/>
  <c r="D3408" i="106" s="1"/>
  <c r="L184" i="29"/>
  <c r="K191" i="29"/>
  <c r="B3010" i="106" s="1"/>
  <c r="D3010" i="106" s="1"/>
  <c r="B1351" i="106"/>
  <c r="D1351" i="106" s="1"/>
  <c r="G184" i="29"/>
  <c r="F224" i="5"/>
  <c r="B5703" i="106" s="1"/>
  <c r="D5703" i="106" s="1"/>
  <c r="B2991" i="106"/>
  <c r="D2991" i="106" s="1"/>
  <c r="K190" i="29"/>
  <c r="B3009" i="106" s="1"/>
  <c r="D3009" i="106" s="1"/>
  <c r="B1383" i="106"/>
  <c r="D1383" i="106" s="1"/>
  <c r="B1372" i="106"/>
  <c r="D1372" i="106" s="1"/>
  <c r="K200" i="29"/>
  <c r="B1384" i="106" s="1"/>
  <c r="D1384" i="106" s="1"/>
  <c r="F14" i="4"/>
  <c r="B2597" i="106" s="1"/>
  <c r="D2597" i="106" s="1"/>
  <c r="F62" i="34"/>
  <c r="B2836" i="106"/>
  <c r="D2836" i="106" s="1"/>
  <c r="F13" i="3"/>
  <c r="F12" i="5"/>
  <c r="L194" i="29"/>
  <c r="L196" i="29" s="1"/>
  <c r="B5614" i="106"/>
  <c r="D5614" i="106" s="1"/>
  <c r="F172" i="5"/>
  <c r="B5644" i="106" s="1"/>
  <c r="D5644" i="106" s="1"/>
  <c r="F105" i="34"/>
  <c r="B5569" i="106"/>
  <c r="D5569" i="106" s="1"/>
  <c r="F21" i="34"/>
  <c r="B3007" i="106"/>
  <c r="D3007" i="106" s="1"/>
  <c r="B5599" i="106"/>
  <c r="D5599" i="106" s="1"/>
  <c r="B1747" i="106"/>
  <c r="D1747" i="106" s="1"/>
  <c r="D7" i="7"/>
  <c r="B1763" i="106" s="1"/>
  <c r="D1763" i="106" s="1"/>
  <c r="F44" i="4"/>
  <c r="F30" i="34"/>
  <c r="B4354" i="106"/>
  <c r="D4354" i="106" s="1"/>
  <c r="J184" i="29"/>
  <c r="B7058" i="106"/>
  <c r="D7058" i="106" s="1"/>
  <c r="D210" i="29"/>
  <c r="B1346" i="106" s="1"/>
  <c r="D1346" i="106" s="1"/>
  <c r="B1345" i="106"/>
  <c r="D1345" i="106" s="1"/>
  <c r="H184" i="29"/>
  <c r="B4086" i="106"/>
  <c r="D4086" i="106" s="1"/>
  <c r="D72" i="36"/>
  <c r="F76" i="4"/>
  <c r="B3254" i="106" s="1"/>
  <c r="D3254" i="106" s="1"/>
  <c r="H194" i="29"/>
  <c r="I184" i="29"/>
  <c r="B7057" i="106"/>
  <c r="D7057" i="106" s="1"/>
  <c r="B5655" i="106"/>
  <c r="D5655" i="106" s="1"/>
  <c r="B2993" i="106"/>
  <c r="D2993" i="106" s="1"/>
  <c r="K192" i="29"/>
  <c r="B3011" i="106" s="1"/>
  <c r="D3011" i="106" s="1"/>
  <c r="B4397" i="106"/>
  <c r="D4397" i="106" s="1"/>
  <c r="B4211" i="106"/>
  <c r="D4211" i="106" s="1"/>
  <c r="F64" i="34"/>
  <c r="B1473" i="106"/>
  <c r="D1473" i="106" s="1"/>
  <c r="F71" i="34"/>
  <c r="G172" i="5"/>
  <c r="B5752" i="106"/>
  <c r="D5752" i="106" s="1"/>
  <c r="F106" i="34"/>
  <c r="B5780" i="106"/>
  <c r="D5780" i="106" s="1"/>
  <c r="B7078" i="106"/>
  <c r="D7078" i="106" s="1"/>
  <c r="F69" i="34"/>
  <c r="B1512" i="106"/>
  <c r="D1512" i="106" s="1"/>
  <c r="K293" i="29"/>
  <c r="B1486" i="106"/>
  <c r="D1486" i="106" s="1"/>
  <c r="K257" i="29"/>
  <c r="B1488" i="106" s="1"/>
  <c r="D1488" i="106" s="1"/>
  <c r="G13" i="3"/>
  <c r="B3422" i="106"/>
  <c r="D3422" i="106" s="1"/>
  <c r="D38" i="36"/>
  <c r="F68" i="34"/>
  <c r="B7076" i="106"/>
  <c r="D7076" i="106" s="1"/>
  <c r="B1489" i="106"/>
  <c r="D1489" i="106" s="1"/>
  <c r="K261" i="29"/>
  <c r="B1491" i="106" s="1"/>
  <c r="D1491" i="106" s="1"/>
  <c r="B3723" i="106"/>
  <c r="D3723" i="106" s="1"/>
  <c r="K285" i="29"/>
  <c r="B1492" i="106"/>
  <c r="D1492" i="106" s="1"/>
  <c r="K270" i="29"/>
  <c r="B1500" i="106" s="1"/>
  <c r="D1500" i="106" s="1"/>
  <c r="B16" i="7"/>
  <c r="B5723" i="106"/>
  <c r="D5723" i="106" s="1"/>
  <c r="B5803" i="106"/>
  <c r="D5803" i="106" s="1"/>
  <c r="B1427" i="106"/>
  <c r="D1427" i="106" s="1"/>
  <c r="G24" i="108"/>
  <c r="E24" i="108"/>
  <c r="B1452" i="106"/>
  <c r="D1452" i="106" s="1"/>
  <c r="H295" i="29"/>
  <c r="B1454" i="106" s="1"/>
  <c r="D1454" i="106" s="1"/>
  <c r="B188" i="106"/>
  <c r="D188" i="106" s="1"/>
  <c r="B4357" i="106"/>
  <c r="D4357" i="106" s="1"/>
  <c r="B3390" i="106"/>
  <c r="D3390" i="106" s="1"/>
  <c r="K229" i="29"/>
  <c r="G12" i="5"/>
  <c r="B5756" i="106"/>
  <c r="D5756" i="106" s="1"/>
  <c r="F107" i="34"/>
  <c r="B1511" i="106"/>
  <c r="D1511" i="106" s="1"/>
  <c r="F72" i="34"/>
  <c r="G14" i="4"/>
  <c r="B2609" i="106" s="1"/>
  <c r="D2609" i="106" s="1"/>
  <c r="B5738" i="106"/>
  <c r="D5738" i="106" s="1"/>
  <c r="G114" i="5"/>
  <c r="B6409" i="106"/>
  <c r="D6409" i="106" s="1"/>
  <c r="F129" i="34"/>
  <c r="B1470" i="106"/>
  <c r="D1470" i="106" s="1"/>
  <c r="F70" i="34"/>
  <c r="B1410" i="106"/>
  <c r="D1410" i="106" s="1"/>
  <c r="F67" i="34"/>
  <c r="B7074" i="106"/>
  <c r="D7074" i="106" s="1"/>
  <c r="B4414" i="106"/>
  <c r="D4414" i="106" s="1"/>
  <c r="B1482" i="106"/>
  <c r="D1482" i="106" s="1"/>
  <c r="K243" i="29"/>
  <c r="B1485" i="106" s="1"/>
  <c r="D1485" i="106" s="1"/>
  <c r="B1417" i="106"/>
  <c r="D1417" i="106" s="1"/>
  <c r="D279" i="29"/>
  <c r="G273" i="5"/>
  <c r="B5863" i="106" s="1"/>
  <c r="D5863" i="106" s="1"/>
  <c r="B4398" i="106"/>
  <c r="D4398" i="106" s="1"/>
  <c r="B1748" i="106"/>
  <c r="D1748" i="106" s="1"/>
  <c r="D8" i="7"/>
  <c r="B1764" i="106" s="1"/>
  <c r="D1764" i="106" s="1"/>
  <c r="B3258" i="106"/>
  <c r="D3258" i="106" s="1"/>
  <c r="G77" i="4"/>
  <c r="B3261" i="106" s="1"/>
  <c r="D3261" i="106" s="1"/>
  <c r="B1421" i="106"/>
  <c r="D1421" i="106" s="1"/>
  <c r="B1501" i="106"/>
  <c r="D1501" i="106" s="1"/>
  <c r="K277" i="29"/>
  <c r="B1508" i="106" s="1"/>
  <c r="D1508" i="106" s="1"/>
  <c r="B5784" i="106"/>
  <c r="D5784" i="106" s="1"/>
  <c r="F127" i="34"/>
  <c r="B5847" i="106"/>
  <c r="D5847" i="106" s="1"/>
  <c r="K238" i="29"/>
  <c r="B1475" i="106"/>
  <c r="D1475" i="106" s="1"/>
  <c r="B1553" i="106"/>
  <c r="D1553" i="106" s="1"/>
  <c r="H312" i="29"/>
  <c r="B1554" i="106" s="1"/>
  <c r="D1554" i="106" s="1"/>
  <c r="B7107" i="106"/>
  <c r="D7107" i="106" s="1"/>
  <c r="K310" i="29"/>
  <c r="B1751" i="106"/>
  <c r="D1751" i="106" s="1"/>
  <c r="D9" i="7"/>
  <c r="B1767" i="106" s="1"/>
  <c r="D1767" i="106" s="1"/>
  <c r="H273" i="5"/>
  <c r="B4441" i="106" s="1"/>
  <c r="D4441" i="106" s="1"/>
  <c r="B6838" i="106"/>
  <c r="D6838" i="106" s="1"/>
  <c r="B211" i="106"/>
  <c r="D211" i="106" s="1"/>
  <c r="B3425" i="106"/>
  <c r="D3425" i="106" s="1"/>
  <c r="D39" i="36"/>
  <c r="H13" i="3"/>
  <c r="B4950" i="106"/>
  <c r="D4950" i="106" s="1"/>
  <c r="H274" i="5"/>
  <c r="B1555" i="106"/>
  <c r="D1555" i="106" s="1"/>
  <c r="K303" i="29"/>
  <c r="B3296" i="106"/>
  <c r="D3296" i="106" s="1"/>
  <c r="B5879" i="106"/>
  <c r="D5879" i="106" s="1"/>
  <c r="B1547" i="106"/>
  <c r="D1547" i="106" s="1"/>
  <c r="G312" i="29"/>
  <c r="B1548" i="106" s="1"/>
  <c r="D1548" i="106" s="1"/>
  <c r="B7103" i="106"/>
  <c r="D7103" i="106" s="1"/>
  <c r="I312" i="29"/>
  <c r="B7116" i="106" s="1"/>
  <c r="D7116" i="106" s="1"/>
  <c r="C312" i="29"/>
  <c r="B1524" i="106" s="1"/>
  <c r="D1524" i="106" s="1"/>
  <c r="B1523" i="106"/>
  <c r="D1523" i="106" s="1"/>
  <c r="B1754" i="106"/>
  <c r="D1754" i="106" s="1"/>
  <c r="D14" i="7"/>
  <c r="B1770" i="106" s="1"/>
  <c r="D1770" i="106" s="1"/>
  <c r="B7104" i="106"/>
  <c r="D7104" i="106" s="1"/>
  <c r="J312" i="29"/>
  <c r="B7117" i="106" s="1"/>
  <c r="D7117" i="106" s="1"/>
  <c r="B1529" i="106"/>
  <c r="D1529" i="106" s="1"/>
  <c r="D312" i="29"/>
  <c r="B1530" i="106" s="1"/>
  <c r="D1530" i="106" s="1"/>
  <c r="B5880" i="106"/>
  <c r="D5880" i="106" s="1"/>
  <c r="B1535" i="106"/>
  <c r="D1535" i="106" s="1"/>
  <c r="E312" i="29"/>
  <c r="B1536" i="106" s="1"/>
  <c r="D1536" i="106" s="1"/>
  <c r="B5893" i="106"/>
  <c r="D5893" i="106" s="1"/>
  <c r="H173" i="5"/>
  <c r="L310" i="29"/>
  <c r="L312" i="29" s="1"/>
  <c r="B1541" i="106"/>
  <c r="D1541" i="106" s="1"/>
  <c r="F312" i="29"/>
  <c r="B1542" i="106" s="1"/>
  <c r="D1542" i="106" s="1"/>
  <c r="B6285" i="106"/>
  <c r="D6285" i="106" s="1"/>
  <c r="E44" i="4"/>
  <c r="H12" i="5"/>
  <c r="B5925" i="106"/>
  <c r="D5925" i="106" s="1"/>
  <c r="I12" i="5"/>
  <c r="B5916" i="106"/>
  <c r="D5916" i="106" s="1"/>
  <c r="B10" i="7"/>
  <c r="B5924" i="106"/>
  <c r="D5924" i="106" s="1"/>
  <c r="B4363" i="106"/>
  <c r="D4363" i="106" s="1"/>
  <c r="I173" i="5"/>
  <c r="B18" i="7"/>
  <c r="B4103" i="106" s="1"/>
  <c r="D4103" i="106" s="1"/>
  <c r="B2910" i="106"/>
  <c r="D2910" i="106" s="1"/>
  <c r="B3427" i="106"/>
  <c r="D3427" i="106" s="1"/>
  <c r="D40" i="36"/>
  <c r="I13" i="3"/>
  <c r="H24" i="118"/>
  <c r="J13" i="3"/>
  <c r="D41" i="36"/>
  <c r="B6217" i="106"/>
  <c r="D6217" i="106" s="1"/>
  <c r="B7200" i="106"/>
  <c r="D7200" i="106" s="1"/>
  <c r="D342" i="29"/>
  <c r="B7217" i="106" s="1"/>
  <c r="D7217" i="106" s="1"/>
  <c r="B6301" i="106"/>
  <c r="D6301" i="106" s="1"/>
  <c r="B7209" i="106"/>
  <c r="D7209" i="106" s="1"/>
  <c r="K340" i="29"/>
  <c r="B7201" i="106"/>
  <c r="D7201" i="106" s="1"/>
  <c r="E342" i="29"/>
  <c r="B7218" i="106" s="1"/>
  <c r="D7218" i="106" s="1"/>
  <c r="J274" i="5"/>
  <c r="B6400" i="106"/>
  <c r="D6400" i="106" s="1"/>
  <c r="J173" i="5"/>
  <c r="B6357" i="106"/>
  <c r="D6357" i="106" s="1"/>
  <c r="B7199" i="106"/>
  <c r="D7199" i="106" s="1"/>
  <c r="C342" i="29"/>
  <c r="B7216" i="106" s="1"/>
  <c r="D7216" i="106" s="1"/>
  <c r="K330" i="29"/>
  <c r="B7126" i="106"/>
  <c r="D7126" i="106" s="1"/>
  <c r="B7202" i="106"/>
  <c r="D7202" i="106" s="1"/>
  <c r="F342" i="29"/>
  <c r="B7219" i="106" s="1"/>
  <c r="D7219" i="106" s="1"/>
  <c r="B7206" i="106"/>
  <c r="D7206" i="106" s="1"/>
  <c r="J342" i="29"/>
  <c r="B7223" i="106" s="1"/>
  <c r="D7223" i="106" s="1"/>
  <c r="B6317" i="106"/>
  <c r="D6317" i="106" s="1"/>
  <c r="G342" i="29"/>
  <c r="B7220" i="106" s="1"/>
  <c r="D7220" i="106" s="1"/>
  <c r="B7203" i="106"/>
  <c r="D7203" i="106" s="1"/>
  <c r="L340" i="29"/>
  <c r="B7204" i="106"/>
  <c r="D7204" i="106" s="1"/>
  <c r="H342" i="29"/>
  <c r="B7221" i="106" s="1"/>
  <c r="D7221" i="106" s="1"/>
  <c r="B7205" i="106"/>
  <c r="D7205" i="106" s="1"/>
  <c r="I342" i="29"/>
  <c r="B7222" i="106" s="1"/>
  <c r="D7222" i="106" s="1"/>
  <c r="B6191" i="106"/>
  <c r="D6191" i="106" s="1"/>
  <c r="L330" i="29"/>
  <c r="D11" i="7"/>
  <c r="B1768" i="106" s="1"/>
  <c r="D1768" i="106" s="1"/>
  <c r="B1752" i="106"/>
  <c r="D1752" i="106" s="1"/>
  <c r="B6238" i="106"/>
  <c r="D6238" i="106" s="1"/>
  <c r="J77" i="4"/>
  <c r="B6262" i="106" s="1"/>
  <c r="D6262" i="106" s="1"/>
  <c r="F352" i="29"/>
  <c r="B3640" i="106"/>
  <c r="D3640" i="106" s="1"/>
  <c r="B3658" i="106"/>
  <c r="D3658" i="106" s="1"/>
  <c r="H365" i="29"/>
  <c r="B7242" i="106" s="1"/>
  <c r="D7242" i="106" s="1"/>
  <c r="K77" i="4"/>
  <c r="B3587" i="106" s="1"/>
  <c r="D3587" i="106" s="1"/>
  <c r="B3584" i="106"/>
  <c r="D3584" i="106" s="1"/>
  <c r="B5985" i="106"/>
  <c r="D5985" i="106" s="1"/>
  <c r="K12" i="5"/>
  <c r="B12" i="7"/>
  <c r="B7231" i="106"/>
  <c r="D7231" i="106" s="1"/>
  <c r="J352" i="29"/>
  <c r="C352" i="29"/>
  <c r="B3619" i="106"/>
  <c r="D3619" i="106" s="1"/>
  <c r="K362" i="29"/>
  <c r="B3675" i="106"/>
  <c r="D3675" i="106" s="1"/>
  <c r="K350" i="29"/>
  <c r="B3668" i="106"/>
  <c r="D3668" i="106" s="1"/>
  <c r="K34" i="3"/>
  <c r="B4951" i="106"/>
  <c r="D4951" i="106" s="1"/>
  <c r="K274" i="5"/>
  <c r="B3654" i="106"/>
  <c r="D3654" i="106" s="1"/>
  <c r="H352" i="29"/>
  <c r="I352" i="29"/>
  <c r="B7230" i="106"/>
  <c r="D7230" i="106" s="1"/>
  <c r="B3552" i="106"/>
  <c r="D3552" i="106" s="1"/>
  <c r="I76" i="4"/>
  <c r="B2105" i="106"/>
  <c r="D2105" i="106" s="1"/>
  <c r="B3626" i="106"/>
  <c r="D3626" i="106" s="1"/>
  <c r="D352" i="29"/>
  <c r="K173" i="5"/>
  <c r="B6006" i="106"/>
  <c r="D6006" i="106" s="1"/>
  <c r="G352" i="29"/>
  <c r="B3647" i="106"/>
  <c r="D3647" i="106" s="1"/>
  <c r="L350" i="29"/>
  <c r="L352" i="29" s="1"/>
  <c r="L367" i="29" s="1"/>
  <c r="B3633" i="106"/>
  <c r="D3633" i="106" s="1"/>
  <c r="E352" i="29"/>
  <c r="B1617" i="106"/>
  <c r="D1617" i="106" s="1"/>
  <c r="K72" i="29" l="1"/>
  <c r="B1141" i="106" s="1"/>
  <c r="D1141" i="106" s="1"/>
  <c r="H77" i="4"/>
  <c r="B3299" i="106" s="1"/>
  <c r="D3299" i="106" s="1"/>
  <c r="L102" i="29"/>
  <c r="L295" i="29"/>
  <c r="K110" i="29"/>
  <c r="B1233" i="106"/>
  <c r="D1233" i="106" s="1"/>
  <c r="F273" i="5"/>
  <c r="B5713" i="106" s="1"/>
  <c r="D5713" i="106" s="1"/>
  <c r="C77" i="4"/>
  <c r="B3232" i="106" s="1"/>
  <c r="D3232" i="106" s="1"/>
  <c r="D31" i="108"/>
  <c r="F31" i="108"/>
  <c r="L210" i="29"/>
  <c r="G39" i="108"/>
  <c r="E39" i="108"/>
  <c r="C109" i="5"/>
  <c r="B5121" i="106" s="1"/>
  <c r="D5121" i="106" s="1"/>
  <c r="L342" i="29"/>
  <c r="F130" i="34"/>
  <c r="I67" i="5"/>
  <c r="B5926" i="106" s="1"/>
  <c r="D5926" i="106" s="1"/>
  <c r="F136" i="34"/>
  <c r="F161" i="34"/>
  <c r="E210" i="29"/>
  <c r="B1353" i="106" s="1"/>
  <c r="D1353" i="106" s="1"/>
  <c r="E274" i="5"/>
  <c r="B4434" i="106" s="1"/>
  <c r="D4434" i="106" s="1"/>
  <c r="D274" i="5"/>
  <c r="F131" i="34"/>
  <c r="H151" i="29"/>
  <c r="B1273" i="106" s="1"/>
  <c r="D1273" i="106" s="1"/>
  <c r="K42" i="29"/>
  <c r="B1115" i="106" s="1"/>
  <c r="D1115" i="106" s="1"/>
  <c r="K204" i="29"/>
  <c r="K208" i="29" s="1"/>
  <c r="K33" i="29"/>
  <c r="G19" i="108" s="1"/>
  <c r="F95" i="34"/>
  <c r="L74" i="29"/>
  <c r="B4102" i="106"/>
  <c r="D4102" i="106" s="1"/>
  <c r="D17" i="7"/>
  <c r="B4104" i="106" s="1"/>
  <c r="D4104" i="106" s="1"/>
  <c r="B1121" i="106"/>
  <c r="D1121" i="106" s="1"/>
  <c r="E12" i="145"/>
  <c r="B959" i="106"/>
  <c r="D959" i="106" s="1"/>
  <c r="G74" i="29"/>
  <c r="B987" i="106" s="1"/>
  <c r="D987" i="106" s="1"/>
  <c r="B2973" i="106"/>
  <c r="D2973" i="106" s="1"/>
  <c r="K84" i="29"/>
  <c r="B1010" i="106"/>
  <c r="D1010" i="106" s="1"/>
  <c r="C4" i="4"/>
  <c r="B1053" i="106"/>
  <c r="D1053" i="106" s="1"/>
  <c r="H112" i="29"/>
  <c r="B7018" i="106" s="1"/>
  <c r="D7018" i="106" s="1"/>
  <c r="F111" i="34"/>
  <c r="B6902" i="106"/>
  <c r="D6902" i="106" s="1"/>
  <c r="I114" i="29"/>
  <c r="B4395" i="106"/>
  <c r="D4395" i="106" s="1"/>
  <c r="B2789" i="106"/>
  <c r="D2789" i="106" s="1"/>
  <c r="E102" i="29"/>
  <c r="B2790" i="106" s="1"/>
  <c r="D2790" i="106" s="1"/>
  <c r="F94" i="34"/>
  <c r="B5096" i="106"/>
  <c r="D5096" i="106" s="1"/>
  <c r="B952" i="106"/>
  <c r="D952" i="106" s="1"/>
  <c r="G114" i="29"/>
  <c r="K53" i="29"/>
  <c r="B1122" i="106" s="1"/>
  <c r="D1122" i="106" s="1"/>
  <c r="B5312" i="106"/>
  <c r="D5312" i="106" s="1"/>
  <c r="F165" i="34"/>
  <c r="B778" i="106"/>
  <c r="D778" i="106" s="1"/>
  <c r="D114" i="29"/>
  <c r="B815" i="106" s="1"/>
  <c r="D815" i="106" s="1"/>
  <c r="B1139" i="106"/>
  <c r="D1139" i="106" s="1"/>
  <c r="F37" i="108"/>
  <c r="D37" i="108"/>
  <c r="D41" i="108" s="1"/>
  <c r="E43" i="108" s="1"/>
  <c r="C224" i="5"/>
  <c r="B5286" i="106" s="1"/>
  <c r="D5286" i="106" s="1"/>
  <c r="B5274" i="106"/>
  <c r="D5274" i="106" s="1"/>
  <c r="B77" i="106"/>
  <c r="D77" i="106" s="1"/>
  <c r="K47" i="29"/>
  <c r="B1116" i="106"/>
  <c r="D1116" i="106" s="1"/>
  <c r="B5125" i="106"/>
  <c r="D5125" i="106" s="1"/>
  <c r="C5" i="4"/>
  <c r="B3405" i="106" s="1"/>
  <c r="D3405" i="106" s="1"/>
  <c r="K112" i="29"/>
  <c r="B1151" i="106"/>
  <c r="D1151" i="106" s="1"/>
  <c r="B720" i="106"/>
  <c r="D720" i="106" s="1"/>
  <c r="C114" i="29"/>
  <c r="B757" i="106" s="1"/>
  <c r="D757" i="106" s="1"/>
  <c r="B5132" i="106"/>
  <c r="D5132" i="106" s="1"/>
  <c r="B5225" i="106"/>
  <c r="D5225" i="106" s="1"/>
  <c r="B1136" i="106"/>
  <c r="D1136" i="106" s="1"/>
  <c r="E35" i="108"/>
  <c r="G35" i="108"/>
  <c r="B6858" i="106"/>
  <c r="D6858" i="106" s="1"/>
  <c r="F36" i="34"/>
  <c r="B5199" i="106"/>
  <c r="D5199" i="106" s="1"/>
  <c r="F115" i="34"/>
  <c r="F74" i="29"/>
  <c r="L114" i="29"/>
  <c r="B5147" i="106"/>
  <c r="D5147" i="106" s="1"/>
  <c r="C172" i="5"/>
  <c r="B5214" i="106" s="1"/>
  <c r="D5214" i="106" s="1"/>
  <c r="J114" i="29"/>
  <c r="B7021" i="106" s="1"/>
  <c r="D7021" i="106" s="1"/>
  <c r="B7037" i="106"/>
  <c r="D7037" i="106" s="1"/>
  <c r="I151" i="29"/>
  <c r="B1745" i="106"/>
  <c r="D1745" i="106" s="1"/>
  <c r="D5" i="7"/>
  <c r="B1761" i="106" s="1"/>
  <c r="D1761" i="106" s="1"/>
  <c r="B3725" i="106"/>
  <c r="D3725" i="106" s="1"/>
  <c r="D13" i="7"/>
  <c r="B3726" i="106" s="1"/>
  <c r="D3726" i="106" s="1"/>
  <c r="D7" i="4"/>
  <c r="B2567" i="106" s="1"/>
  <c r="D2567" i="106" s="1"/>
  <c r="B5507" i="106"/>
  <c r="D5507" i="106" s="1"/>
  <c r="B2093" i="106"/>
  <c r="D2093" i="106" s="1"/>
  <c r="K139" i="29"/>
  <c r="B1239" i="106"/>
  <c r="D1239" i="106" s="1"/>
  <c r="E129" i="29"/>
  <c r="F19" i="145"/>
  <c r="G15" i="145"/>
  <c r="K129" i="29"/>
  <c r="D67" i="5"/>
  <c r="B5342" i="106" s="1"/>
  <c r="D5342" i="106" s="1"/>
  <c r="B5340" i="106"/>
  <c r="D5340" i="106" s="1"/>
  <c r="B7038" i="106"/>
  <c r="D7038" i="106" s="1"/>
  <c r="J151" i="29"/>
  <c r="B7052" i="106" s="1"/>
  <c r="D7052" i="106" s="1"/>
  <c r="B122" i="106"/>
  <c r="D122" i="106" s="1"/>
  <c r="K149" i="29"/>
  <c r="B7048" i="106"/>
  <c r="D7048" i="106" s="1"/>
  <c r="B1258" i="106"/>
  <c r="D1258" i="106" s="1"/>
  <c r="G151" i="29"/>
  <c r="L151" i="29"/>
  <c r="D173" i="5"/>
  <c r="B5334" i="106"/>
  <c r="D5334" i="106" s="1"/>
  <c r="D18" i="7"/>
  <c r="B4105" i="106" s="1"/>
  <c r="D4105" i="106" s="1"/>
  <c r="B5544" i="106"/>
  <c r="D5544" i="106" s="1"/>
  <c r="E6" i="4"/>
  <c r="B2631" i="106" s="1"/>
  <c r="D2631" i="106" s="1"/>
  <c r="H174" i="29"/>
  <c r="B1318" i="106" s="1"/>
  <c r="D1318" i="106" s="1"/>
  <c r="B1317" i="106"/>
  <c r="D1317" i="106" s="1"/>
  <c r="K172" i="29"/>
  <c r="B1328" i="106"/>
  <c r="D1328" i="106" s="1"/>
  <c r="B5519" i="106"/>
  <c r="D5519" i="106" s="1"/>
  <c r="E67" i="5"/>
  <c r="B5521" i="106" s="1"/>
  <c r="D5521" i="106" s="1"/>
  <c r="B5513" i="106"/>
  <c r="D5513" i="106" s="1"/>
  <c r="B1756" i="106"/>
  <c r="D1756" i="106" s="1"/>
  <c r="D15" i="7"/>
  <c r="B1772" i="106" s="1"/>
  <c r="D1772" i="106" s="1"/>
  <c r="F60" i="34"/>
  <c r="E15" i="4"/>
  <c r="B3252" i="106"/>
  <c r="D3252" i="106" s="1"/>
  <c r="F77" i="4"/>
  <c r="B3255" i="106" s="1"/>
  <c r="D3255" i="106" s="1"/>
  <c r="B157" i="106"/>
  <c r="D157" i="106" s="1"/>
  <c r="B1370" i="106"/>
  <c r="D1370" i="106" s="1"/>
  <c r="B7063" i="106"/>
  <c r="D7063" i="106" s="1"/>
  <c r="I210" i="29"/>
  <c r="B2828" i="106"/>
  <c r="D2828" i="106" s="1"/>
  <c r="H196" i="29"/>
  <c r="B2830" i="106" s="1"/>
  <c r="D2830" i="106" s="1"/>
  <c r="F173" i="5"/>
  <c r="K180" i="29"/>
  <c r="B4081" i="106"/>
  <c r="D4081" i="106" s="1"/>
  <c r="C184" i="29"/>
  <c r="F274" i="5"/>
  <c r="B7064" i="106"/>
  <c r="D7064" i="106" s="1"/>
  <c r="J210" i="29"/>
  <c r="B7072" i="106" s="1"/>
  <c r="D7072" i="106" s="1"/>
  <c r="K194" i="29"/>
  <c r="B1364" i="106"/>
  <c r="D1364" i="106" s="1"/>
  <c r="G210" i="29"/>
  <c r="B6128" i="106"/>
  <c r="D6128" i="106" s="1"/>
  <c r="F34" i="3"/>
  <c r="B5581" i="106"/>
  <c r="D5581" i="106" s="1"/>
  <c r="F67" i="5"/>
  <c r="B5582" i="106" s="1"/>
  <c r="D5582" i="106" s="1"/>
  <c r="B1354" i="106"/>
  <c r="D1354" i="106" s="1"/>
  <c r="K182" i="29"/>
  <c r="F184" i="29"/>
  <c r="B5557" i="106"/>
  <c r="D5557" i="106" s="1"/>
  <c r="D295" i="29"/>
  <c r="B1448" i="106" s="1"/>
  <c r="D1448" i="106" s="1"/>
  <c r="B1446" i="106"/>
  <c r="D1446" i="106" s="1"/>
  <c r="B5725" i="106"/>
  <c r="D5725" i="106" s="1"/>
  <c r="B1515" i="106"/>
  <c r="D1515" i="106" s="1"/>
  <c r="G16" i="4"/>
  <c r="B2611" i="106" s="1"/>
  <c r="D2611" i="106" s="1"/>
  <c r="B5741" i="106"/>
  <c r="D5741" i="106" s="1"/>
  <c r="G5" i="4"/>
  <c r="B3409" i="106" s="1"/>
  <c r="D3409" i="106" s="1"/>
  <c r="G12" i="4"/>
  <c r="B1474" i="106"/>
  <c r="D1474" i="106" s="1"/>
  <c r="G173" i="5"/>
  <c r="B5770" i="106"/>
  <c r="D5770" i="106" s="1"/>
  <c r="B3446" i="106"/>
  <c r="D3446" i="106" s="1"/>
  <c r="D16" i="7"/>
  <c r="B3447" i="106" s="1"/>
  <c r="D3447" i="106" s="1"/>
  <c r="B5732" i="106"/>
  <c r="D5732" i="106" s="1"/>
  <c r="G67" i="5"/>
  <c r="B5733" i="106" s="1"/>
  <c r="D5733" i="106" s="1"/>
  <c r="K279" i="29"/>
  <c r="B1481" i="106"/>
  <c r="D1481" i="106" s="1"/>
  <c r="B3724" i="106"/>
  <c r="D3724" i="106" s="1"/>
  <c r="G15" i="4"/>
  <c r="B6032" i="106" s="1"/>
  <c r="D6032" i="106" s="1"/>
  <c r="F73" i="34"/>
  <c r="B180" i="106"/>
  <c r="D180" i="106" s="1"/>
  <c r="G274" i="5"/>
  <c r="B5906" i="106"/>
  <c r="D5906" i="106" s="1"/>
  <c r="H6" i="4"/>
  <c r="B2656" i="106" s="1"/>
  <c r="D2656" i="106" s="1"/>
  <c r="H7" i="4"/>
  <c r="B2657" i="106" s="1"/>
  <c r="D2657" i="106" s="1"/>
  <c r="B5914" i="106"/>
  <c r="D5914" i="106" s="1"/>
  <c r="B5873" i="106"/>
  <c r="D5873" i="106" s="1"/>
  <c r="H67" i="5"/>
  <c r="B5881" i="106" s="1"/>
  <c r="D5881" i="106" s="1"/>
  <c r="B203" i="106"/>
  <c r="D203" i="106" s="1"/>
  <c r="E77" i="4"/>
  <c r="B3274" i="106"/>
  <c r="D3274" i="106" s="1"/>
  <c r="B2102" i="106"/>
  <c r="D2102" i="106" s="1"/>
  <c r="H15" i="4"/>
  <c r="B2660" i="106" s="1"/>
  <c r="D2660" i="106" s="1"/>
  <c r="K312" i="29"/>
  <c r="B1560" i="106" s="1"/>
  <c r="D1560" i="106" s="1"/>
  <c r="B1559" i="106"/>
  <c r="D1559" i="106" s="1"/>
  <c r="H13" i="4"/>
  <c r="B2888" i="106"/>
  <c r="D2888" i="106" s="1"/>
  <c r="B1749" i="106"/>
  <c r="D1749" i="106" s="1"/>
  <c r="D10" i="7"/>
  <c r="B1765" i="106" s="1"/>
  <c r="D1765" i="106" s="1"/>
  <c r="B5918" i="106"/>
  <c r="D5918" i="106" s="1"/>
  <c r="I109" i="5"/>
  <c r="B4216" i="106"/>
  <c r="D4216" i="106" s="1"/>
  <c r="I6" i="4"/>
  <c r="B5011" i="106" s="1"/>
  <c r="D5011" i="106" s="1"/>
  <c r="B6397" i="106"/>
  <c r="D6397" i="106" s="1"/>
  <c r="J6" i="4"/>
  <c r="B6221" i="106" s="1"/>
  <c r="D6221" i="106" s="1"/>
  <c r="B7054" i="106"/>
  <c r="D7054" i="106" s="1"/>
  <c r="J7" i="4"/>
  <c r="B6222" i="106" s="1"/>
  <c r="D6222" i="106" s="1"/>
  <c r="J13" i="4"/>
  <c r="K342" i="29"/>
  <c r="B7207" i="106"/>
  <c r="D7207" i="106" s="1"/>
  <c r="B7215" i="106"/>
  <c r="D7215" i="106" s="1"/>
  <c r="J16" i="4"/>
  <c r="B6226" i="106" s="1"/>
  <c r="D6226" i="106" s="1"/>
  <c r="B6316" i="106"/>
  <c r="D6316" i="106" s="1"/>
  <c r="J67" i="5"/>
  <c r="B6124" i="106"/>
  <c r="D6124" i="106" s="1"/>
  <c r="D367" i="29"/>
  <c r="B3629" i="106" s="1"/>
  <c r="D3629" i="106" s="1"/>
  <c r="B3628" i="106"/>
  <c r="D3628" i="106" s="1"/>
  <c r="B5994" i="106"/>
  <c r="D5994" i="106" s="1"/>
  <c r="K67" i="5"/>
  <c r="B5995" i="106" s="1"/>
  <c r="D5995" i="106" s="1"/>
  <c r="B3670" i="106"/>
  <c r="D3670" i="106" s="1"/>
  <c r="K352" i="29"/>
  <c r="B5987" i="106"/>
  <c r="D5987" i="106" s="1"/>
  <c r="H367" i="29"/>
  <c r="B3660" i="106" s="1"/>
  <c r="D3660" i="106" s="1"/>
  <c r="B3656" i="106"/>
  <c r="D3656" i="106" s="1"/>
  <c r="B3676" i="106"/>
  <c r="D3676" i="106" s="1"/>
  <c r="K365" i="29"/>
  <c r="I77" i="4"/>
  <c r="B3318" i="106"/>
  <c r="D3318" i="106" s="1"/>
  <c r="B6022" i="106"/>
  <c r="D6022" i="106" s="1"/>
  <c r="K7" i="4"/>
  <c r="C367" i="29"/>
  <c r="B3622" i="106" s="1"/>
  <c r="D3622" i="106" s="1"/>
  <c r="B3621" i="106"/>
  <c r="D3621" i="106" s="1"/>
  <c r="B3649" i="106"/>
  <c r="D3649" i="106" s="1"/>
  <c r="G367" i="29"/>
  <c r="B3650" i="106" s="1"/>
  <c r="D3650" i="106" s="1"/>
  <c r="J367" i="29"/>
  <c r="B7245" i="106" s="1"/>
  <c r="D7245" i="106" s="1"/>
  <c r="B7235" i="106"/>
  <c r="D7235" i="106" s="1"/>
  <c r="B3565" i="106"/>
  <c r="D3565" i="106" s="1"/>
  <c r="B3635" i="106"/>
  <c r="D3635" i="106" s="1"/>
  <c r="E367" i="29"/>
  <c r="B3636" i="106" s="1"/>
  <c r="D3636" i="106" s="1"/>
  <c r="K6" i="4"/>
  <c r="B3570" i="106" s="1"/>
  <c r="D3570" i="106" s="1"/>
  <c r="B6014" i="106"/>
  <c r="D6014" i="106" s="1"/>
  <c r="B7234" i="106"/>
  <c r="D7234" i="106" s="1"/>
  <c r="I367" i="29"/>
  <c r="D12" i="7"/>
  <c r="B19" i="7"/>
  <c r="B1759" i="106" s="1"/>
  <c r="D1759" i="106" s="1"/>
  <c r="B1753" i="106"/>
  <c r="D1753" i="106" s="1"/>
  <c r="B3642" i="106"/>
  <c r="D3642" i="106" s="1"/>
  <c r="F367" i="29"/>
  <c r="B3643" i="106" s="1"/>
  <c r="D3643" i="106" s="1"/>
  <c r="B1108" i="106" l="1"/>
  <c r="D1108" i="106" s="1"/>
  <c r="B4157" i="106"/>
  <c r="D4157" i="106" s="1"/>
  <c r="E19" i="108"/>
  <c r="E109" i="5"/>
  <c r="F41" i="108"/>
  <c r="G43" i="108" s="1"/>
  <c r="C12" i="4"/>
  <c r="K74" i="29"/>
  <c r="C13" i="4" s="1"/>
  <c r="B2557" i="106" s="1"/>
  <c r="D2557" i="106" s="1"/>
  <c r="G23" i="108"/>
  <c r="E23" i="108"/>
  <c r="F178" i="34"/>
  <c r="H114" i="29"/>
  <c r="B1054" i="106" s="1"/>
  <c r="D1054" i="106" s="1"/>
  <c r="E7" i="4"/>
  <c r="B4443" i="106" s="1"/>
  <c r="D4443" i="106" s="1"/>
  <c r="H109" i="5"/>
  <c r="K109" i="5"/>
  <c r="B6028" i="106" s="1"/>
  <c r="D6028" i="106" s="1"/>
  <c r="D109" i="5"/>
  <c r="B5356" i="106" s="1"/>
  <c r="D5356" i="106" s="1"/>
  <c r="F109" i="5"/>
  <c r="F4" i="4" s="1"/>
  <c r="B929" i="106"/>
  <c r="D929" i="106" s="1"/>
  <c r="F114" i="29"/>
  <c r="B931" i="106" s="1"/>
  <c r="D931" i="106" s="1"/>
  <c r="E19" i="145"/>
  <c r="G12" i="145"/>
  <c r="G19" i="145" s="1"/>
  <c r="J20" i="145" s="1"/>
  <c r="B2088" i="106"/>
  <c r="D2088" i="106" s="1"/>
  <c r="K102" i="29"/>
  <c r="E114" i="29"/>
  <c r="B873" i="106" s="1"/>
  <c r="D873" i="106" s="1"/>
  <c r="C173" i="5"/>
  <c r="B1119" i="106"/>
  <c r="D1119" i="106" s="1"/>
  <c r="G22" i="108"/>
  <c r="E22" i="108"/>
  <c r="B989" i="106"/>
  <c r="D989" i="106" s="1"/>
  <c r="F54" i="34"/>
  <c r="C273" i="5"/>
  <c r="B7019" i="106"/>
  <c r="D7019" i="106" s="1"/>
  <c r="C16" i="4"/>
  <c r="B2560" i="106" s="1"/>
  <c r="D2560" i="106" s="1"/>
  <c r="B2556" i="106"/>
  <c r="D2556" i="106" s="1"/>
  <c r="B7020" i="106"/>
  <c r="D7020" i="106" s="1"/>
  <c r="F55" i="34"/>
  <c r="B2551" i="106"/>
  <c r="D2551" i="106" s="1"/>
  <c r="K151" i="29"/>
  <c r="B1281" i="106"/>
  <c r="D1281" i="106" s="1"/>
  <c r="D13" i="4"/>
  <c r="B1287" i="106"/>
  <c r="D1287" i="106" s="1"/>
  <c r="D16" i="4"/>
  <c r="B2572" i="106" s="1"/>
  <c r="D2572" i="106" s="1"/>
  <c r="B1241" i="106"/>
  <c r="D1241" i="106" s="1"/>
  <c r="E151" i="29"/>
  <c r="B1242" i="106" s="1"/>
  <c r="D1242" i="106" s="1"/>
  <c r="D6" i="4"/>
  <c r="B2566" i="106" s="1"/>
  <c r="D2566" i="106" s="1"/>
  <c r="B5421" i="106"/>
  <c r="D5421" i="106" s="1"/>
  <c r="F57" i="34"/>
  <c r="D15" i="4"/>
  <c r="B2571" i="106" s="1"/>
  <c r="D2571" i="106" s="1"/>
  <c r="B1282" i="106"/>
  <c r="D1282" i="106" s="1"/>
  <c r="F59" i="34"/>
  <c r="B7051" i="106"/>
  <c r="D7051" i="106" s="1"/>
  <c r="F58" i="34"/>
  <c r="B1259" i="106"/>
  <c r="D1259" i="106" s="1"/>
  <c r="K174" i="29"/>
  <c r="E16" i="4"/>
  <c r="B2634" i="106" s="1"/>
  <c r="D2634" i="106" s="1"/>
  <c r="B1331" i="106"/>
  <c r="D1331" i="106" s="1"/>
  <c r="E4" i="4"/>
  <c r="B5527" i="106"/>
  <c r="D5527" i="106" s="1"/>
  <c r="E275" i="5"/>
  <c r="B2633" i="106"/>
  <c r="D2633" i="106" s="1"/>
  <c r="B1365" i="106"/>
  <c r="D1365" i="106" s="1"/>
  <c r="F65" i="34"/>
  <c r="F210" i="29"/>
  <c r="B1359" i="106" s="1"/>
  <c r="D1359" i="106" s="1"/>
  <c r="B1358" i="106"/>
  <c r="D1358" i="106" s="1"/>
  <c r="B4087" i="106"/>
  <c r="D4087" i="106" s="1"/>
  <c r="K184" i="29"/>
  <c r="G21" i="108"/>
  <c r="E21" i="108"/>
  <c r="B1377" i="106"/>
  <c r="D1377" i="106" s="1"/>
  <c r="E29" i="108"/>
  <c r="G29" i="108"/>
  <c r="B2837" i="106"/>
  <c r="D2837" i="106" s="1"/>
  <c r="K196" i="29"/>
  <c r="B5653" i="106"/>
  <c r="D5653" i="106" s="1"/>
  <c r="F6" i="4"/>
  <c r="B2593" i="106" s="1"/>
  <c r="D2593" i="106" s="1"/>
  <c r="B1387" i="106"/>
  <c r="D1387" i="106" s="1"/>
  <c r="F16" i="4"/>
  <c r="B2599" i="106" s="1"/>
  <c r="D2599" i="106" s="1"/>
  <c r="F7" i="4"/>
  <c r="B2594" i="106" s="1"/>
  <c r="D2594" i="106" s="1"/>
  <c r="B5719" i="106"/>
  <c r="D5719" i="106" s="1"/>
  <c r="B7071" i="106"/>
  <c r="D7071" i="106" s="1"/>
  <c r="F66" i="34"/>
  <c r="B169" i="106"/>
  <c r="D169" i="106" s="1"/>
  <c r="B1339" i="106"/>
  <c r="D1339" i="106" s="1"/>
  <c r="C210" i="29"/>
  <c r="B1340" i="106" s="1"/>
  <c r="D1340" i="106" s="1"/>
  <c r="H210" i="29"/>
  <c r="B1376" i="106" s="1"/>
  <c r="D1376" i="106" s="1"/>
  <c r="B5778" i="106"/>
  <c r="D5778" i="106" s="1"/>
  <c r="G6" i="4"/>
  <c r="B2604" i="106" s="1"/>
  <c r="D2604" i="106" s="1"/>
  <c r="G13" i="4"/>
  <c r="B2608" i="106" s="1"/>
  <c r="D2608" i="106" s="1"/>
  <c r="B1510" i="106"/>
  <c r="D1510" i="106" s="1"/>
  <c r="K295" i="29"/>
  <c r="G109" i="5"/>
  <c r="B5869" i="106"/>
  <c r="D5869" i="106" s="1"/>
  <c r="G7" i="4"/>
  <c r="B2605" i="106" s="1"/>
  <c r="D2605" i="106" s="1"/>
  <c r="B2607" i="106"/>
  <c r="D2607" i="106" s="1"/>
  <c r="H17" i="4"/>
  <c r="B2659" i="106"/>
  <c r="D2659" i="106" s="1"/>
  <c r="H275" i="5"/>
  <c r="B6025" i="106"/>
  <c r="D6025" i="106" s="1"/>
  <c r="H4" i="4"/>
  <c r="B3277" i="106"/>
  <c r="D3277" i="106" s="1"/>
  <c r="I4" i="4"/>
  <c r="B6026" i="106"/>
  <c r="D6026" i="106" s="1"/>
  <c r="I275" i="5"/>
  <c r="B5946" i="106" s="1"/>
  <c r="D5946" i="106" s="1"/>
  <c r="B7224" i="106"/>
  <c r="D7224" i="106" s="1"/>
  <c r="F13" i="34"/>
  <c r="B6318" i="106"/>
  <c r="D6318" i="106" s="1"/>
  <c r="J109" i="5"/>
  <c r="B7042" i="106"/>
  <c r="D7042" i="106" s="1"/>
  <c r="J17" i="4"/>
  <c r="B3718" i="106"/>
  <c r="D3718" i="106" s="1"/>
  <c r="K4" i="4"/>
  <c r="B1769" i="106"/>
  <c r="D1769" i="106" s="1"/>
  <c r="D19" i="7"/>
  <c r="B1775" i="106" s="1"/>
  <c r="D1775" i="106" s="1"/>
  <c r="B7244" i="106"/>
  <c r="D7244" i="106" s="1"/>
  <c r="F17" i="11"/>
  <c r="K367" i="29"/>
  <c r="B3678" i="106" s="1"/>
  <c r="D3678" i="106" s="1"/>
  <c r="K13" i="4"/>
  <c r="B3672" i="106"/>
  <c r="D3672" i="106" s="1"/>
  <c r="B3319" i="106"/>
  <c r="D3319" i="106" s="1"/>
  <c r="B7243" i="106"/>
  <c r="D7243" i="106" s="1"/>
  <c r="K16" i="4"/>
  <c r="B3574" i="106" s="1"/>
  <c r="D3574" i="106" s="1"/>
  <c r="K114" i="29" l="1"/>
  <c r="B1152" i="106" s="1"/>
  <c r="D1152" i="106" s="1"/>
  <c r="D275" i="5"/>
  <c r="B5508" i="106" s="1"/>
  <c r="D5508" i="106" s="1"/>
  <c r="D4" i="4"/>
  <c r="B1143" i="106"/>
  <c r="D1143" i="106" s="1"/>
  <c r="K275" i="5"/>
  <c r="K368" i="29" s="1"/>
  <c r="B3681" i="106" s="1"/>
  <c r="D3681" i="106" s="1"/>
  <c r="B5588" i="106"/>
  <c r="D5588" i="106" s="1"/>
  <c r="F275" i="5"/>
  <c r="B5720" i="106" s="1"/>
  <c r="D5720" i="106" s="1"/>
  <c r="E17" i="4"/>
  <c r="E19" i="4" s="1"/>
  <c r="B4138" i="106" s="1"/>
  <c r="D4138" i="106" s="1"/>
  <c r="G17" i="4"/>
  <c r="C6" i="4"/>
  <c r="B5223" i="106"/>
  <c r="D5223" i="106" s="1"/>
  <c r="B5320" i="106"/>
  <c r="D5320" i="106" s="1"/>
  <c r="C274" i="5"/>
  <c r="C275" i="5" s="1"/>
  <c r="F53" i="34"/>
  <c r="B1145" i="106"/>
  <c r="D1145" i="106" s="1"/>
  <c r="C15" i="4"/>
  <c r="K152" i="29"/>
  <c r="B1289" i="106" s="1"/>
  <c r="D1289" i="106" s="1"/>
  <c r="B2564" i="106"/>
  <c r="D2564" i="106" s="1"/>
  <c r="D8" i="4"/>
  <c r="E41" i="108"/>
  <c r="E44" i="108" s="1"/>
  <c r="E45" i="108" s="1"/>
  <c r="B2569" i="106"/>
  <c r="D2569" i="106" s="1"/>
  <c r="D17" i="4"/>
  <c r="G41" i="108"/>
  <c r="G44" i="108" s="1"/>
  <c r="G45" i="108" s="1"/>
  <c r="F9" i="34"/>
  <c r="B1288" i="106"/>
  <c r="D1288" i="106" s="1"/>
  <c r="B5552" i="106"/>
  <c r="D5552" i="106" s="1"/>
  <c r="K175" i="29"/>
  <c r="B1333" i="106" s="1"/>
  <c r="D1333" i="106" s="1"/>
  <c r="B2630" i="106"/>
  <c r="D2630" i="106" s="1"/>
  <c r="E8" i="4"/>
  <c r="B140" i="106"/>
  <c r="D140" i="106" s="1"/>
  <c r="E41" i="3"/>
  <c r="F10" i="34"/>
  <c r="B1332" i="106"/>
  <c r="D1332" i="106" s="1"/>
  <c r="B1382" i="106"/>
  <c r="D1382" i="106" s="1"/>
  <c r="F63" i="34"/>
  <c r="F76" i="34" s="1"/>
  <c r="F15" i="4"/>
  <c r="B2598" i="106" s="1"/>
  <c r="D2598" i="106" s="1"/>
  <c r="B2591" i="106"/>
  <c r="D2591" i="106" s="1"/>
  <c r="F8" i="4"/>
  <c r="F13" i="4"/>
  <c r="B1381" i="106"/>
  <c r="D1381" i="106" s="1"/>
  <c r="K210" i="29"/>
  <c r="K211" i="29" s="1"/>
  <c r="B1389" i="106" s="1"/>
  <c r="D1389" i="106" s="1"/>
  <c r="B6024" i="106"/>
  <c r="D6024" i="106" s="1"/>
  <c r="G4" i="4"/>
  <c r="G275" i="5"/>
  <c r="F12" i="34"/>
  <c r="B1517" i="106"/>
  <c r="D1517" i="106" s="1"/>
  <c r="B2612" i="106"/>
  <c r="D2612" i="106" s="1"/>
  <c r="G19" i="4"/>
  <c r="B4140" i="106" s="1"/>
  <c r="D4140" i="106" s="1"/>
  <c r="H8" i="4"/>
  <c r="B2655" i="106"/>
  <c r="D2655" i="106" s="1"/>
  <c r="B5915" i="106"/>
  <c r="D5915" i="106" s="1"/>
  <c r="K313" i="29"/>
  <c r="B1561" i="106" s="1"/>
  <c r="D1561" i="106" s="1"/>
  <c r="H19" i="4"/>
  <c r="B4141" i="106" s="1"/>
  <c r="D4141" i="106" s="1"/>
  <c r="B2661" i="106"/>
  <c r="D2661" i="106" s="1"/>
  <c r="B2912" i="106"/>
  <c r="D2912" i="106" s="1"/>
  <c r="I41" i="3"/>
  <c r="I8" i="4"/>
  <c r="B3225" i="106"/>
  <c r="D3225" i="106" s="1"/>
  <c r="B6227" i="106"/>
  <c r="D6227" i="106" s="1"/>
  <c r="J19" i="4"/>
  <c r="B6229" i="106" s="1"/>
  <c r="D6229" i="106" s="1"/>
  <c r="B6215" i="106"/>
  <c r="D6215" i="106" s="1"/>
  <c r="J41" i="3"/>
  <c r="B6352" i="106"/>
  <c r="D6352" i="106" s="1"/>
  <c r="J4" i="4"/>
  <c r="J275" i="5"/>
  <c r="K17" i="4"/>
  <c r="B3572" i="106"/>
  <c r="D3572" i="106" s="1"/>
  <c r="B3569" i="106"/>
  <c r="D3569" i="106" s="1"/>
  <c r="K8" i="4"/>
  <c r="B7624" i="106"/>
  <c r="D7624" i="106" s="1"/>
  <c r="I17" i="11"/>
  <c r="B6023" i="106" l="1"/>
  <c r="D6023" i="106" s="1"/>
  <c r="B2635" i="106"/>
  <c r="D2635" i="106" s="1"/>
  <c r="F8" i="34"/>
  <c r="B5327" i="106"/>
  <c r="D5327" i="106" s="1"/>
  <c r="K115" i="29"/>
  <c r="B1153" i="106" s="1"/>
  <c r="D1153" i="106" s="1"/>
  <c r="C7" i="4"/>
  <c r="C8" i="4" s="1"/>
  <c r="D16" i="37" s="1"/>
  <c r="B5326" i="106"/>
  <c r="D5326" i="106" s="1"/>
  <c r="B2553" i="106"/>
  <c r="D2553" i="106" s="1"/>
  <c r="B2559" i="106"/>
  <c r="D2559" i="106" s="1"/>
  <c r="C17" i="4"/>
  <c r="D19" i="4"/>
  <c r="B4137" i="106" s="1"/>
  <c r="D4137" i="106" s="1"/>
  <c r="C9" i="146"/>
  <c r="B2573" i="106"/>
  <c r="D2573" i="106" s="1"/>
  <c r="C8" i="146"/>
  <c r="B2568" i="106"/>
  <c r="D2568" i="106" s="1"/>
  <c r="D10" i="4"/>
  <c r="B4123" i="106" s="1"/>
  <c r="D4123" i="106" s="1"/>
  <c r="D20" i="4"/>
  <c r="B141" i="106"/>
  <c r="D141" i="106" s="1"/>
  <c r="D46" i="36"/>
  <c r="B2632" i="106"/>
  <c r="D2632" i="106" s="1"/>
  <c r="E20" i="4"/>
  <c r="E10" i="4"/>
  <c r="B4124" i="106" s="1"/>
  <c r="D4124" i="106" s="1"/>
  <c r="B2596" i="106"/>
  <c r="D2596" i="106" s="1"/>
  <c r="F17" i="4"/>
  <c r="F20" i="4" s="1"/>
  <c r="D8" i="146"/>
  <c r="F10" i="4"/>
  <c r="B4125" i="106" s="1"/>
  <c r="D4125" i="106" s="1"/>
  <c r="B2595" i="106"/>
  <c r="D2595" i="106" s="1"/>
  <c r="F11" i="34"/>
  <c r="F14" i="34" s="1"/>
  <c r="F77" i="34" s="1"/>
  <c r="B1388" i="106"/>
  <c r="D1388" i="106" s="1"/>
  <c r="B5870" i="106"/>
  <c r="D5870" i="106" s="1"/>
  <c r="K296" i="29"/>
  <c r="B1518" i="106" s="1"/>
  <c r="D1518" i="106" s="1"/>
  <c r="B2603" i="106"/>
  <c r="D2603" i="106" s="1"/>
  <c r="G8" i="4"/>
  <c r="B189" i="106"/>
  <c r="D189" i="106" s="1"/>
  <c r="G41" i="3"/>
  <c r="B2658" i="106"/>
  <c r="D2658" i="106" s="1"/>
  <c r="H10" i="4"/>
  <c r="B4127" i="106" s="1"/>
  <c r="D4127" i="106" s="1"/>
  <c r="H20" i="4"/>
  <c r="B3226" i="106"/>
  <c r="D3226" i="106" s="1"/>
  <c r="I10" i="4"/>
  <c r="B4128" i="106" s="1"/>
  <c r="D4128" i="106" s="1"/>
  <c r="E8" i="146"/>
  <c r="I20" i="4"/>
  <c r="B2913" i="106"/>
  <c r="D2913" i="106" s="1"/>
  <c r="D50" i="36"/>
  <c r="B7055" i="106"/>
  <c r="D7055" i="106" s="1"/>
  <c r="K343" i="29"/>
  <c r="B7225" i="106" s="1"/>
  <c r="D7225" i="106" s="1"/>
  <c r="B6216" i="106"/>
  <c r="D6216" i="106" s="1"/>
  <c r="D51" i="36"/>
  <c r="B6220" i="106"/>
  <c r="D6220" i="106" s="1"/>
  <c r="J8" i="4"/>
  <c r="K10" i="4"/>
  <c r="B4130" i="106" s="1"/>
  <c r="D4130" i="106" s="1"/>
  <c r="K20" i="4"/>
  <c r="B3571" i="106"/>
  <c r="D3571" i="106" s="1"/>
  <c r="K19" i="4"/>
  <c r="B4144" i="106" s="1"/>
  <c r="D4144" i="106" s="1"/>
  <c r="B3575" i="106"/>
  <c r="D3575" i="106" s="1"/>
  <c r="I18" i="11"/>
  <c r="B7625" i="106"/>
  <c r="D7625" i="106" s="1"/>
  <c r="C19" i="4" l="1"/>
  <c r="B4136" i="106" s="1"/>
  <c r="D4136" i="106" s="1"/>
  <c r="B2561" i="106"/>
  <c r="D2561" i="106" s="1"/>
  <c r="B9" i="146"/>
  <c r="C10" i="4"/>
  <c r="B4122" i="106" s="1"/>
  <c r="D4122" i="106" s="1"/>
  <c r="B2555" i="106"/>
  <c r="D2555" i="106" s="1"/>
  <c r="C20" i="4"/>
  <c r="B8" i="146"/>
  <c r="B10" i="146" s="1"/>
  <c r="H18" i="118"/>
  <c r="B2554" i="106"/>
  <c r="D2554" i="106" s="1"/>
  <c r="D10" i="171"/>
  <c r="D19" i="171" s="1"/>
  <c r="D32" i="171" s="1"/>
  <c r="D49" i="171" s="1"/>
  <c r="H13" i="118"/>
  <c r="B2574" i="106"/>
  <c r="D2574" i="106" s="1"/>
  <c r="D78" i="4"/>
  <c r="B123" i="106"/>
  <c r="D123" i="106" s="1"/>
  <c r="D41" i="3"/>
  <c r="C10" i="146"/>
  <c r="B282" i="106"/>
  <c r="D282" i="106" s="1"/>
  <c r="N23" i="3"/>
  <c r="B2636" i="106"/>
  <c r="D2636" i="106" s="1"/>
  <c r="E78" i="4"/>
  <c r="F179" i="34"/>
  <c r="F79" i="34"/>
  <c r="D10" i="146"/>
  <c r="B2601" i="106"/>
  <c r="D2601" i="106" s="1"/>
  <c r="F78" i="4"/>
  <c r="H17" i="118"/>
  <c r="H25" i="118" s="1"/>
  <c r="K24" i="118" s="1"/>
  <c r="O23" i="118" s="1"/>
  <c r="O25" i="118" s="1"/>
  <c r="D9" i="146"/>
  <c r="F9" i="146" s="1"/>
  <c r="B2600" i="106"/>
  <c r="D2600" i="106" s="1"/>
  <c r="F16" i="37"/>
  <c r="H16" i="37" s="1"/>
  <c r="F19" i="4"/>
  <c r="B4139" i="106" s="1"/>
  <c r="D4139" i="106" s="1"/>
  <c r="G10" i="4"/>
  <c r="B4126" i="106" s="1"/>
  <c r="D4126" i="106" s="1"/>
  <c r="G20" i="4"/>
  <c r="B2606" i="106"/>
  <c r="D2606" i="106" s="1"/>
  <c r="B190" i="106"/>
  <c r="D190" i="106" s="1"/>
  <c r="D48" i="36"/>
  <c r="B212" i="106"/>
  <c r="D212" i="106" s="1"/>
  <c r="H41" i="3"/>
  <c r="H78" i="4"/>
  <c r="B2662" i="106"/>
  <c r="D2662" i="106" s="1"/>
  <c r="B3227" i="106"/>
  <c r="D3227" i="106" s="1"/>
  <c r="I78" i="4"/>
  <c r="E10" i="146"/>
  <c r="J20" i="4"/>
  <c r="B6223" i="106"/>
  <c r="D6223" i="106" s="1"/>
  <c r="J10" i="4"/>
  <c r="B6225" i="106" s="1"/>
  <c r="D6225" i="106" s="1"/>
  <c r="B7631" i="106"/>
  <c r="D7631" i="106" s="1"/>
  <c r="F180" i="34"/>
  <c r="B3567" i="106"/>
  <c r="D3567" i="106" s="1"/>
  <c r="K41" i="3"/>
  <c r="B3576" i="106"/>
  <c r="D3576" i="106" s="1"/>
  <c r="K78" i="4"/>
  <c r="K17" i="118" l="1"/>
  <c r="J20" i="118" s="1"/>
  <c r="F8" i="146"/>
  <c r="F10" i="146" s="1"/>
  <c r="B2562" i="106"/>
  <c r="D2562" i="106" s="1"/>
  <c r="C78" i="4"/>
  <c r="B92" i="106"/>
  <c r="D92" i="106" s="1"/>
  <c r="C41" i="3"/>
  <c r="F181" i="34"/>
  <c r="F183" i="34" s="1"/>
  <c r="B124" i="106"/>
  <c r="D124" i="106" s="1"/>
  <c r="D45" i="36"/>
  <c r="B3239" i="106"/>
  <c r="D3239" i="106" s="1"/>
  <c r="D81" i="4"/>
  <c r="B3278" i="106"/>
  <c r="D3278" i="106" s="1"/>
  <c r="E81" i="4"/>
  <c r="B284" i="106"/>
  <c r="D284" i="106" s="1"/>
  <c r="D55" i="36"/>
  <c r="B3256" i="106"/>
  <c r="D3256" i="106" s="1"/>
  <c r="F81" i="4"/>
  <c r="D60" i="36" s="1"/>
  <c r="O16" i="118"/>
  <c r="O17" i="118" s="1"/>
  <c r="O20" i="118" s="1"/>
  <c r="B170" i="106"/>
  <c r="D170" i="106" s="1"/>
  <c r="F41" i="3"/>
  <c r="D76" i="36"/>
  <c r="K20" i="118"/>
  <c r="G78" i="4"/>
  <c r="B2613" i="106"/>
  <c r="D2613" i="106" s="1"/>
  <c r="B3300" i="106"/>
  <c r="D3300" i="106" s="1"/>
  <c r="H81" i="4"/>
  <c r="B213" i="106"/>
  <c r="D213" i="106" s="1"/>
  <c r="D49" i="36"/>
  <c r="I81" i="4"/>
  <c r="B3320" i="106"/>
  <c r="D3320" i="106" s="1"/>
  <c r="B6230" i="106"/>
  <c r="D6230" i="106" s="1"/>
  <c r="J78" i="4"/>
  <c r="B3568" i="106"/>
  <c r="D3568" i="106" s="1"/>
  <c r="D52" i="36"/>
  <c r="B3588" i="106"/>
  <c r="D3588" i="106" s="1"/>
  <c r="K81" i="4"/>
  <c r="B93" i="106" l="1"/>
  <c r="D93" i="106" s="1"/>
  <c r="D44" i="36"/>
  <c r="B3233" i="106"/>
  <c r="D3233" i="106" s="1"/>
  <c r="C81" i="4"/>
  <c r="B1644" i="106"/>
  <c r="D1644" i="106" s="1"/>
  <c r="D82" i="4"/>
  <c r="C11" i="146"/>
  <c r="D58" i="36"/>
  <c r="D59" i="36"/>
  <c r="B1658" i="106"/>
  <c r="D1658" i="106" s="1"/>
  <c r="E82" i="4"/>
  <c r="B171" i="106"/>
  <c r="D171" i="106" s="1"/>
  <c r="D47" i="36"/>
  <c r="D11" i="146"/>
  <c r="F82" i="4"/>
  <c r="B1672" i="106"/>
  <c r="D1672" i="106" s="1"/>
  <c r="B3262" i="106"/>
  <c r="D3262" i="106" s="1"/>
  <c r="G81" i="4"/>
  <c r="H82" i="4"/>
  <c r="B1700" i="106"/>
  <c r="D1700" i="106" s="1"/>
  <c r="D62" i="36"/>
  <c r="E11" i="146"/>
  <c r="J16" i="37"/>
  <c r="B4269" i="106" s="1"/>
  <c r="D4269" i="106" s="1"/>
  <c r="B3323" i="106"/>
  <c r="D3323" i="106" s="1"/>
  <c r="D63" i="36"/>
  <c r="I82" i="4"/>
  <c r="B6263" i="106"/>
  <c r="D6263" i="106" s="1"/>
  <c r="J81" i="4"/>
  <c r="K82" i="4"/>
  <c r="B3591" i="106"/>
  <c r="D3591" i="106" s="1"/>
  <c r="D65" i="36"/>
  <c r="B11" i="146" l="1"/>
  <c r="F11" i="146" s="1"/>
  <c r="B1630" i="106"/>
  <c r="D1630" i="106" s="1"/>
  <c r="C82" i="4"/>
  <c r="D57" i="36"/>
  <c r="B6268" i="106"/>
  <c r="D6268" i="106" s="1"/>
  <c r="D83" i="4"/>
  <c r="B6277" i="106" s="1"/>
  <c r="D6277" i="106" s="1"/>
  <c r="B6269" i="106"/>
  <c r="D6269" i="106" s="1"/>
  <c r="E83" i="4"/>
  <c r="B6278" i="106" s="1"/>
  <c r="D6278" i="106" s="1"/>
  <c r="B6270" i="106"/>
  <c r="D6270" i="106" s="1"/>
  <c r="F83" i="4"/>
  <c r="B6279" i="106" s="1"/>
  <c r="D6279" i="106" s="1"/>
  <c r="G82" i="4"/>
  <c r="B1686" i="106"/>
  <c r="D1686" i="106" s="1"/>
  <c r="D61" i="36"/>
  <c r="H83" i="4"/>
  <c r="B6281" i="106" s="1"/>
  <c r="D6281" i="106" s="1"/>
  <c r="B6272" i="106"/>
  <c r="D6272" i="106" s="1"/>
  <c r="I83" i="4"/>
  <c r="B6282" i="106" s="1"/>
  <c r="D6282" i="106" s="1"/>
  <c r="B6273" i="106"/>
  <c r="D6273" i="106" s="1"/>
  <c r="B6266" i="106"/>
  <c r="D6266" i="106" s="1"/>
  <c r="J82" i="4"/>
  <c r="D64" i="36"/>
  <c r="H12" i="118"/>
  <c r="K12" i="118" s="1"/>
  <c r="O11" i="118" s="1"/>
  <c r="O13" i="118" s="1"/>
  <c r="O35" i="118" s="1"/>
  <c r="O37" i="118" s="1"/>
  <c r="K83" i="4"/>
  <c r="B6284" i="106" s="1"/>
  <c r="D6284" i="106" s="1"/>
  <c r="B6275" i="106"/>
  <c r="D6275" i="106" s="1"/>
  <c r="D29" i="36" l="1"/>
  <c r="J24" i="24" s="1"/>
  <c r="C12" i="146"/>
  <c r="C83" i="4"/>
  <c r="B6276" i="106" s="1"/>
  <c r="D6276" i="106" s="1"/>
  <c r="B6267" i="106"/>
  <c r="D6267" i="106" s="1"/>
  <c r="B6271" i="106"/>
  <c r="D6271" i="106" s="1"/>
  <c r="G83" i="4"/>
  <c r="B6280" i="106" s="1"/>
  <c r="D6280" i="106" s="1"/>
  <c r="B6274" i="106"/>
  <c r="D6274" i="106" s="1"/>
  <c r="J83" i="4"/>
  <c r="B6283" i="106" s="1"/>
  <c r="D6283"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<sst xmlns="http://schemas.openxmlformats.org/spreadsheetml/2006/main" count="5096" uniqueCount="2138">
  <si>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</si>
  <si>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</si>
  <si>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</si>
  <si>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</si>
  <si>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</si>
  <si>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</si>
  <si>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</si>
  <si>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</si>
  <si>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</si>
  <si>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</si>
  <si>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</si>
  <si>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</si>
  <si>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</si>
  <si>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</si>
  <si>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</si>
  <si>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</si>
  <si>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</si>
  <si>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</si>
  <si>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</si>
  <si>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</si>
  <si>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</si>
  <si>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</si>
  <si>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</si>
  <si>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</si>
  <si>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</si>
  <si>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</si>
  <si>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</si>
  <si>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</si>
  <si>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</si>
  <si>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</si>
  <si>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</si>
  <si>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</si>
  <si>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</si>
  <si>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</si>
  <si>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</si>
  <si>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</si>
  <si>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</si>
  <si>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</si>
  <si>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</si>
  <si>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</si>
  <si>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</si>
  <si>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</si>
  <si>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</si>
  <si>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</si>
  <si>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</si>
  <si>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</si>
  <si>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</si>
  <si>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</si>
  <si>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</si>
  <si>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</si>
  <si>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</si>
  <si>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</si>
  <si>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</si>
  <si>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</si>
  <si>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</si>
  <si>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</si>
  <si>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</si>
  <si>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</si>
  <si>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</si>
  <si>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</si>
  <si>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</si>
  <si>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</si>
  <si>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</si>
  <si>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</si>
  <si>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</si>
  <si>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</si>
  <si>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</si>
  <si>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</si>
  <si>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</si>
  <si>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</si>
  <si>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</si>
  <si>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</si>
  <si>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</si>
  <si>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</si>
  <si>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</si>
  <si>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</si>
  <si>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</si>
  <si>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</si>
  <si>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</si>
  <si>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</si>
  <si>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</si>
  <si>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</si>
  <si>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</si>
  <si>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</si>
  <si>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</si>
  <si>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</si>
  <si>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</si>
  <si>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</si>
  <si>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</si>
  <si>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</si>
  <si>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</si>
  <si>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</si>
  <si>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</si>
  <si>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</si>
  <si>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</si>
  <si>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</si>
  <si>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</si>
  <si>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</si>
  <si>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</si>
  <si>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</si>
  <si>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</si>
  <si>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</si>
  <si>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</si>
  <si>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</si>
  <si>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</si>
  <si>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</si>
  <si>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</si>
  <si>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</si>
  <si>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</si>
  <si>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</si>
  <si>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</si>
  <si>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</si>
  <si>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</si>
  <si>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</si>
  <si>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</si>
  <si>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</si>
  <si>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</si>
  <si>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</si>
  <si>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</si>
  <si>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</si>
  <si>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</si>
  <si>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</si>
  <si>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</si>
  <si>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</si>
  <si>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</si>
  <si>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</si>
  <si>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</si>
  <si>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</si>
  <si>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</si>
  <si>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</si>
  <si>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</si>
  <si>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</si>
  <si>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</si>
  <si>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</si>
  <si>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</si>
  <si>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</si>
  <si>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</si>
  <si>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</si>
  <si>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</si>
  <si>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</si>
  <si>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</si>
  <si>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</si>
  <si>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</si>
  <si>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</si>
  <si>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</si>
  <si>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</si>
  <si>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</si>
  <si>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</si>
  <si>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</si>
  <si>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</si>
  <si>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</si>
  <si>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</si>
  <si>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</si>
  <si>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</si>
  <si>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</si>
  <si>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</si>
  <si>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</si>
  <si>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</si>
  <si>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</si>
  <si>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</si>
  <si>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</si>
  <si>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</si>
  <si>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</si>
  <si>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</si>
  <si>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</si>
  <si>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</si>
  <si>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</si>
  <si>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</si>
  <si>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</si>
  <si>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</si>
  <si>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</si>
  <si>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</si>
  <si>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</si>
  <si>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</si>
  <si>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</si>
  <si>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</si>
  <si>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</si>
  <si>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</si>
  <si>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</si>
  <si>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</si>
  <si>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</si>
  <si>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</si>
  <si>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</si>
  <si>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</si>
  <si>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</si>
  <si>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</si>
  <si>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</si>
  <si>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</si>
  <si>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</si>
  <si>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</si>
  <si>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</si>
  <si>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</si>
  <si>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</si>
  <si>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</si>
  <si>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</si>
  <si>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</si>
  <si>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</si>
  <si>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</si>
  <si>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</si>
  <si>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</si>
  <si>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</si>
  <si>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</si>
  <si>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</si>
  <si>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</si>
  <si>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</si>
  <si>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</si>
  <si>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</si>
  <si>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</si>
  <si>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</si>
  <si>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</si>
  <si>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</si>
  <si>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</si>
  <si>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</si>
  <si>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</si>
  <si>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</si>
  <si>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</si>
  <si>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</si>
  <si>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</si>
  <si>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</si>
  <si>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</si>
  <si>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</si>
  <si>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</si>
  <si>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</si>
  <si>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</si>
  <si>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</si>
  <si>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</si>
  <si>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</si>
  <si>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</si>
  <si>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</si>
  <si>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</si>
  <si>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</si>
  <si>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</si>
  <si>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</si>
  <si>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</si>
  <si>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</si>
  <si>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</si>
  <si>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</si>
  <si>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</si>
  <si>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</si>
  <si>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</si>
  <si>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</si>
  <si>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</si>
  <si>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</si>
  <si>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</si>
  <si>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</si>
  <si>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</si>
  <si>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</si>
  <si>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</si>
  <si>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</si>
  <si>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</si>
  <si>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</si>
  <si>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</si>
  <si>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</si>
  <si>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</si>
  <si>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</si>
  <si>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</si>
  <si>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</si>
  <si>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</si>
  <si>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</si>
  <si>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</si>
  <si>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</si>
  <si>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</si>
  <si>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</si>
  <si>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</si>
  <si>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</si>
  <si>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</si>
  <si>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</si>
  <si>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</si>
  <si>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</si>
  <si>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</si>
  <si>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</si>
  <si>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</si>
  <si>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</si>
  <si>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</si>
  <si>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</si>
  <si>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</si>
  <si>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</si>
  <si>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</si>
  <si>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</si>
  <si>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</si>
  <si>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</si>
  <si>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</si>
  <si>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</si>
  <si>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</si>
  <si>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</si>
  <si>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</si>
  <si>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</si>
  <si>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</si>
  <si>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</si>
  <si>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</si>
  <si>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</si>
  <si>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</si>
  <si>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</si>
  <si>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</si>
  <si>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</si>
  <si>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</si>
  <si>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</si>
  <si>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</si>
  <si>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</si>
  <si>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</si>
  <si>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</si>
  <si>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</si>
  <si>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</si>
  <si>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</si>
  <si>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</si>
  <si>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</si>
  <si>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</si>
  <si>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</si>
  <si>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</si>
  <si>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</si>
  <si>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</si>
  <si>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</si>
  <si>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</si>
  <si>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</si>
  <si>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</si>
  <si>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</si>
  <si>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</si>
  <si>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</si>
  <si>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</si>
  <si>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</si>
  <si>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</si>
  <si>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</si>
  <si>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</si>
  <si>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</si>
  <si>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</si>
  <si>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</si>
  <si>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</si>
  <si>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</si>
  <si>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</si>
  <si>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</si>
  <si>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</si>
  <si>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</si>
  <si>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</si>
  <si>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</si>
  <si>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</si>
  <si>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</si>
  <si>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</si>
  <si>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</si>
  <si>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</si>
  <si>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</si>
  <si>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</si>
  <si>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</si>
  <si>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</si>
  <si>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</si>
  <si>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</si>
  <si>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</si>
  <si>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</si>
  <si>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</si>
  <si>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</si>
  <si>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</si>
  <si>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</si>
  <si>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</si>
  <si>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</si>
  <si>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</si>
  <si>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</si>
  <si>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</si>
  <si>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</si>
  <si>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</si>
  <si>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</si>
  <si>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</si>
  <si>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</si>
  <si>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</si>
  <si>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</si>
  <si>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</si>
  <si>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</si>
  <si>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</si>
  <si>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</si>
  <si>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</si>
  <si>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</si>
  <si>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</si>
  <si>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</si>
  <si>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</si>
  <si>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</si>
  <si>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</si>
  <si>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</si>
  <si>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</si>
  <si>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</si>
  <si>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</si>
  <si>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</si>
  <si>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</si>
  <si>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</si>
  <si>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</si>
  <si>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</si>
  <si>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</si>
  <si>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</si>
  <si>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</si>
  <si>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</si>
  <si>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</si>
  <si>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</si>
  <si>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</si>
  <si>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</si>
  <si>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</si>
  <si>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</si>
  <si>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</si>
  <si>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</si>
  <si>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</si>
  <si>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</si>
  <si>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</si>
  <si>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</si>
  <si>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</si>
  <si>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</si>
  <si>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</si>
  <si>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</si>
  <si>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</si>
  <si>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</si>
  <si>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</si>
  <si>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</si>
  <si>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</si>
  <si>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</si>
  <si>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</si>
  <si>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</si>
  <si>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</si>
  <si>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</si>
  <si>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</si>
  <si>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</si>
  <si>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</si>
  <si>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</si>
  <si>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</si>
  <si>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</si>
  <si>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</si>
  <si>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</si>
  <si>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</si>
  <si>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</si>
  <si>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</si>
  <si>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</si>
  <si>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</si>
  <si>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</si>
  <si>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</si>
  <si>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</si>
  <si>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</si>
  <si>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</si>
  <si>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</si>
  <si>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</si>
  <si>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</si>
  <si>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</si>
  <si>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</si>
  <si>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</si>
  <si>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</si>
  <si>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</si>
  <si>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</si>
  <si>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</si>
  <si>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</si>
  <si>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</si>
  <si>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</si>
  <si>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</si>
  <si>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</si>
  <si>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</si>
  <si>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</si>
  <si>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</si>
  <si>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</si>
  <si>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</si>
  <si>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</si>
  <si>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</si>
  <si>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</si>
  <si>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</si>
  <si>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</si>
  <si>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</si>
  <si>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</si>
  <si>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</si>
  <si>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</si>
  <si>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</si>
  <si>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</si>
  <si>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</si>
  <si>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</si>
  <si>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</si>
  <si>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</si>
  <si>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</si>
  <si>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</si>
  <si>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</si>
  <si>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</si>
  <si>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</si>
  <si>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</si>
  <si>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</si>
  <si>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</si>
  <si>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</si>
  <si>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</si>
  <si>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</si>
  <si>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</si>
  <si>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</si>
  <si>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</si>
  <si>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</si>
  <si>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</si>
  <si>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</si>
  <si>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</si>
  <si>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</si>
  <si>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</si>
  <si>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</si>
  <si>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</si>
  <si>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</si>
  <si>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</si>
  <si>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</si>
  <si>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</si>
  <si>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</si>
  <si>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</si>
  <si>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</si>
  <si>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</si>
  <si>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</si>
  <si>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</si>
  <si>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</si>
  <si>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</si>
  <si>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</si>
  <si>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</si>
  <si>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</si>
  <si>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</si>
  <si>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</si>
  <si>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</si>
  <si>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</si>
  <si>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</si>
  <si>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</si>
  <si>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</si>
  <si>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</si>
  <si>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</si>
  <si>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</si>
  <si>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</si>
  <si>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</si>
  <si>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</si>
  <si>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</si>
  <si>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</si>
  <si>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</si>
  <si>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</si>
  <si>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</si>
  <si>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</si>
  <si>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</si>
  <si>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</si>
  <si>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</si>
  <si>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</si>
  <si>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</si>
  <si>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</si>
  <si>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</si>
  <si>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</si>
  <si>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</si>
  <si>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</si>
  <si>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</si>
  <si>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</si>
  <si>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</si>
  <si>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</si>
  <si>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</si>
  <si>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</si>
  <si>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</si>
  <si>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</si>
  <si>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</si>
  <si>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</si>
  <si>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</si>
  <si>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</si>
  <si>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</si>
  <si>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</si>
  <si>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</si>
  <si>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</si>
  <si>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</si>
  <si>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</si>
  <si>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</si>
  <si>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</si>
  <si>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</si>
  <si>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</si>
  <si>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</si>
  <si>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</si>
  <si>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</si>
  <si>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</si>
  <si>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</si>
  <si>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</si>
  <si>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</si>
  <si>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</si>
  <si>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</si>
  <si>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</si>
  <si>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</si>
  <si>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</si>
  <si>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</si>
  <si>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</si>
  <si>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</si>
  <si>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</si>
  <si>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</si>
  <si>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</si>
  <si>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</si>
  <si>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</si>
  <si>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</si>
  <si>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</si>
  <si>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</si>
  <si>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</si>
  <si>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</si>
  <si>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</si>
  <si>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</si>
  <si>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</si>
  <si>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</si>
  <si>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</si>
  <si>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</si>
  <si>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</si>
  <si>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</si>
  <si>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</si>
  <si>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</si>
  <si>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</si>
  <si>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</si>
  <si>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</si>
  <si>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</si>
  <si>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</si>
  <si>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</si>
  <si>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</si>
  <si>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</si>
  <si>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</si>
  <si>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</si>
  <si>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</si>
  <si>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</si>
  <si>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</si>
  <si>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</si>
  <si>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</si>
  <si>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</si>
  <si>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</si>
  <si>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</si>
  <si>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</si>
  <si>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</si>
  <si>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</si>
  <si>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</si>
  <si>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</si>
  <si>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</si>
  <si>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</si>
  <si>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</si>
  <si>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</si>
  <si>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</si>
  <si>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</si>
  <si>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</si>
  <si>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</si>
  <si>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</si>
  <si>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</si>
  <si>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</si>
  <si>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</si>
  <si>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</si>
  <si>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</si>
  <si>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</si>
  <si>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</si>
  <si>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</si>
  <si>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</si>
  <si>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</si>
  <si>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</si>
  <si>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</si>
  <si>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</si>
  <si>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</si>
  <si>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</si>
  <si>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</si>
  <si>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</si>
  <si>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</si>
  <si>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</si>
  <si>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</si>
  <si>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</si>
  <si>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</si>
  <si>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</si>
  <si>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</si>
  <si>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</si>
  <si>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</si>
  <si>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</si>
  <si>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</si>
  <si>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</si>
  <si>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</si>
  <si>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</si>
  <si>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</si>
  <si>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</si>
  <si>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</si>
  <si>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</si>
  <si>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</si>
  <si>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</si>
  <si>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</si>
  <si>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</si>
  <si>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</si>
  <si>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</si>
  <si>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</si>
  <si>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</si>
  <si>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</si>
  <si>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</si>
  <si>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</si>
  <si>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</si>
  <si>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</si>
  <si>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</si>
  <si>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</si>
  <si>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</si>
  <si>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</si>
  <si>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</si>
  <si>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</si>
  <si>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</si>
  <si>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</si>
  <si>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</si>
  <si>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</si>
  <si>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</si>
  <si>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</si>
  <si>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</si>
  <si>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</si>
  <si>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</si>
  <si>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</si>
  <si>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</si>
  <si>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</si>
  <si>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</si>
  <si>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</si>
  <si>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</si>
  <si>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</si>
  <si>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</si>
  <si>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</si>
  <si>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</si>
  <si>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</si>
  <si>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</si>
  <si>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</si>
  <si>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</si>
  <si>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</si>
  <si>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</si>
  <si>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</si>
  <si>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</si>
  <si>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</si>
  <si>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</si>
  <si>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</si>
  <si>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</si>
  <si>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</si>
  <si>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</si>
  <si>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</si>
  <si>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</si>
  <si>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</si>
  <si>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</si>
  <si>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</si>
  <si>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</si>
  <si>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</si>
  <si>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</si>
  <si>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</si>
  <si>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</si>
  <si>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</si>
  <si>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</si>
  <si>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</si>
  <si>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</si>
  <si>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</si>
  <si>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</si>
  <si>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</si>
  <si>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</si>
  <si>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</si>
  <si>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</si>
  <si>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</si>
  <si>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</si>
  <si>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</si>
  <si>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</si>
  <si>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</si>
  <si>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</si>
  <si>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</si>
  <si>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</si>
  <si>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</si>
  <si>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</si>
  <si>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</si>
  <si>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</si>
  <si>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</si>
  <si>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</si>
  <si>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</si>
  <si>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</si>
  <si>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</si>
  <si>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</si>
  <si>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</si>
  <si>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</si>
  <si>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</si>
  <si>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</si>
  <si>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</si>
  <si>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</si>
  <si>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</si>
  <si>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</si>
  <si>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</si>
  <si>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</si>
  <si>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</si>
  <si>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</si>
  <si>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</si>
  <si>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</si>
  <si>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</si>
  <si>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</si>
  <si>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</si>
  <si>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</si>
  <si>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</si>
  <si>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</si>
  <si>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</si>
  <si>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</si>
  <si>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</si>
  <si>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</si>
  <si>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</si>
  <si>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</si>
  <si>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</si>
  <si>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</si>
  <si>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</si>
  <si>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</si>
  <si>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</si>
  <si>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</si>
  <si>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</si>
  <si>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</si>
  <si>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</si>
  <si>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</si>
  <si>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</si>
  <si>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</si>
  <si>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</si>
  <si>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</si>
  <si>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</si>
  <si>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</si>
  <si>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</si>
  <si>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</si>
  <si>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</si>
  <si>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</si>
  <si>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</si>
  <si>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</si>
  <si>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</si>
  <si>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</si>
  <si>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</si>
  <si>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</si>
  <si>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</si>
  <si>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</si>
  <si>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</si>
  <si>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</si>
  <si>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</si>
  <si>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</si>
  <si>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</si>
  <si>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</si>
  <si>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</si>
  <si>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</si>
  <si>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</si>
  <si>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</si>
  <si>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</si>
  <si>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</si>
  <si>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</si>
  <si>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</si>
  <si>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</si>
  <si>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</si>
  <si>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</si>
  <si>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</si>
  <si>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</si>
  <si>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</si>
  <si>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</si>
  <si>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</si>
  <si>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</si>
  <si>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</si>
  <si>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</si>
  <si>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</si>
  <si>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</si>
  <si>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</si>
  <si>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</si>
  <si>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</si>
  <si>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</si>
  <si>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</si>
  <si>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</si>
  <si>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</si>
  <si>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</si>
  <si>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</si>
  <si>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</si>
  <si>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</si>
  <si>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</si>
  <si>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</si>
  <si>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</si>
  <si>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</si>
  <si>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</si>
  <si>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</si>
  <si>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</si>
  <si>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</si>
  <si>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</si>
  <si>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</si>
  <si>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</si>
  <si>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</si>
  <si>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</si>
  <si>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</si>
  <si>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</si>
  <si>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</si>
  <si>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</si>
  <si>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</si>
  <si>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</si>
  <si>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</si>
  <si>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</si>
  <si>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</si>
  <si>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</si>
  <si>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</si>
  <si>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</si>
  <si>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</si>
  <si>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</si>
  <si>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</si>
  <si>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</si>
  <si>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</si>
  <si>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</si>
  <si>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</si>
  <si>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</si>
  <si>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</si>
  <si>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</si>
  <si>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</si>
  <si>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</si>
  <si>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</si>
  <si>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</si>
  <si>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</si>
  <si>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</si>
  <si>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</si>
  <si>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</si>
  <si>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</si>
  <si>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</si>
  <si>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</si>
  <si>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</si>
  <si>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</si>
  <si>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</si>
  <si>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</si>
  <si>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</si>
  <si>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</si>
  <si>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</si>
  <si>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</si>
  <si>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</si>
  <si>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</si>
  <si>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</si>
  <si>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</si>
  <si>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</si>
  <si>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</si>
  <si>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</si>
  <si>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</si>
  <si>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</si>
  <si>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</si>
  <si>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</si>
  <si>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</si>
  <si>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</si>
  <si>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</si>
  <si>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</si>
  <si>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</si>
  <si>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</si>
  <si>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</si>
  <si>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</si>
  <si>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</si>
  <si>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</si>
  <si>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</si>
  <si>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</si>
  <si>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</si>
  <si>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</si>
  <si>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</si>
  <si>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</si>
  <si>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</si>
  <si>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</si>
  <si>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</si>
  <si>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</si>
  <si>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</si>
  <si>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</si>
  <si>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</si>
  <si>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</si>
  <si>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</si>
  <si>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</si>
  <si>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</si>
  <si>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</si>
  <si>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</si>
  <si>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</si>
  <si>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</si>
  <si>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</si>
  <si>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</si>
  <si>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</si>
  <si>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</si>
  <si>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</si>
  <si>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</si>
  <si>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</si>
  <si>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</si>
  <si>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</si>
  <si>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</si>
  <si>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</si>
  <si>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</si>
  <si>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</si>
  <si>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</si>
  <si>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</si>
  <si>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</si>
  <si>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</si>
  <si>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</si>
  <si>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</si>
  <si>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</si>
  <si>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</si>
  <si>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</si>
  <si>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</si>
  <si>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</si>
  <si>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</si>
  <si>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</si>
  <si>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</si>
  <si>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</si>
  <si>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</si>
  <si>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</si>
  <si>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</si>
  <si>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</si>
  <si>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</si>
  <si>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</si>
  <si>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</si>
  <si>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</si>
  <si>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</si>
  <si>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</si>
  <si>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</si>
  <si>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</si>
  <si>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</si>
  <si>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</si>
  <si>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</si>
  <si>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</si>
  <si>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</si>
  <si>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</si>
  <si>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</si>
  <si>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</si>
  <si>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</si>
  <si>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</si>
  <si>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</si>
  <si>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</si>
  <si>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</si>
  <si>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</si>
  <si>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</si>
  <si>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</si>
  <si>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</si>
  <si>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</si>
  <si>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</si>
  <si>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</si>
  <si>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</si>
  <si>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</si>
  <si>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</si>
  <si>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</si>
  <si>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</si>
  <si>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</si>
  <si>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</si>
  <si>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</si>
  <si>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</si>
  <si>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</si>
  <si>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</si>
  <si>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</si>
  <si>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</si>
  <si>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</si>
  <si>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</si>
  <si>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</si>
  <si>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</si>
  <si>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</si>
  <si>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</si>
  <si>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</si>
  <si>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</si>
  <si>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</si>
  <si>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</si>
  <si>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</si>
  <si>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</si>
  <si>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</si>
  <si>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</si>
  <si>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</si>
  <si>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</si>
  <si>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</si>
  <si>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</si>
  <si>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</si>
  <si>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</si>
  <si>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</si>
  <si>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</si>
  <si>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</si>
  <si>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</si>
  <si>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</si>
  <si>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</si>
  <si>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</si>
  <si>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</si>
  <si>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</si>
  <si>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</si>
  <si>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</si>
  <si>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</si>
  <si>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</si>
  <si>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</si>
  <si>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</si>
  <si>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</si>
  <si>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</si>
  <si>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</si>
  <si>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</si>
  <si>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</si>
  <si>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</si>
  <si>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</si>
  <si>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</si>
  <si>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</si>
  <si>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</si>
  <si>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</si>
  <si>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</si>
  <si>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</si>
  <si>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</si>
  <si>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</si>
  <si>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</si>
  <si>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</si>
  <si>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</si>
  <si>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</si>
  <si>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</si>
  <si>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</si>
  <si>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</si>
  <si>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</si>
  <si>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</si>
  <si>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</si>
  <si>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</si>
  <si>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</si>
  <si>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</si>
  <si>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</si>
  <si>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</si>
  <si>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</si>
  <si>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</si>
  <si>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</si>
  <si>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</si>
  <si>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</si>
  <si>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</si>
  <si>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</si>
  <si>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</si>
  <si>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</si>
  <si>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</si>
  <si>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</si>
  <si>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</si>
  <si>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</si>
  <si>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</si>
  <si>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</si>
  <si>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</si>
  <si>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</si>
  <si>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</si>
  <si>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</si>
  <si>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</si>
  <si>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</si>
  <si>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</si>
  <si>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</si>
  <si>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</si>
  <si>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</si>
  <si>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</si>
  <si>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</si>
  <si>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</si>
  <si>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</si>
  <si>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</si>
  <si>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</si>
  <si>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</si>
  <si>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</si>
  <si>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</si>
  <si>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</si>
  <si>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</si>
  <si>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</si>
  <si>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</si>
  <si>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</si>
  <si>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</si>
  <si>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</si>
  <si>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</si>
  <si>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</si>
  <si>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</si>
  <si>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</si>
  <si>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</si>
  <si>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</si>
  <si>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</si>
  <si>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</si>
  <si>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</si>
  <si>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</si>
  <si>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</si>
  <si>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</si>
  <si>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</si>
  <si>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</si>
  <si>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</si>
  <si>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</si>
  <si>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</si>
  <si>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</si>
  <si>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</si>
  <si>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</si>
  <si>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</si>
  <si>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</si>
  <si>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</si>
  <si>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</si>
  <si>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</si>
  <si>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</si>
  <si>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</si>
  <si>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</si>
  <si>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</si>
  <si>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</si>
  <si>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</si>
  <si>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</si>
  <si>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</si>
  <si>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</si>
  <si>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</si>
  <si>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</si>
  <si>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</si>
  <si>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</si>
  <si>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</si>
  <si>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</si>
  <si>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</si>
  <si>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</si>
  <si>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</si>
  <si>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</si>
  <si>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</si>
  <si>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</si>
  <si>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</si>
  <si>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</si>
  <si>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</si>
  <si>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</si>
  <si>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</si>
  <si>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</si>
  <si>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</si>
  <si>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</si>
  <si>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</si>
  <si>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</si>
  <si>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</si>
  <si>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</si>
  <si>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</si>
  <si>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</si>
  <si>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</si>
  <si>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</si>
  <si>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</si>
  <si>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</si>
  <si>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</si>
  <si>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</si>
  <si>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</si>
  <si>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</si>
  <si>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</si>
  <si>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</si>
  <si>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</si>
  <si>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</si>
  <si>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</si>
  <si>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</si>
  <si>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</si>
  <si>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</si>
  <si>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</si>
  <si>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</si>
  <si>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</si>
  <si>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</si>
  <si>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</si>
  <si>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</si>
  <si>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</si>
  <si>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</si>
  <si>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</si>
  <si>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</si>
  <si>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</si>
  <si>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</si>
  <si>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</si>
  <si>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</si>
  <si>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</si>
  <si>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</si>
  <si>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</si>
  <si>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</si>
  <si>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</si>
  <si>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</si>
  <si>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</si>
  <si>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</si>
  <si>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</si>
  <si>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</si>
  <si>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</si>
  <si>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</si>
  <si>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</si>
  <si>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</si>
  <si>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</si>
  <si>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</si>
  <si>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</si>
  <si>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</si>
  <si>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</si>
  <si>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</si>
  <si>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</si>
  <si>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</si>
  <si>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</si>
  <si>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</si>
  <si>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</si>
  <si>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</si>
  <si>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</si>
  <si>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</si>
  <si>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</si>
  <si>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</si>
  <si>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</si>
  <si>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</si>
  <si>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</si>
  <si>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</si>
  <si>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</si>
  <si>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</si>
  <si>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</si>
  <si>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</si>
  <si>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</si>
  <si>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</si>
  <si>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</si>
  <si>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</si>
  <si>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</si>
  <si>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</si>
  <si>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</si>
  <si>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</si>
  <si>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</si>
  <si>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</si>
  <si>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</si>
  <si>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</si>
  <si>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</si>
  <si>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</si>
  <si>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</si>
  <si>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</si>
  <si>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</si>
  <si>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</si>
  <si>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</si>
  <si>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</si>
  <si>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</si>
  <si>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</si>
  <si>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</si>
  <si>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</si>
  <si>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</si>
  <si>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</si>
  <si>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</si>
  <si>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</si>
  <si>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</si>
  <si>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</si>
  <si>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</si>
  <si>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</si>
  <si>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</si>
  <si>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</si>
  <si>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</si>
  <si>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</si>
  <si>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</si>
  <si>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</si>
  <si>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</si>
  <si>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</si>
  <si>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</si>
  <si>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</si>
  <si>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</si>
  <si>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</si>
  <si>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</si>
  <si>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</si>
  <si>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</si>
  <si>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</si>
  <si>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</si>
  <si>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</si>
  <si>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</si>
  <si>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</si>
  <si>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</si>
  <si>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</si>
  <si>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</si>
  <si>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</si>
  <si>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</si>
  <si>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</si>
  <si>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</si>
  <si>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</si>
  <si>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</si>
  <si>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</si>
  <si>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</si>
  <si>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</si>
  <si>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</si>
  <si>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</si>
  <si>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</si>
  <si>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</si>
  <si>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</si>
  <si>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</si>
  <si>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</si>
  <si>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</si>
  <si>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</si>
  <si>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</si>
  <si>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</si>
  <si>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</si>
  <si>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</si>
  <si>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</si>
  <si>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</si>
  <si>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</si>
  <si>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</si>
  <si>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</si>
  <si>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</si>
  <si>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</si>
  <si>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</si>
  <si>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</si>
  <si>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</si>
  <si>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</si>
  <si>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</si>
  <si>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</si>
  <si>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</si>
  <si>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</si>
  <si>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</si>
  <si>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</si>
  <si>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</si>
  <si>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</si>
  <si>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</si>
  <si>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</si>
  <si>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</si>
  <si>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</si>
  <si>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</si>
  <si>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</si>
  <si>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</si>
  <si>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</si>
  <si>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</si>
  <si>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</si>
  <si>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</si>
  <si>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</si>
  <si>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</si>
  <si>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</si>
  <si>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</si>
  <si>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</si>
  <si>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</si>
  <si>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</si>
  <si>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</si>
  <si>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</si>
  <si>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</si>
  <si>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</si>
  <si>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</si>
  <si>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</si>
  <si>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</si>
  <si>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</si>
  <si>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</si>
  <si>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</si>
  <si>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</si>
  <si>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</si>
  <si>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</si>
  <si>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</si>
  <si>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</si>
  <si>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</si>
  <si>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</si>
  <si>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</si>
  <si>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</si>
  <si>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</si>
  <si>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</si>
  <si>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</si>
  <si>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</si>
  <si>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</si>
  <si>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</si>
  <si>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</si>
  <si>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</si>
  <si>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</si>
  <si>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</si>
  <si>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</si>
  <si>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</si>
  <si>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</si>
  <si>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</si>
  <si>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</si>
  <si>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</si>
  <si>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</si>
  <si>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</si>
  <si>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</si>
  <si>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</si>
  <si>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</si>
  <si>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</si>
  <si>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</si>
  <si>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</si>
  <si>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</si>
  <si>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</si>
  <si>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</si>
  <si>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</si>
  <si>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</si>
  <si>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</si>
  <si>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</si>
  <si>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</si>
  <si>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</si>
  <si>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</si>
  <si>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</si>
  <si>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</si>
  <si>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</si>
  <si>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</si>
  <si>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</si>
  <si>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</si>
  <si>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</si>
  <si>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</si>
  <si>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</si>
  <si>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</si>
  <si>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</si>
  <si>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</si>
  <si>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</si>
  <si>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</si>
  <si>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</si>
  <si>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</si>
  <si>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</si>
  <si>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</si>
  <si>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</si>
  <si>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</si>
  <si>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</si>
  <si>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</si>
  <si>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</si>
  <si>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</si>
  <si>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</si>
  <si>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</si>
  <si>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</si>
  <si>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</si>
  <si>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</si>
  <si>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</si>
  <si>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</si>
  <si>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</si>
  <si>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</si>
  <si>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</si>
  <si>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</si>
  <si>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</si>
  <si>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</si>
  <si>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</si>
  <si>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</si>
  <si>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</si>
  <si>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</si>
  <si>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</si>
  <si>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</si>
  <si>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</si>
  <si>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</si>
  <si>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</si>
  <si>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</si>
  <si>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</si>
  <si>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</si>
  <si>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</si>
  <si>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</si>
  <si>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</si>
  <si>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</si>
  <si>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</si>
  <si>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</si>
  <si>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</si>
  <si>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</si>
  <si>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</si>
  <si>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</si>
  <si>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</si>
  <si>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</si>
  <si>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</si>
  <si>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</si>
  <si>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</si>
  <si>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</si>
  <si>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</si>
  <si>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</si>
  <si>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</si>
  <si>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</si>
  <si>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</si>
  <si>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</si>
  <si>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</si>
  <si>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</si>
  <si>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</si>
  <si>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</si>
  <si>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</si>
  <si>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</si>
  <si>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</si>
  <si>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</si>
  <si>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</si>
  <si>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</si>
  <si>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</si>
  <si>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</si>
  <si>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</si>
  <si>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</si>
  <si>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</si>
  <si>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</si>
  <si>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</si>
  <si>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</si>
  <si>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</si>
  <si>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</si>
  <si>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</si>
  <si>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</si>
  <si>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</si>
  <si>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</si>
  <si>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</si>
  <si>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</si>
  <si>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</si>
  <si>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</si>
  <si>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</si>
  <si>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</si>
  <si>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</si>
  <si>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</si>
  <si>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</si>
  <si>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</si>
  <si>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</si>
  <si>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</si>
  <si>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</si>
  <si>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</si>
  <si>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</si>
  <si>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</si>
  <si>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</si>
  <si>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</si>
  <si>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</si>
  <si>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</si>
  <si>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</si>
  <si>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</si>
  <si>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</si>
  <si>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</si>
  <si>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</si>
  <si>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</si>
  <si>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</si>
  <si>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</si>
  <si>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</si>
  <si>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</si>
  <si>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</si>
  <si>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</si>
  <si>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</si>
  <si>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</si>
  <si>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</si>
  <si>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</si>
  <si>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</si>
  <si>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</si>
  <si>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</si>
  <si>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</si>
  <si>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</si>
  <si>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</si>
  <si>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</si>
  <si>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</si>
  <si>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</si>
  <si>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</si>
  <si>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</si>
  <si>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</si>
  <si>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</si>
  <si>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</si>
  <si>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</si>
  <si>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</si>
  <si>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</si>
  <si>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</si>
  <si>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</si>
  <si>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</si>
  <si>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</si>
  <si>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</si>
  <si>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</si>
  <si>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</si>
  <si>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</si>
  <si>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</si>
  <si>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</si>
  <si>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</si>
  <si>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</si>
  <si>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</si>
  <si>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</si>
  <si>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</si>
  <si>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</si>
  <si>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</si>
  <si>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</si>
  <si>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</si>
  <si>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</si>
  <si>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</si>
  <si>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</si>
  <si>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</si>
  <si>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</si>
  <si>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</si>
  <si>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</si>
  <si>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</si>
  <si>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</si>
  <si>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</si>
  <si>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</si>
  <si>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</si>
  <si>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</si>
  <si>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</si>
  <si>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</si>
  <si>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</si>
  <si>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</si>
  <si>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</si>
  <si>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</si>
  <si>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</si>
  <si>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</si>
  <si>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</si>
  <si>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</si>
  <si>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</si>
  <si>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</si>
  <si>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</si>
  <si>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</si>
  <si>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</si>
  <si>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</si>
  <si>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</si>
  <si>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</si>
  <si>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</si>
  <si>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</si>
  <si>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</si>
  <si>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</si>
  <si>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</si>
  <si>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</si>
  <si>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</si>
  <si>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</si>
  <si>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</si>
  <si>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</si>
  <si>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</si>
  <si>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</si>
  <si>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</si>
  <si>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</si>
  <si>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</si>
  <si>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</si>
  <si>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</si>
  <si>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</si>
  <si>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</si>
  <si>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</si>
  <si>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</si>
  <si>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</si>
  <si>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</si>
  <si>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</si>
  <si>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</si>
  <si>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</si>
  <si>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</si>
  <si>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</si>
  <si>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</si>
  <si>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</si>
  <si>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</si>
  <si>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</si>
  <si>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</si>
  <si>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</si>
  <si>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</si>
  <si>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</si>
  <si>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</si>
  <si>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</si>
  <si>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</si>
  <si>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</si>
  <si>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</si>
  <si>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</si>
  <si>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</si>
  <si>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</si>
  <si>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</si>
  <si>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</si>
  <si>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</si>
  <si>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</si>
  <si>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</si>
  <si>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</si>
  <si>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</si>
  <si>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</si>
  <si>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</si>
  <si>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</si>
  <si>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</si>
  <si>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</si>
  <si>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</si>
  <si>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</si>
  <si>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</si>
  <si>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</si>
  <si>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</si>
  <si>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</si>
  <si>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</si>
  <si>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</si>
  <si>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</si>
  <si>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</si>
  <si>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</si>
  <si>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</si>
  <si>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</si>
  <si>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</si>
  <si>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</si>
  <si>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</si>
  <si>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</si>
  <si>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</si>
  <si>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</si>
  <si>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</si>
  <si>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</si>
  <si>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</si>
  <si>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</si>
  <si>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</si>
  <si>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</si>
  <si>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</si>
  <si>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</si>
  <si>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</si>
  <si>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</si>
  <si>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</si>
  <si>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</si>
  <si>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</si>
  <si>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</si>
  <si>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</si>
  <si>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</si>
  <si>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</si>
  <si>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</si>
  <si>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</si>
  <si>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</si>
  <si>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</si>
  <si>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</si>
  <si>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</si>
  <si>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</si>
  <si>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</si>
  <si>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</si>
  <si>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</si>
  <si>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</si>
  <si>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</si>
  <si>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</si>
  <si>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</si>
  <si>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</si>
  <si>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</si>
  <si>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</si>
  <si>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</si>
  <si>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</si>
  <si>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</si>
  <si>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</si>
  <si>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</si>
  <si>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</si>
  <si>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</si>
  <si>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</si>
  <si>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</si>
  <si>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</si>
  <si>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</si>
  <si>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</si>
  <si>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</si>
  <si>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</si>
  <si>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</si>
  <si>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</si>
  <si>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</si>
  <si>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</si>
  <si>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</si>
  <si>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</si>
  <si>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</si>
  <si>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</si>
  <si>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</si>
  <si>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</si>
  <si>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</si>
  <si>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</si>
  <si>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</si>
  <si>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</si>
  <si>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</si>
  <si>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</si>
  <si>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</si>
  <si>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</si>
  <si>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</si>
  <si>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</si>
  <si>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</si>
  <si>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</si>
  <si>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</si>
  <si>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</si>
  <si>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</si>
  <si>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</si>
  <si>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</si>
  <si>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</si>
  <si>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</si>
  <si>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</si>
  <si>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</si>
  <si>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</si>
  <si>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</si>
  <si>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</si>
  <si>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</si>
  <si>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</si>
  <si>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</si>
  <si>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</si>
  <si>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</si>
  <si>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</si>
  <si>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</si>
  <si>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</si>
  <si>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</si>
  <si>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</si>
  <si>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</si>
  <si>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</si>
  <si>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</si>
  <si>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</si>
  <si>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</si>
  <si>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</si>
  <si>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</si>
  <si>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</si>
  <si>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</si>
  <si>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</si>
  <si>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</si>
  <si>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</si>
  <si>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</si>
  <si>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</si>
  <si>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</si>
  <si>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</si>
  <si>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</si>
  <si>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</si>
  <si>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</si>
  <si>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</si>
  <si>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</si>
  <si>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</si>
  <si>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</si>
  <si>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</si>
  <si>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</si>
  <si>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</si>
  <si>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</si>
  <si>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</si>
  <si>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</si>
  <si>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</si>
  <si>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</si>
  <si>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</si>
  <si>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</si>
  <si>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</si>
  <si>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</si>
  <si>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</si>
  <si>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</si>
  <si>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</si>
  <si>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</si>
  <si>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</si>
  <si>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</si>
  <si>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</si>
  <si>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</si>
  <si>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</si>
  <si>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</si>
  <si>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</si>
  <si>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</si>
  <si>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</si>
  <si>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</si>
  <si>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</si>
  <si>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</si>
  <si>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</si>
  <si>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</si>
  <si>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</si>
  <si>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</si>
  <si>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</si>
  <si>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</si>
  <si>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</si>
  <si>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</si>
  <si>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</si>
  <si>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</si>
  <si>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</si>
  <si>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</si>
  <si>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</si>
  <si>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</si>
  <si>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</si>
  <si>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</si>
  <si>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</si>
  <si>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</si>
  <si>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</si>
  <si>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</si>
  <si>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</si>
  <si>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</si>
  <si>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</si>
  <si>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</si>
  <si>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</si>
  <si>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</si>
  <si>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</si>
  <si>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</si>
  <si>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</si>
  <si>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</si>
  <si>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</si>
  <si>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</si>
  <si>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</si>
  <si>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</si>
  <si>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</si>
  <si>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</si>
  <si>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</si>
  <si>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</si>
  <si>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</si>
  <si>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</si>
  <si>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</si>
  <si>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</si>
  <si>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</si>
  <si>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</si>
  <si>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</si>
  <si>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</si>
  <si>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</si>
  <si>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</si>
  <si>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</si>
  <si>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</si>
  <si>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</si>
  <si>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</si>
  <si>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</si>
  <si>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</si>
  <si>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</si>
  <si>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</si>
  <si>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</si>
  <si>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</si>
  <si>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</si>
  <si>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</si>
  <si>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</si>
  <si>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</si>
  <si>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</si>
  <si>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</si>
  <si>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</si>
  <si>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</si>
  <si>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</si>
  <si>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</si>
  <si>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</si>
  <si>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</si>
  <si>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</si>
  <si>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</si>
  <si>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</si>
  <si>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</si>
  <si>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</si>
  <si>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</si>
  <si>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</si>
  <si>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</si>
  <si>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</si>
  <si>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</si>
  <si>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</si>
  <si>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</si>
  <si>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</si>
  <si>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</si>
  <si>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</si>
  <si>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</si>
  <si>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</si>
  <si>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</si>
  <si>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</si>
  <si>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</si>
  <si>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</si>
  <si>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</si>
  <si>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</si>
  <si>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</si>
  <si>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</si>
  <si>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</si>
  <si>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</si>
  <si>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</si>
  <si>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</si>
  <si>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</si>
  <si>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</si>
  <si>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</si>
  <si>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</si>
  <si>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</si>
  <si>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</si>
  <si>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</si>
  <si>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</si>
  <si>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</si>
  <si>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</si>
  <si>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</si>
  <si>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</si>
  <si>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</si>
  <si>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</si>
  <si>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</si>
  <si>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</si>
  <si>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</si>
  <si>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</si>
  <si>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</si>
  <si>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</si>
  <si>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</si>
  <si>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</si>
  <si>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</si>
  <si>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</si>
  <si>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</si>
  <si>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</si>
  <si>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</si>
  <si>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</si>
  <si>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</si>
  <si>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</si>
  <si>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</si>
  <si>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</si>
  <si>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</si>
  <si>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</si>
  <si>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</si>
  <si>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</si>
  <si>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</si>
  <si>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</si>
  <si>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</si>
  <si>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</si>
  <si>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</si>
  <si>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</si>
  <si>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</si>
  <si>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</si>
  <si>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</si>
  <si>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</si>
  <si>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</si>
  <si>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</si>
  <si>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</si>
  <si>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</si>
  <si>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</si>
  <si>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</si>
  <si>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</si>
  <si>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</si>
  <si>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</si>
  <si>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</si>
  <si>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</si>
  <si>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</si>
  <si>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</si>
  <si>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</si>
  <si>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</si>
  <si>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</si>
  <si>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</si>
  <si>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</si>
  <si>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</si>
  <si>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</si>
  <si>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</si>
  <si>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</si>
  <si>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</si>
  <si>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</si>
  <si>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</si>
  <si>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</si>
  <si>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</si>
  <si>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</si>
  <si>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</si>
  <si>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</si>
  <si>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</si>
  <si>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</si>
  <si>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</si>
  <si>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</si>
  <si>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</si>
  <si>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</si>
  <si>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</si>
  <si>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</si>
  <si>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</si>
  <si>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</si>
  <si>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</si>
  <si>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</si>
  <si>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</si>
  <si>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</si>
  <si>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</si>
  <si>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</si>
  <si>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</si>
  <si>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</si>
  <si>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</si>
  <si>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</si>
  <si>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</si>
  <si>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</si>
  <si>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</si>
  <si>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</si>
  <si>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</si>
  <si>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</si>
  <si>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</si>
  <si>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</si>
  <si>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</si>
  <si>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</si>
  <si>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</si>
  <si>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</si>
  <si>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</si>
  <si>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</si>
  <si>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</si>
  <si>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</si>
  <si>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</si>
  <si>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</si>
  <si>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</si>
  <si>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</si>
  <si>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</si>
  <si>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</si>
  <si>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</si>
  <si>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</si>
  <si>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</si>
  <si>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</si>
  <si>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</si>
  <si>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</si>
  <si>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</si>
  <si>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</si>
  <si>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</si>
  <si>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</si>
  <si>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</si>
  <si>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</si>
  <si>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</si>
  <si>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</si>
  <si>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</si>
  <si>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</si>
  <si>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</si>
  <si>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</si>
  <si>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</si>
  <si>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</si>
  <si>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</si>
  <si>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</si>
  <si>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</si>
  <si>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</si>
  <si>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</si>
  <si>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</si>
  <si>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</si>
  <si>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</si>
  <si>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</si>
  <si>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</si>
  <si>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</si>
  <si>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</si>
  <si>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</si>
  <si>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</si>
  <si>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</si>
  <si>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</si>
  <si>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</si>
  <si>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</si>
  <si>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</si>
  <si>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</si>
  <si>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</si>
  <si>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</si>
  <si>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</si>
  <si>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</si>
  <si>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</si>
  <si>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49-081-0360-02</t>
  </si>
  <si>
    <t>Rock Island</t>
  </si>
  <si>
    <t>Carbon Cliff-Barstow School District No. 36</t>
  </si>
  <si>
    <t>2002 Eagle Ridge Drive</t>
  </si>
  <si>
    <t>Silvis</t>
  </si>
  <si>
    <t>arichmond@ccb36.com</t>
  </si>
  <si>
    <t>Andy Richmond</t>
  </si>
  <si>
    <t>309-792-2002</t>
  </si>
  <si>
    <t>309-792-2244</t>
  </si>
  <si>
    <t>Russell J. Rumbold II, CPA</t>
  </si>
  <si>
    <t>rrumbold@gorenzcpa.com</t>
  </si>
  <si>
    <t>Refunding Bonds</t>
  </si>
  <si>
    <t>x</t>
  </si>
  <si>
    <t>Silvis School District No. 34</t>
  </si>
  <si>
    <t>Black Hawk Special Education District</t>
  </si>
  <si>
    <t>Regional Office of Education</t>
  </si>
  <si>
    <t>2017-001</t>
  </si>
  <si>
    <t>Lack of Segregation of Duties</t>
  </si>
  <si>
    <t xml:space="preserve">Partial Corrective action taken - See Finding </t>
  </si>
  <si>
    <t>2018-001. The District Reviews staffing assignments</t>
  </si>
  <si>
    <t>for opportunities to further segregation of duties</t>
  </si>
  <si>
    <t>066-005027</t>
  </si>
  <si>
    <t>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</si>
  <si>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primary responsibility for performing most of the accounting and financial duties including key functions of recording, reconciling, and reporting cash transactions.</t>
  </si>
  <si>
    <t>All district accounting and financial records are primarily maintained by one individual.</t>
  </si>
  <si>
    <t>One individual has the ability to complete and record accounting functions which ideally would be segregated to allow for a more controlled system of checks and balances.</t>
  </si>
  <si>
    <t>The Board of Education has determined that one individual is sufficient to perform the required duties.</t>
  </si>
  <si>
    <t>The Board should take steps it considers necessary to limit the risks that a lack of segregation of duties presents, such as, but not limited to, hiring additional staff.</t>
  </si>
  <si>
    <t>Assigned duties and available district staff are reviewed annually for increased opportunities to further segregate duties.</t>
  </si>
  <si>
    <t>Adverse due to the use of the Regulatory Basis of Accounting.</t>
  </si>
  <si>
    <t xml:space="preserve">
Part A - 9 - See Finding 2018-002
Part C - 20 - See Finding  2018-001</t>
  </si>
  <si>
    <t>Capital Lease</t>
  </si>
  <si>
    <t>No contracts for the year ended June 30, 2018</t>
  </si>
  <si>
    <t>Page 10, Line 74 - Head Start Meals</t>
  </si>
  <si>
    <t>Page 10, Line 81 - Pop and Water Sales</t>
  </si>
  <si>
    <t>Page 11, Line 107 - Refunds and Reimbursements</t>
  </si>
  <si>
    <t>Page 12, Line 171 - State Library Grant</t>
  </si>
  <si>
    <t>Page 14, Line 272 - Federal Library Grant</t>
  </si>
  <si>
    <t>Page 19, Line 237 - Playground Supervisor Benefits</t>
  </si>
  <si>
    <t>Page 24, Line 32 - Addition of Capital Leases Less Retired Amount</t>
  </si>
  <si>
    <t>Page 29, Line 80 - "PLEASE ENTER CONTRACTS PAID IN CURRENT YEAR"</t>
  </si>
  <si>
    <t>For the current fiscal year under audit, the district did not have any qualifying contracts</t>
  </si>
  <si>
    <t>exceeding the $25,000 limit.</t>
  </si>
  <si>
    <t>Page 15, Line 41 - Playground Supervisor Salary and Benefits</t>
  </si>
  <si>
    <t>The negative cash and investment balances incurred in May 2018 resulted in loans that were not formally approved by the District's Board of Education.</t>
  </si>
  <si>
    <t>The common bank account provided the cash flow for the Capital Projects Fund to expend more resources than the Capital Projects Fund had on hand during May 2018.</t>
  </si>
  <si>
    <t>The District will take the auditor's recommendation under consideration.</t>
  </si>
  <si>
    <t>105 ILCS 5/10-22.33 and 105 ILCS 5/20-4 define the funds that can make and/or receive interfund loans and the procedures for making these loans.</t>
  </si>
  <si>
    <t>The District maintains a common checking account for most of the funds of the District, including the Education, Operations and Maintenance, Debt Service, Transportation, IMRF, Capital Projects, Working Cash, and Fire Safety Funds.</t>
  </si>
  <si>
    <t>The Capital Projects Fund incurred negative cash and investment balances during May 2018.</t>
  </si>
  <si>
    <t>The District should monitor the cash and investment balances and follow the statutory procedures making interfund loans when needed.</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</si>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</sst>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54" fillId="0" borderId="0" xfId="3" applyFont="1" applyAlignment="1" applyProtection="1">
      <alignment horizontal="center" vertical="center"/>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11" fillId="0" borderId="0" xfId="3"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A8A4052B-66DE-4DF0-A681-233C23FEFCE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94EC2A0-2272-463C-806B-526D193B12F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t="s">
        <v>2086</v>
      </c>
      <c r="B13" s="2038"/>
      <c r="C13" s="2038"/>
      <c r="D13" s="2038"/>
      <c r="E13" s="2038"/>
      <c r="F13" s="2038"/>
      <c r="G13" s="2038"/>
      <c r="H13" s="2039"/>
      <c r="I13" s="31"/>
      <c r="J13" s="30"/>
      <c r="K13" s="28"/>
      <c r="L13" s="30"/>
      <c r="M13" s="30"/>
      <c r="N13" s="30"/>
      <c r="O13" s="30"/>
      <c r="P13" s="30"/>
      <c r="Q13" s="30"/>
      <c r="R13" s="30"/>
      <c r="S13" s="30"/>
      <c r="T13" s="2042" t="s">
        <v>2078</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2087</v>
      </c>
      <c r="B15" s="2040"/>
      <c r="C15" s="2040"/>
      <c r="D15" s="2040"/>
      <c r="E15" s="2040"/>
      <c r="F15" s="2040"/>
      <c r="G15" s="2040"/>
      <c r="H15" s="2041"/>
      <c r="T15" s="2046" t="s">
        <v>2095</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2088</v>
      </c>
      <c r="B17" s="1997"/>
      <c r="C17" s="1997"/>
      <c r="D17" s="1997"/>
      <c r="E17" s="1997"/>
      <c r="F17" s="1997"/>
      <c r="G17" s="1997"/>
      <c r="H17" s="2022"/>
      <c r="T17" s="2053" t="s">
        <v>2079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2089</v>
      </c>
      <c r="B19" s="1982"/>
      <c r="C19" s="1982"/>
      <c r="D19" s="1982"/>
      <c r="E19" s="1982"/>
      <c r="F19" s="1982"/>
      <c r="G19" s="1982"/>
      <c r="H19" s="1962"/>
      <c r="I19" s="30"/>
      <c r="J19" s="99"/>
      <c r="K19" s="40"/>
      <c r="L19" s="38"/>
      <c r="M19" s="112" t="s">
        <v>333</v>
      </c>
      <c r="P19" s="27"/>
      <c r="Q19" s="27"/>
      <c r="R19" s="27"/>
      <c r="S19" s="31"/>
      <c r="T19" s="2036" t="s">
        <v>2080</v>
      </c>
      <c r="U19" s="1961"/>
      <c r="V19" s="1961"/>
      <c r="W19" s="1962"/>
      <c r="X19" s="2051" t="s">
        <v>2081</v>
      </c>
      <c r="Y19" s="2052"/>
      <c r="Z19" s="2049">
        <v>61614</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2090</v>
      </c>
      <c r="B21" s="1961"/>
      <c r="C21" s="1961"/>
      <c r="D21" s="1961"/>
      <c r="E21" s="1961"/>
      <c r="F21" s="1961"/>
      <c r="G21" s="1961"/>
      <c r="H21" s="1962"/>
      <c r="I21" s="2016" t="s">
        <v>699</v>
      </c>
      <c r="J21" s="2011"/>
      <c r="K21" s="2011"/>
      <c r="L21" s="2011"/>
      <c r="M21" s="2011"/>
      <c r="N21" s="2011"/>
      <c r="O21" s="2011"/>
      <c r="P21" s="2011"/>
      <c r="Q21" s="2011"/>
      <c r="R21" s="2011"/>
      <c r="S21" s="2017"/>
      <c r="T21" s="2060" t="s">
        <v>2082</v>
      </c>
      <c r="U21" s="2061"/>
      <c r="V21" s="2061"/>
      <c r="W21" s="2061"/>
      <c r="X21" s="2066" t="s">
        <v>2083</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2091</v>
      </c>
      <c r="B23" s="2014"/>
      <c r="C23" s="2014"/>
      <c r="D23" s="2014"/>
      <c r="E23" s="2014"/>
      <c r="F23" s="2014"/>
      <c r="G23" s="2014"/>
      <c r="H23" s="2015"/>
      <c r="T23" s="1996" t="s">
        <v>2107</v>
      </c>
      <c r="U23" s="2059"/>
      <c r="V23" s="2059"/>
      <c r="W23" s="2059"/>
      <c r="X23" s="2063">
        <v>44530</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61282</v>
      </c>
      <c r="B25" s="1961"/>
      <c r="C25" s="1961"/>
      <c r="D25" s="1961"/>
      <c r="E25" s="1961"/>
      <c r="F25" s="1961"/>
      <c r="G25" s="1961"/>
      <c r="H25" s="1962"/>
      <c r="I25" s="113"/>
      <c r="J25" s="1985"/>
      <c r="K25" s="1985"/>
      <c r="L25" s="1985"/>
      <c r="M25" s="1985"/>
      <c r="N25" s="1985"/>
      <c r="O25" s="1985"/>
      <c r="P25" s="1985"/>
      <c r="Q25" s="1985"/>
      <c r="R25" s="1985"/>
      <c r="S25" s="1986"/>
      <c r="T25" s="2056" t="s">
        <v>2096</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2092</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2091</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2093</v>
      </c>
      <c r="B42" s="1980"/>
      <c r="C42" s="1981"/>
      <c r="D42" s="1979" t="s">
        <v>2094</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1905</v>
      </c>
      <c r="B2" s="1548" t="s">
        <v>2037</v>
      </c>
      <c r="C2" s="713" t="s">
        <v>1910</v>
      </c>
      <c r="D2" s="713" t="s">
        <v>1911</v>
      </c>
      <c r="E2" s="713" t="s">
        <v>1912</v>
      </c>
      <c r="F2" s="713" t="s">
        <v>1913</v>
      </c>
    </row>
    <row r="3" spans="1:6" ht="12" customHeight="1" x14ac:dyDescent="0.2">
      <c r="A3" s="2203"/>
      <c r="B3" s="1545"/>
      <c r="C3" s="1546"/>
      <c r="D3" s="1547" t="s">
        <v>274</v>
      </c>
      <c r="E3" s="1546"/>
      <c r="F3" s="1547" t="s">
        <v>275</v>
      </c>
    </row>
    <row r="4" spans="1:6" ht="13.7" customHeight="1" x14ac:dyDescent="0.2">
      <c r="A4" s="714" t="s">
        <v>1217</v>
      </c>
      <c r="B4" s="1769">
        <f>'Revenues 9-14'!C5</f>
        <v>526030</v>
      </c>
      <c r="C4" s="1544">
        <v>165441</v>
      </c>
      <c r="D4" s="1772">
        <f>B4-C4</f>
        <v>360589</v>
      </c>
      <c r="E4" s="1544">
        <v>500298</v>
      </c>
      <c r="F4" s="1772">
        <f>E4-C4</f>
        <v>334857</v>
      </c>
    </row>
    <row r="5" spans="1:6" ht="13.7" customHeight="1" x14ac:dyDescent="0.2">
      <c r="A5" s="714" t="s">
        <v>925</v>
      </c>
      <c r="B5" s="1770">
        <f>'Revenues 9-14'!D5</f>
        <v>79560</v>
      </c>
      <c r="C5" s="583">
        <v>25464</v>
      </c>
      <c r="D5" s="1773">
        <f t="shared" ref="D5:D18" si="0">B5-C5</f>
        <v>54096</v>
      </c>
      <c r="E5" s="583">
        <v>77002</v>
      </c>
      <c r="F5" s="1773">
        <f>E5-C5</f>
        <v>51538</v>
      </c>
    </row>
    <row r="6" spans="1:6" ht="13.7" customHeight="1" x14ac:dyDescent="0.2">
      <c r="A6" s="714" t="s">
        <v>431</v>
      </c>
      <c r="B6" s="1770">
        <f>'Revenues 9-14'!E5</f>
        <v>195529</v>
      </c>
      <c r="C6" s="583">
        <v>63137</v>
      </c>
      <c r="D6" s="1773">
        <f t="shared" si="0"/>
        <v>132392</v>
      </c>
      <c r="E6" s="583">
        <v>190927</v>
      </c>
      <c r="F6" s="1773">
        <f t="shared" ref="F6:F18" si="1">E6-C6</f>
        <v>127790</v>
      </c>
    </row>
    <row r="7" spans="1:6" ht="13.7" customHeight="1" x14ac:dyDescent="0.2">
      <c r="A7" s="714" t="s">
        <v>157</v>
      </c>
      <c r="B7" s="1770">
        <f>'Revenues 9-14'!F5</f>
        <v>31831</v>
      </c>
      <c r="C7" s="583">
        <v>10193</v>
      </c>
      <c r="D7" s="1773">
        <f t="shared" si="0"/>
        <v>21638</v>
      </c>
      <c r="E7" s="583">
        <v>30823</v>
      </c>
      <c r="F7" s="1773">
        <f t="shared" si="1"/>
        <v>20630</v>
      </c>
    </row>
    <row r="8" spans="1:6" ht="13.7" customHeight="1" x14ac:dyDescent="0.2">
      <c r="A8" s="714" t="s">
        <v>1241</v>
      </c>
      <c r="B8" s="1770">
        <f>'Revenues 9-14'!G5</f>
        <v>26545</v>
      </c>
      <c r="C8" s="583">
        <v>8500</v>
      </c>
      <c r="D8" s="1773">
        <f t="shared" si="0"/>
        <v>18045</v>
      </c>
      <c r="E8" s="583">
        <v>25704</v>
      </c>
      <c r="F8" s="1773">
        <f t="shared" si="1"/>
        <v>17204</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0</v>
      </c>
      <c r="C10" s="583">
        <v>0</v>
      </c>
      <c r="D10" s="1773">
        <f t="shared" si="0"/>
        <v>0</v>
      </c>
      <c r="E10" s="583">
        <v>0</v>
      </c>
      <c r="F10" s="1773">
        <f t="shared" si="1"/>
        <v>0</v>
      </c>
    </row>
    <row r="11" spans="1:6" x14ac:dyDescent="0.2">
      <c r="A11" s="714" t="s">
        <v>429</v>
      </c>
      <c r="B11" s="1770">
        <f>'Revenues 9-14'!J5</f>
        <v>6636</v>
      </c>
      <c r="C11" s="583">
        <v>2125</v>
      </c>
      <c r="D11" s="1773">
        <f t="shared" si="0"/>
        <v>4511</v>
      </c>
      <c r="E11" s="583">
        <v>6426</v>
      </c>
      <c r="F11" s="1773">
        <f t="shared" si="1"/>
        <v>4301</v>
      </c>
    </row>
    <row r="12" spans="1:6" ht="13.7" customHeight="1" x14ac:dyDescent="0.2">
      <c r="A12" s="714" t="s">
        <v>159</v>
      </c>
      <c r="B12" s="1770">
        <f>'Revenues 9-14'!K5</f>
        <v>0</v>
      </c>
      <c r="C12" s="583">
        <v>0</v>
      </c>
      <c r="D12" s="1773">
        <f t="shared" si="0"/>
        <v>0</v>
      </c>
      <c r="E12" s="583">
        <v>0</v>
      </c>
      <c r="F12" s="1773">
        <f t="shared" si="1"/>
        <v>0</v>
      </c>
    </row>
    <row r="13" spans="1:6" ht="13.7" customHeight="1" x14ac:dyDescent="0.2">
      <c r="A13" s="714" t="s">
        <v>993</v>
      </c>
      <c r="B13" s="1770">
        <f>SUM('Revenues 9-14'!C6:D6)</f>
        <v>0</v>
      </c>
      <c r="C13" s="583">
        <v>0</v>
      </c>
      <c r="D13" s="1773">
        <f t="shared" si="0"/>
        <v>0</v>
      </c>
      <c r="E13" s="583">
        <v>0</v>
      </c>
      <c r="F13" s="1773">
        <f t="shared" si="1"/>
        <v>0</v>
      </c>
    </row>
    <row r="14" spans="1:6" ht="13.7" customHeight="1" x14ac:dyDescent="0.2">
      <c r="A14" s="714" t="s">
        <v>430</v>
      </c>
      <c r="B14" s="1770">
        <f>SUM('Revenues 9-14'!C7:D7,'Revenues 9-14'!F7:H7)</f>
        <v>5343</v>
      </c>
      <c r="C14" s="583">
        <v>1711</v>
      </c>
      <c r="D14" s="1773">
        <f t="shared" si="0"/>
        <v>3632</v>
      </c>
      <c r="E14" s="583">
        <v>5173</v>
      </c>
      <c r="F14" s="1773">
        <f t="shared" si="1"/>
        <v>3462</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13272</v>
      </c>
      <c r="C16" s="583">
        <v>4250</v>
      </c>
      <c r="D16" s="1773">
        <f t="shared" si="0"/>
        <v>9022</v>
      </c>
      <c r="E16" s="583">
        <v>12852</v>
      </c>
      <c r="F16" s="1773">
        <f t="shared" si="1"/>
        <v>8602</v>
      </c>
    </row>
    <row r="17" spans="1:6" ht="13.7" customHeight="1" x14ac:dyDescent="0.2">
      <c r="A17" s="714" t="s">
        <v>1222</v>
      </c>
      <c r="B17" s="1770">
        <f>'Revenues 9-14'!C10</f>
        <v>0</v>
      </c>
      <c r="C17" s="583">
        <v>0</v>
      </c>
      <c r="D17" s="1773">
        <f t="shared" si="0"/>
        <v>0</v>
      </c>
      <c r="E17" s="583"/>
      <c r="F17" s="1773">
        <f t="shared" si="1"/>
        <v>0</v>
      </c>
    </row>
    <row r="18" spans="1:6" ht="13.7" customHeight="1" x14ac:dyDescent="0.2">
      <c r="A18" s="714" t="s">
        <v>786</v>
      </c>
      <c r="B18" s="1770">
        <f>SUM('Revenues 9-14'!C11:K11)</f>
        <v>0</v>
      </c>
      <c r="C18" s="583">
        <v>0</v>
      </c>
      <c r="D18" s="1773">
        <f t="shared" si="0"/>
        <v>0</v>
      </c>
      <c r="E18" s="583"/>
      <c r="F18" s="1773">
        <f t="shared" si="1"/>
        <v>0</v>
      </c>
    </row>
    <row r="19" spans="1:6" ht="13.7" customHeight="1" thickBot="1" x14ac:dyDescent="0.25">
      <c r="A19" s="1774" t="s">
        <v>1223</v>
      </c>
      <c r="B19" s="1771">
        <f>SUM(B4:B18)</f>
        <v>884746</v>
      </c>
      <c r="C19" s="1771">
        <f>SUM(C4:C18)</f>
        <v>280821</v>
      </c>
      <c r="D19" s="1771">
        <f>SUM(D4:D18)</f>
        <v>603925</v>
      </c>
      <c r="E19" s="1771">
        <f>SUM(E4:E18)</f>
        <v>849205</v>
      </c>
      <c r="F19" s="1771">
        <f>SUM(F4:F18)</f>
        <v>568384</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0"/>
    </row>
    <row r="2" spans="1:7" ht="33.75" x14ac:dyDescent="0.2">
      <c r="A2" s="2229" t="s">
        <v>1905</v>
      </c>
      <c r="B2" s="2230"/>
      <c r="C2" s="1907" t="s">
        <v>2038</v>
      </c>
      <c r="D2" s="722" t="s">
        <v>2045</v>
      </c>
      <c r="E2" s="722" t="s">
        <v>2046</v>
      </c>
      <c r="F2" s="1907" t="s">
        <v>2039</v>
      </c>
    </row>
    <row r="3" spans="1:7" ht="15.75" customHeight="1" x14ac:dyDescent="0.2">
      <c r="A3" s="2231" t="s">
        <v>1176</v>
      </c>
      <c r="B3" s="2232"/>
      <c r="C3" s="2225"/>
      <c r="D3" s="2226"/>
      <c r="E3" s="2226"/>
      <c r="F3" s="2227"/>
    </row>
    <row r="4" spans="1:7" ht="12.75" customHeight="1" thickBot="1" x14ac:dyDescent="0.25">
      <c r="A4" s="2219" t="s">
        <v>651</v>
      </c>
      <c r="B4" s="2220"/>
      <c r="C4" s="579"/>
      <c r="D4" s="579"/>
      <c r="E4" s="579"/>
      <c r="F4" s="1775">
        <f>SUM(C4+D4)-E4</f>
        <v>0</v>
      </c>
    </row>
    <row r="5" spans="1:7" ht="15.75" customHeight="1" thickTop="1" x14ac:dyDescent="0.2">
      <c r="A5" s="2223" t="s">
        <v>1172</v>
      </c>
      <c r="B5" s="2218"/>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5" t="s">
        <v>652</v>
      </c>
      <c r="B15" s="2216"/>
      <c r="C15" s="1775">
        <f>SUM(C6:C14)</f>
        <v>0</v>
      </c>
      <c r="D15" s="1775">
        <f>SUM(D6:D14)</f>
        <v>0</v>
      </c>
      <c r="E15" s="1775">
        <f>SUM(E6:E14)</f>
        <v>0</v>
      </c>
      <c r="F15" s="1775">
        <f>SUM(F6:F14)</f>
        <v>0</v>
      </c>
      <c r="G15" s="550"/>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5"/>
      <c r="D17" s="583"/>
      <c r="E17" s="725"/>
      <c r="F17" s="1775">
        <f>SUM(C17+D17)-E17</f>
        <v>0</v>
      </c>
    </row>
    <row r="18" spans="1:11" ht="12.75" customHeight="1" thickTop="1" thickBot="1" x14ac:dyDescent="0.25">
      <c r="A18" s="2210" t="s">
        <v>6</v>
      </c>
      <c r="B18" s="2211"/>
      <c r="C18" s="725"/>
      <c r="D18" s="583"/>
      <c r="E18" s="725"/>
      <c r="F18" s="1775">
        <f>SUM(C18+D18)-E18</f>
        <v>0</v>
      </c>
    </row>
    <row r="19" spans="1:11" ht="12.75" customHeight="1" thickTop="1" thickBot="1" x14ac:dyDescent="0.25">
      <c r="A19" s="2210" t="s">
        <v>406</v>
      </c>
      <c r="B19" s="2211"/>
      <c r="C19" s="725"/>
      <c r="D19" s="583"/>
      <c r="E19" s="725"/>
      <c r="F19" s="1775">
        <f>SUM(C19+D19)-E19</f>
        <v>0</v>
      </c>
    </row>
    <row r="20" spans="1:11" ht="12.75" customHeight="1" thickTop="1" thickBot="1" x14ac:dyDescent="0.25">
      <c r="A20" s="2210" t="s">
        <v>468</v>
      </c>
      <c r="B20" s="2211"/>
      <c r="C20" s="725"/>
      <c r="D20" s="583"/>
      <c r="E20" s="725"/>
      <c r="F20" s="1775">
        <f>SUM(C20+D20)-E20</f>
        <v>0</v>
      </c>
    </row>
    <row r="21" spans="1:11" ht="14.25" thickTop="1" thickBot="1" x14ac:dyDescent="0.25">
      <c r="A21" s="2215" t="s">
        <v>653</v>
      </c>
      <c r="B21" s="2216"/>
      <c r="C21" s="1775">
        <f>SUM(C17:C20)</f>
        <v>0</v>
      </c>
      <c r="D21" s="1775">
        <f>SUM(D17:D20)</f>
        <v>0</v>
      </c>
      <c r="E21" s="1775">
        <f>SUM(E17:E20)</f>
        <v>0</v>
      </c>
      <c r="F21" s="1775">
        <f>SUM(F17:F20)</f>
        <v>0</v>
      </c>
      <c r="G21" s="550"/>
    </row>
    <row r="22" spans="1:11" ht="15.75" customHeight="1" thickTop="1" x14ac:dyDescent="0.2">
      <c r="A22" s="2217" t="s">
        <v>1174</v>
      </c>
      <c r="B22" s="2218"/>
      <c r="C22" s="2212"/>
      <c r="D22" s="2213"/>
      <c r="E22" s="2213"/>
      <c r="F22" s="2214"/>
    </row>
    <row r="23" spans="1:11" ht="13.5" thickBot="1" x14ac:dyDescent="0.25">
      <c r="A23" s="2219" t="s">
        <v>654</v>
      </c>
      <c r="B23" s="2220"/>
      <c r="C23" s="579"/>
      <c r="D23" s="579"/>
      <c r="E23" s="579"/>
      <c r="F23" s="1775">
        <f>SUM(C23+D23)-E23</f>
        <v>0</v>
      </c>
      <c r="G23" s="550"/>
    </row>
    <row r="24" spans="1:11" ht="15.75" customHeight="1" thickTop="1" x14ac:dyDescent="0.2">
      <c r="A24" s="2217" t="s">
        <v>1175</v>
      </c>
      <c r="B24" s="2218"/>
      <c r="C24" s="2212"/>
      <c r="D24" s="2213"/>
      <c r="E24" s="2213"/>
      <c r="F24" s="2214"/>
    </row>
    <row r="25" spans="1:11" ht="13.5" thickBot="1" x14ac:dyDescent="0.25">
      <c r="A25" s="2219" t="s">
        <v>655</v>
      </c>
      <c r="B25" s="2220"/>
      <c r="C25" s="579"/>
      <c r="D25" s="579"/>
      <c r="E25" s="579"/>
      <c r="F25" s="1775">
        <f>SUM(C25+D25)-E25</f>
        <v>0</v>
      </c>
      <c r="G25" s="550"/>
    </row>
    <row r="26" spans="1:11" ht="15.75" customHeight="1" thickTop="1" x14ac:dyDescent="0.2">
      <c r="A26" s="2223" t="s">
        <v>678</v>
      </c>
      <c r="B26" s="2218"/>
      <c r="C26" s="726"/>
      <c r="D26" s="726"/>
      <c r="E26" s="726"/>
      <c r="F26" s="727"/>
    </row>
    <row r="27" spans="1:11" ht="13.5" thickBot="1" x14ac:dyDescent="0.25">
      <c r="A27" s="2215" t="s">
        <v>1130</v>
      </c>
      <c r="B27" s="2216"/>
      <c r="C27" s="583"/>
      <c r="D27" s="583"/>
      <c r="E27" s="583"/>
      <c r="F27" s="1775">
        <f>SUM(C27+D27)-E27</f>
        <v>0</v>
      </c>
      <c r="G27" s="550"/>
    </row>
    <row r="28" spans="1:11" ht="7.5" customHeight="1" thickTop="1" x14ac:dyDescent="0.2">
      <c r="A28" s="592"/>
    </row>
    <row r="29" spans="1:11" ht="23.25" customHeight="1" x14ac:dyDescent="0.2">
      <c r="A29" s="2221" t="s">
        <v>603</v>
      </c>
      <c r="B29" s="2222"/>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2097</v>
      </c>
      <c r="B31" s="732">
        <v>38629</v>
      </c>
      <c r="C31" s="733">
        <v>1380000</v>
      </c>
      <c r="D31" s="734">
        <v>3</v>
      </c>
      <c r="E31" s="733">
        <v>535000</v>
      </c>
      <c r="F31" s="733"/>
      <c r="G31" s="733"/>
      <c r="H31" s="733">
        <v>170000</v>
      </c>
      <c r="I31" s="1776">
        <f>((E31+F31)-H31)+G31</f>
        <v>365000</v>
      </c>
      <c r="J31" s="733">
        <f>I31-72684</f>
        <v>292316</v>
      </c>
      <c r="K31" s="735"/>
    </row>
    <row r="32" spans="1:11" ht="12" customHeight="1" x14ac:dyDescent="0.2">
      <c r="A32" s="731" t="s">
        <v>2117</v>
      </c>
      <c r="B32" s="732"/>
      <c r="C32" s="733"/>
      <c r="D32" s="734">
        <v>7</v>
      </c>
      <c r="E32" s="733"/>
      <c r="F32" s="733"/>
      <c r="G32" s="733">
        <f>167602-61126</f>
        <v>106476</v>
      </c>
      <c r="H32" s="733"/>
      <c r="I32" s="1776">
        <f>((E32+F32)-H32)+G32</f>
        <v>106476</v>
      </c>
      <c r="J32" s="733">
        <f>I32</f>
        <v>106476</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1380000</v>
      </c>
      <c r="D49" s="744"/>
      <c r="E49" s="1776">
        <f t="shared" ref="E49:J49" si="2">SUM(E31:E48)</f>
        <v>535000</v>
      </c>
      <c r="F49" s="1776">
        <f t="shared" si="2"/>
        <v>0</v>
      </c>
      <c r="G49" s="1776">
        <f t="shared" si="2"/>
        <v>106476</v>
      </c>
      <c r="H49" s="1776">
        <f t="shared" si="2"/>
        <v>170000</v>
      </c>
      <c r="I49" s="1776">
        <f t="shared" si="2"/>
        <v>471476</v>
      </c>
      <c r="J49" s="1776">
        <f t="shared" si="2"/>
        <v>398792</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4" t="s">
        <v>605</v>
      </c>
      <c r="C52" s="2205"/>
      <c r="D52" s="2205"/>
      <c r="E52" s="748" t="s">
        <v>900</v>
      </c>
      <c r="F52" s="2206" t="s">
        <v>2117</v>
      </c>
      <c r="G52" s="2207"/>
      <c r="H52" s="735"/>
      <c r="I52" s="735"/>
      <c r="J52" s="745"/>
    </row>
    <row r="53" spans="1:11" ht="11.25" customHeight="1" x14ac:dyDescent="0.2">
      <c r="A53" s="749" t="s">
        <v>969</v>
      </c>
      <c r="B53" s="750" t="s">
        <v>1008</v>
      </c>
      <c r="C53" s="745"/>
      <c r="D53" s="736"/>
      <c r="E53" s="748" t="s">
        <v>518</v>
      </c>
      <c r="F53" s="2208"/>
      <c r="G53" s="2209"/>
      <c r="H53" s="735"/>
      <c r="I53" s="735"/>
      <c r="J53" s="745"/>
    </row>
    <row r="54" spans="1:11" ht="11.25" customHeight="1" x14ac:dyDescent="0.2">
      <c r="A54" s="751" t="s">
        <v>970</v>
      </c>
      <c r="B54" s="746" t="s">
        <v>1009</v>
      </c>
      <c r="C54" s="745"/>
      <c r="D54" s="736"/>
      <c r="E54" s="748" t="s">
        <v>519</v>
      </c>
      <c r="F54" s="2208"/>
      <c r="G54" s="220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0"/>
      <c r="I1" s="759"/>
      <c r="J1" s="433"/>
    </row>
    <row r="2" spans="1:11" ht="26.25" x14ac:dyDescent="0.2">
      <c r="A2" s="2252" t="s">
        <v>1776</v>
      </c>
      <c r="B2" s="2253"/>
      <c r="C2" s="2253"/>
      <c r="D2" s="2253"/>
      <c r="E2" s="2254"/>
      <c r="F2" s="760" t="s">
        <v>960</v>
      </c>
      <c r="G2" s="761" t="s">
        <v>1773</v>
      </c>
      <c r="H2" s="761" t="s">
        <v>430</v>
      </c>
      <c r="I2" s="761" t="s">
        <v>1220</v>
      </c>
      <c r="J2" s="761" t="s">
        <v>1919</v>
      </c>
      <c r="K2" s="761" t="s">
        <v>140</v>
      </c>
    </row>
    <row r="3" spans="1:11" x14ac:dyDescent="0.2">
      <c r="A3" s="2255" t="s">
        <v>1698</v>
      </c>
      <c r="B3" s="2256"/>
      <c r="C3" s="2256"/>
      <c r="D3" s="2256"/>
      <c r="E3" s="2257"/>
      <c r="F3" s="762"/>
      <c r="G3" s="763"/>
      <c r="H3" s="763"/>
      <c r="I3" s="763"/>
      <c r="J3" s="764"/>
      <c r="K3" s="764"/>
    </row>
    <row r="4" spans="1:11" x14ac:dyDescent="0.2">
      <c r="A4" s="2258" t="s">
        <v>387</v>
      </c>
      <c r="B4" s="2259"/>
      <c r="C4" s="2259"/>
      <c r="D4" s="2259"/>
      <c r="E4" s="2205"/>
      <c r="F4" s="765"/>
      <c r="G4" s="766"/>
      <c r="H4" s="767"/>
      <c r="I4" s="766"/>
      <c r="J4" s="768"/>
      <c r="K4" s="768"/>
    </row>
    <row r="5" spans="1:11" x14ac:dyDescent="0.2">
      <c r="A5" s="2236" t="s">
        <v>1129</v>
      </c>
      <c r="B5" s="2237"/>
      <c r="C5" s="2237"/>
      <c r="D5" s="2237"/>
      <c r="E5" s="2238"/>
      <c r="F5" s="769" t="s">
        <v>903</v>
      </c>
      <c r="G5" s="770"/>
      <c r="H5" s="763">
        <v>5343</v>
      </c>
      <c r="I5" s="771"/>
      <c r="J5" s="772"/>
      <c r="K5" s="772"/>
    </row>
    <row r="6" spans="1:11" x14ac:dyDescent="0.2">
      <c r="A6" s="773" t="s">
        <v>744</v>
      </c>
      <c r="B6" s="774"/>
      <c r="C6" s="774"/>
      <c r="D6" s="774"/>
      <c r="E6" s="775"/>
      <c r="F6" s="776" t="s">
        <v>904</v>
      </c>
      <c r="G6" s="763"/>
      <c r="H6" s="763">
        <v>3</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110662</v>
      </c>
      <c r="K8" s="768"/>
    </row>
    <row r="9" spans="1:11" x14ac:dyDescent="0.2">
      <c r="A9" s="777" t="s">
        <v>140</v>
      </c>
      <c r="B9" s="778"/>
      <c r="C9" s="778"/>
      <c r="D9" s="778"/>
      <c r="E9" s="779"/>
      <c r="F9" s="776" t="s">
        <v>908</v>
      </c>
      <c r="G9" s="781"/>
      <c r="H9" s="770"/>
      <c r="I9" s="770"/>
      <c r="J9" s="780"/>
      <c r="K9" s="764"/>
    </row>
    <row r="10" spans="1:11" x14ac:dyDescent="0.2">
      <c r="A10" s="2236" t="s">
        <v>1920</v>
      </c>
      <c r="B10" s="2237"/>
      <c r="C10" s="2237"/>
      <c r="D10" s="2237"/>
      <c r="E10" s="2239"/>
      <c r="F10" s="782" t="s">
        <v>917</v>
      </c>
      <c r="G10" s="781"/>
      <c r="H10" s="783"/>
      <c r="I10" s="763"/>
      <c r="J10" s="764"/>
      <c r="K10" s="764"/>
    </row>
    <row r="11" spans="1:11" x14ac:dyDescent="0.2">
      <c r="A11" s="2236" t="s">
        <v>162</v>
      </c>
      <c r="B11" s="2237"/>
      <c r="C11" s="2237"/>
      <c r="D11" s="2237"/>
      <c r="E11" s="2238"/>
      <c r="F11" s="769" t="s">
        <v>907</v>
      </c>
      <c r="G11" s="770"/>
      <c r="H11" s="763"/>
      <c r="I11" s="763"/>
      <c r="J11" s="764"/>
      <c r="K11" s="772"/>
    </row>
    <row r="12" spans="1:11" ht="13.5" thickBot="1" x14ac:dyDescent="0.25">
      <c r="A12" s="2263" t="s">
        <v>961</v>
      </c>
      <c r="B12" s="2264"/>
      <c r="C12" s="2264"/>
      <c r="D12" s="2264"/>
      <c r="E12" s="2265"/>
      <c r="F12" s="1777"/>
      <c r="G12" s="1778">
        <f>SUM(G5:G11)</f>
        <v>0</v>
      </c>
      <c r="H12" s="1778">
        <f>SUM(H5:H11)</f>
        <v>5346</v>
      </c>
      <c r="I12" s="1778">
        <f>SUM(I5:I11)</f>
        <v>0</v>
      </c>
      <c r="J12" s="1778">
        <f>SUM(J5:J11)</f>
        <v>110662</v>
      </c>
      <c r="K12" s="1778">
        <f>SUM(K5:K11)</f>
        <v>0</v>
      </c>
    </row>
    <row r="13" spans="1:11" ht="13.5" thickTop="1" x14ac:dyDescent="0.2">
      <c r="A13" s="2260" t="s">
        <v>388</v>
      </c>
      <c r="B13" s="2261"/>
      <c r="C13" s="2261"/>
      <c r="D13" s="2261"/>
      <c r="E13" s="2262"/>
      <c r="F13" s="784"/>
      <c r="G13" s="785"/>
      <c r="H13" s="786"/>
      <c r="I13" s="787"/>
      <c r="J13" s="787"/>
      <c r="K13" s="787"/>
    </row>
    <row r="14" spans="1:11" x14ac:dyDescent="0.2">
      <c r="A14" s="2243" t="s">
        <v>476</v>
      </c>
      <c r="B14" s="2243"/>
      <c r="C14" s="2243"/>
      <c r="D14" s="2243"/>
      <c r="E14" s="2244"/>
      <c r="F14" s="788" t="s">
        <v>909</v>
      </c>
      <c r="G14" s="781"/>
      <c r="H14" s="763">
        <v>5346</v>
      </c>
      <c r="I14" s="770"/>
      <c r="J14" s="772"/>
      <c r="K14" s="764"/>
    </row>
    <row r="15" spans="1:11" x14ac:dyDescent="0.2">
      <c r="A15" s="2237" t="s">
        <v>4</v>
      </c>
      <c r="B15" s="2237"/>
      <c r="C15" s="2237"/>
      <c r="D15" s="2237"/>
      <c r="E15" s="2238"/>
      <c r="F15" s="788" t="s">
        <v>910</v>
      </c>
      <c r="G15" s="770"/>
      <c r="H15" s="763"/>
      <c r="I15" s="763"/>
      <c r="J15" s="764">
        <v>88500</v>
      </c>
      <c r="K15" s="764"/>
    </row>
    <row r="16" spans="1:11" x14ac:dyDescent="0.2">
      <c r="A16" s="2237" t="s">
        <v>316</v>
      </c>
      <c r="B16" s="2237"/>
      <c r="C16" s="2237"/>
      <c r="D16" s="2237"/>
      <c r="E16" s="2238"/>
      <c r="F16" s="788" t="s">
        <v>980</v>
      </c>
      <c r="G16" s="771"/>
      <c r="H16" s="766"/>
      <c r="I16" s="766"/>
      <c r="J16" s="768"/>
      <c r="K16" s="768"/>
    </row>
    <row r="17" spans="1:11" x14ac:dyDescent="0.2">
      <c r="A17" s="2268" t="s">
        <v>992</v>
      </c>
      <c r="B17" s="2268"/>
      <c r="C17" s="2268"/>
      <c r="D17" s="2268"/>
      <c r="E17" s="2269"/>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45" t="s">
        <v>1916</v>
      </c>
      <c r="B19" s="2245"/>
      <c r="C19" s="2245"/>
      <c r="D19" s="2245"/>
      <c r="E19" s="2246"/>
      <c r="F19" s="788" t="s">
        <v>990</v>
      </c>
      <c r="G19" s="781"/>
      <c r="H19" s="781"/>
      <c r="I19" s="781"/>
      <c r="J19" s="764"/>
      <c r="K19" s="794"/>
    </row>
    <row r="20" spans="1:11" x14ac:dyDescent="0.2">
      <c r="A20" s="2247" t="s">
        <v>1921</v>
      </c>
      <c r="B20" s="2248"/>
      <c r="C20" s="2248"/>
      <c r="D20" s="2248"/>
      <c r="E20" s="2249"/>
      <c r="F20" s="788" t="s">
        <v>991</v>
      </c>
      <c r="G20" s="781"/>
      <c r="H20" s="781"/>
      <c r="I20" s="781"/>
      <c r="J20" s="764"/>
      <c r="K20" s="794"/>
    </row>
    <row r="21" spans="1:11" ht="13.5" thickBot="1" x14ac:dyDescent="0.25">
      <c r="A21" s="2266" t="s">
        <v>659</v>
      </c>
      <c r="B21" s="2266"/>
      <c r="C21" s="2266"/>
      <c r="D21" s="2266"/>
      <c r="E21" s="2266"/>
      <c r="F21" s="1779"/>
      <c r="G21" s="791"/>
      <c r="H21" s="795"/>
      <c r="I21" s="795"/>
      <c r="J21" s="1780">
        <f>SUM(J18:J20)</f>
        <v>0</v>
      </c>
      <c r="K21" s="792"/>
    </row>
    <row r="22" spans="1:11" ht="13.5" thickTop="1" x14ac:dyDescent="0.2">
      <c r="A22" s="2237" t="s">
        <v>1922</v>
      </c>
      <c r="B22" s="2237"/>
      <c r="C22" s="2237"/>
      <c r="D22" s="2237"/>
      <c r="E22" s="2238"/>
      <c r="F22" s="788" t="s">
        <v>917</v>
      </c>
      <c r="G22" s="781"/>
      <c r="H22" s="763"/>
      <c r="I22" s="763"/>
      <c r="J22" s="796"/>
      <c r="K22" s="764"/>
    </row>
    <row r="23" spans="1:11" ht="13.5" thickBot="1" x14ac:dyDescent="0.25">
      <c r="A23" s="2267" t="s">
        <v>962</v>
      </c>
      <c r="B23" s="2266"/>
      <c r="C23" s="2266"/>
      <c r="D23" s="2266"/>
      <c r="E23" s="2266"/>
      <c r="F23" s="1781"/>
      <c r="G23" s="1778">
        <f>SUM(G14:G16,G21,G22)</f>
        <v>0</v>
      </c>
      <c r="H23" s="1778">
        <f>SUM(H14:H16,H21,H22)</f>
        <v>5346</v>
      </c>
      <c r="I23" s="1778">
        <f>SUM(I14:I16,I21,I22)</f>
        <v>0</v>
      </c>
      <c r="J23" s="1778">
        <f>SUM(J14:J16,J21,J22)</f>
        <v>88500</v>
      </c>
      <c r="K23" s="1778">
        <f>SUM(K14:K16,K21,K22)</f>
        <v>0</v>
      </c>
    </row>
    <row r="24" spans="1:11" ht="14.25" thickTop="1" thickBot="1" x14ac:dyDescent="0.25">
      <c r="A24" s="2267" t="s">
        <v>2026</v>
      </c>
      <c r="B24" s="2266"/>
      <c r="C24" s="2266"/>
      <c r="D24" s="2266"/>
      <c r="E24" s="2266"/>
      <c r="F24" s="1782"/>
      <c r="G24" s="1783">
        <f>SUM(G3,G12)-G23</f>
        <v>0</v>
      </c>
      <c r="H24" s="1783">
        <f>SUM(H3,H12)-H23</f>
        <v>0</v>
      </c>
      <c r="I24" s="1783">
        <f>SUM(I3,I12)-I23</f>
        <v>0</v>
      </c>
      <c r="J24" s="1783">
        <f>SUM(J3,J12)-J23</f>
        <v>22162</v>
      </c>
      <c r="K24" s="1783">
        <f>SUM(K3,K12)-K23</f>
        <v>0</v>
      </c>
    </row>
    <row r="25" spans="1:11" ht="13.5" thickTop="1" x14ac:dyDescent="0.2">
      <c r="A25" s="797" t="s">
        <v>440</v>
      </c>
      <c r="B25" s="798"/>
      <c r="C25" s="798"/>
      <c r="D25" s="798"/>
      <c r="E25" s="799"/>
      <c r="F25" s="800">
        <v>714</v>
      </c>
      <c r="G25" s="801"/>
      <c r="H25" s="801"/>
      <c r="I25" s="801"/>
      <c r="J25" s="796">
        <v>22162</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0"/>
      <c r="I31" s="2241"/>
      <c r="J31" s="2241"/>
      <c r="K31" s="2241"/>
    </row>
    <row r="32" spans="1:11" x14ac:dyDescent="0.2">
      <c r="A32" s="808"/>
      <c r="B32" s="237"/>
      <c r="C32" s="237"/>
      <c r="D32" s="237"/>
      <c r="E32" s="804"/>
      <c r="F32" s="810" t="s">
        <v>561</v>
      </c>
      <c r="G32" s="763"/>
      <c r="H32" s="2242"/>
      <c r="I32" s="2241"/>
      <c r="J32" s="2241"/>
      <c r="K32" s="2241"/>
    </row>
    <row r="33" spans="1:11" ht="1.5" customHeight="1" x14ac:dyDescent="0.2">
      <c r="A33" s="811" t="s">
        <v>1231</v>
      </c>
      <c r="B33" s="364"/>
      <c r="C33" s="364"/>
      <c r="D33" s="364"/>
      <c r="E33" s="364"/>
      <c r="F33" s="364"/>
      <c r="G33" s="812"/>
      <c r="H33" s="2242"/>
      <c r="I33" s="2241"/>
      <c r="J33" s="2241"/>
      <c r="K33" s="2241"/>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7" t="s">
        <v>562</v>
      </c>
      <c r="B41" s="2250"/>
      <c r="C41" s="2250"/>
      <c r="D41" s="2250"/>
      <c r="E41" s="2250"/>
      <c r="F41" s="225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5"/>
      <c r="E1" s="826"/>
      <c r="F1" s="826"/>
      <c r="G1" s="827"/>
      <c r="H1" s="828"/>
      <c r="I1" s="829"/>
      <c r="J1" s="2270"/>
      <c r="K1" s="2271"/>
      <c r="L1" s="2271"/>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713769</v>
      </c>
      <c r="D5" s="840">
        <v>0</v>
      </c>
      <c r="E5" s="840">
        <v>0</v>
      </c>
      <c r="F5" s="1780">
        <f>(C5+D5)-E5</f>
        <v>713769</v>
      </c>
      <c r="G5" s="836"/>
      <c r="H5" s="841"/>
      <c r="I5" s="841"/>
      <c r="J5" s="841"/>
      <c r="K5" s="792"/>
      <c r="L5" s="1789">
        <f>F5-K5</f>
        <v>713769</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6462979</v>
      </c>
      <c r="D8" s="843">
        <v>0</v>
      </c>
      <c r="E8" s="843">
        <v>0</v>
      </c>
      <c r="F8" s="1780">
        <f>(C8+D8)-E8</f>
        <v>6462979</v>
      </c>
      <c r="G8" s="842">
        <v>50</v>
      </c>
      <c r="H8" s="764">
        <v>2019386</v>
      </c>
      <c r="I8" s="764">
        <v>129260</v>
      </c>
      <c r="J8" s="764">
        <v>0</v>
      </c>
      <c r="K8" s="1789">
        <f>(H8+I8)-J8</f>
        <v>2148646</v>
      </c>
      <c r="L8" s="1789">
        <f>F8-K8</f>
        <v>4314333</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180757</v>
      </c>
      <c r="D10" s="845">
        <v>0</v>
      </c>
      <c r="E10" s="845">
        <v>0</v>
      </c>
      <c r="F10" s="1784">
        <f>(C10+D10)-E10</f>
        <v>180757</v>
      </c>
      <c r="G10" s="842">
        <v>20</v>
      </c>
      <c r="H10" s="846">
        <v>116946</v>
      </c>
      <c r="I10" s="846">
        <v>9037</v>
      </c>
      <c r="J10" s="846">
        <v>0</v>
      </c>
      <c r="K10" s="1789">
        <f>(H10+I10)-J10</f>
        <v>125983</v>
      </c>
      <c r="L10" s="1789">
        <f>F10-K10</f>
        <v>54774</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470272</v>
      </c>
      <c r="D12" s="843">
        <v>156083</v>
      </c>
      <c r="E12" s="843">
        <v>49367</v>
      </c>
      <c r="F12" s="1780">
        <f>(C12+D12)-E12</f>
        <v>576988</v>
      </c>
      <c r="G12" s="842">
        <v>10</v>
      </c>
      <c r="H12" s="764">
        <v>293301</v>
      </c>
      <c r="I12" s="764">
        <v>57698</v>
      </c>
      <c r="J12" s="764">
        <v>49367</v>
      </c>
      <c r="K12" s="1789">
        <f>(H12+I12)-J12</f>
        <v>301632</v>
      </c>
      <c r="L12" s="1789">
        <f>F12-K12</f>
        <v>275356</v>
      </c>
    </row>
    <row r="13" spans="1:14" ht="14.25" thickTop="1" thickBot="1" x14ac:dyDescent="0.25">
      <c r="A13" s="847" t="s">
        <v>1184</v>
      </c>
      <c r="B13" s="839">
        <v>252</v>
      </c>
      <c r="C13" s="843">
        <v>0</v>
      </c>
      <c r="D13" s="843">
        <v>139000</v>
      </c>
      <c r="E13" s="843">
        <v>0</v>
      </c>
      <c r="F13" s="1780">
        <f>(C13+D13)-E13</f>
        <v>139000</v>
      </c>
      <c r="G13" s="842">
        <v>5</v>
      </c>
      <c r="H13" s="764">
        <v>0</v>
      </c>
      <c r="I13" s="764">
        <v>27800</v>
      </c>
      <c r="J13" s="764">
        <v>0</v>
      </c>
      <c r="K13" s="1789">
        <f>(H13+I13)-J13</f>
        <v>27800</v>
      </c>
      <c r="L13" s="1789">
        <f>F13-K13</f>
        <v>111200</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0</v>
      </c>
      <c r="D15" s="843">
        <v>9800</v>
      </c>
      <c r="E15" s="843">
        <v>0</v>
      </c>
      <c r="F15" s="1780">
        <f>(C15+D15)-E15</f>
        <v>9800</v>
      </c>
      <c r="G15" s="848" t="s">
        <v>917</v>
      </c>
      <c r="H15" s="780"/>
      <c r="I15" s="780"/>
      <c r="J15" s="780"/>
      <c r="K15" s="780"/>
      <c r="L15" s="1789">
        <f>F15-K15</f>
        <v>9800</v>
      </c>
    </row>
    <row r="16" spans="1:14" ht="15" customHeight="1" thickTop="1" thickBot="1" x14ac:dyDescent="0.25">
      <c r="A16" s="1785" t="s">
        <v>664</v>
      </c>
      <c r="B16" s="1786">
        <v>200</v>
      </c>
      <c r="C16" s="1780">
        <f>SUM(C3,C5:C6,C8:C10,C12:C15)</f>
        <v>7827777</v>
      </c>
      <c r="D16" s="1780">
        <f>SUM(D3,D5:D6,D8:D10,D12:D15)</f>
        <v>304883</v>
      </c>
      <c r="E16" s="1780">
        <f>SUM(E3,E5:E6,E8:E10,E12:E15)</f>
        <v>49367</v>
      </c>
      <c r="F16" s="1780">
        <f>SUM(F3,F5:F6,F8:F10,F12:F15)</f>
        <v>8083293</v>
      </c>
      <c r="G16" s="842"/>
      <c r="H16" s="1780">
        <f>SUM(H3,H6,H8:H10,H12:H14,)</f>
        <v>2429633</v>
      </c>
      <c r="I16" s="1780">
        <f>SUM(I3,I6,I8:I10,I12:I14,)</f>
        <v>223795</v>
      </c>
      <c r="J16" s="1780">
        <f>SUM(J3,J6,J8:J10,J12:J14,)</f>
        <v>49367</v>
      </c>
      <c r="K16" s="1780">
        <f>(H16+I16)-J16</f>
        <v>2604061</v>
      </c>
      <c r="L16" s="1780">
        <f>F16-K16</f>
        <v>5479232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223795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41" sqref="L4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2981844</v>
      </c>
      <c r="G8" s="864"/>
    </row>
    <row r="9" spans="1:7" x14ac:dyDescent="0.2">
      <c r="A9" s="868" t="s">
        <v>480</v>
      </c>
      <c r="B9" s="869" t="s">
        <v>1989</v>
      </c>
      <c r="C9" s="870"/>
      <c r="D9" s="868" t="s">
        <v>522</v>
      </c>
      <c r="E9" s="867"/>
      <c r="F9" s="1933">
        <f>'Expenditures 15-22'!K151</f>
        <v>313602</v>
      </c>
      <c r="G9" s="871"/>
    </row>
    <row r="10" spans="1:7" x14ac:dyDescent="0.2">
      <c r="A10" s="868" t="s">
        <v>520</v>
      </c>
      <c r="B10" s="869" t="s">
        <v>1990</v>
      </c>
      <c r="C10" s="870"/>
      <c r="D10" s="868" t="s">
        <v>522</v>
      </c>
      <c r="E10" s="867"/>
      <c r="F10" s="1933">
        <f>'Expenditures 15-22'!K174</f>
        <v>187693</v>
      </c>
      <c r="G10" s="871"/>
    </row>
    <row r="11" spans="1:7" x14ac:dyDescent="0.2">
      <c r="A11" s="868" t="s">
        <v>481</v>
      </c>
      <c r="B11" s="869" t="s">
        <v>1991</v>
      </c>
      <c r="C11" s="870"/>
      <c r="D11" s="868" t="s">
        <v>522</v>
      </c>
      <c r="E11" s="867"/>
      <c r="F11" s="1933">
        <f>'Expenditures 15-22'!K210</f>
        <v>274323</v>
      </c>
      <c r="G11" s="871"/>
    </row>
    <row r="12" spans="1:7" x14ac:dyDescent="0.2">
      <c r="A12" s="868" t="s">
        <v>482</v>
      </c>
      <c r="B12" s="869" t="s">
        <v>1992</v>
      </c>
      <c r="C12" s="870"/>
      <c r="D12" s="868" t="s">
        <v>522</v>
      </c>
      <c r="E12" s="867"/>
      <c r="F12" s="1933">
        <f>'Expenditures 15-22'!K295</f>
        <v>62081</v>
      </c>
      <c r="G12" s="871"/>
    </row>
    <row r="13" spans="1:7" x14ac:dyDescent="0.2">
      <c r="A13" s="868" t="s">
        <v>108</v>
      </c>
      <c r="B13" s="869" t="s">
        <v>1993</v>
      </c>
      <c r="C13" s="870"/>
      <c r="D13" s="868" t="s">
        <v>522</v>
      </c>
      <c r="E13" s="867"/>
      <c r="F13" s="1933">
        <f>'Expenditures 15-22'!K342</f>
        <v>31923</v>
      </c>
      <c r="G13" s="872"/>
    </row>
    <row r="14" spans="1:7" ht="12" customHeight="1" thickBot="1" x14ac:dyDescent="0.25">
      <c r="A14" s="1790"/>
      <c r="B14" s="1791"/>
      <c r="C14" s="1792"/>
      <c r="D14" s="1793" t="s">
        <v>522</v>
      </c>
      <c r="E14" s="1794" t="s">
        <v>1015</v>
      </c>
      <c r="F14" s="1795">
        <f>SUM(F8:F13)</f>
        <v>3851466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65210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83826</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53235</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524</v>
      </c>
      <c r="G52" s="864"/>
    </row>
    <row r="53" spans="1:7" x14ac:dyDescent="0.2">
      <c r="A53" s="868" t="s">
        <v>479</v>
      </c>
      <c r="B53" s="868" t="s">
        <v>1551</v>
      </c>
      <c r="C53" s="888">
        <f>'Expenditures 15-22'!B102</f>
        <v>4000</v>
      </c>
      <c r="D53" s="887" t="str">
        <f>'Expenditures 15-22'!A102</f>
        <v>Total Payments to Other Govt Units</v>
      </c>
      <c r="E53" s="867"/>
      <c r="F53" s="1937">
        <f>'Expenditures 15-22'!K102</f>
        <v>141340</v>
      </c>
      <c r="G53" s="864"/>
    </row>
    <row r="54" spans="1:7" x14ac:dyDescent="0.2">
      <c r="A54" s="868" t="s">
        <v>479</v>
      </c>
      <c r="B54" s="868" t="s">
        <v>1552</v>
      </c>
      <c r="C54" s="888" t="s">
        <v>1039</v>
      </c>
      <c r="D54" s="884" t="s">
        <v>1157</v>
      </c>
      <c r="E54" s="867"/>
      <c r="F54" s="1937">
        <f>'Expenditures 15-22'!G114</f>
        <v>24790</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52593</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170000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16656</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139000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3023</v>
      </c>
      <c r="G67" s="864"/>
    </row>
    <row r="68" spans="1:8" x14ac:dyDescent="0.2">
      <c r="A68" s="868" t="s">
        <v>482</v>
      </c>
      <c r="B68" s="868" t="s">
        <v>1555</v>
      </c>
      <c r="C68" s="885" t="str">
        <f>'Expenditures 15-22'!B218</f>
        <v>1225</v>
      </c>
      <c r="D68" s="891" t="str">
        <f>'Expenditures 15-22'!A218</f>
        <v>Special Education Programs - Pre-K</v>
      </c>
      <c r="E68" s="867"/>
      <c r="F68" s="1937">
        <f>'Expenditures 15-22'!K218</f>
        <v>2933</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753130</v>
      </c>
      <c r="G76" s="864"/>
    </row>
    <row r="77" spans="1:8" s="892" customFormat="1" ht="12" customHeight="1" thickTop="1" thickBot="1" x14ac:dyDescent="0.25">
      <c r="A77" s="1799"/>
      <c r="B77" s="1796"/>
      <c r="C77" s="1792"/>
      <c r="D77" s="1797" t="s">
        <v>2012</v>
      </c>
      <c r="E77" s="1794"/>
      <c r="F77" s="1800">
        <f>(F14-F76)</f>
        <v>3098336</v>
      </c>
      <c r="G77" s="868"/>
    </row>
    <row r="78" spans="1:8" s="892" customFormat="1" ht="12" customHeight="1" thickTop="1" x14ac:dyDescent="0.2">
      <c r="A78" s="1801"/>
      <c r="B78" s="1796"/>
      <c r="C78" s="1792"/>
      <c r="D78" s="1797" t="s">
        <v>2059</v>
      </c>
      <c r="E78" s="1794"/>
      <c r="F78" s="897">
        <v>261.37</v>
      </c>
      <c r="G78" s="898"/>
      <c r="H78" s="868"/>
    </row>
    <row r="79" spans="1:8" s="892" customFormat="1" ht="12" customHeight="1" thickBot="1" x14ac:dyDescent="0.25">
      <c r="A79" s="1802"/>
      <c r="B79" s="1796"/>
      <c r="C79" s="1792"/>
      <c r="D79" s="1797" t="s">
        <v>2013</v>
      </c>
      <c r="E79" s="1794" t="s">
        <v>1015</v>
      </c>
      <c r="F79" s="1803">
        <f>IF(F78&gt;0,F77/F78," Complete Line 78")</f>
        <v>11854.214332172782</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19872</v>
      </c>
      <c r="G94" s="911"/>
    </row>
    <row r="95" spans="1:7" x14ac:dyDescent="0.2">
      <c r="A95" s="907" t="s">
        <v>142</v>
      </c>
      <c r="B95" s="907" t="s">
        <v>177</v>
      </c>
      <c r="C95" s="909">
        <v>1700</v>
      </c>
      <c r="D95" s="917" t="str">
        <f>'Revenues 9-14'!A82</f>
        <v>Total District/School Activity Income</v>
      </c>
      <c r="E95" s="905"/>
      <c r="F95" s="1809">
        <f>SUM('Revenues 9-14'!C82,'Revenues 9-14'!D82)</f>
        <v>76</v>
      </c>
      <c r="G95" s="911"/>
    </row>
    <row r="96" spans="1:7" x14ac:dyDescent="0.2">
      <c r="A96" s="907" t="s">
        <v>479</v>
      </c>
      <c r="B96" s="907" t="s">
        <v>178</v>
      </c>
      <c r="C96" s="909">
        <f>'Revenues 9-14'!B84</f>
        <v>1811</v>
      </c>
      <c r="D96" s="910" t="str">
        <f>'Revenues 9-14'!A84</f>
        <v>Rentals - Regular Textbooks</v>
      </c>
      <c r="E96" s="905"/>
      <c r="F96" s="1809">
        <f>'Revenues 9-14'!C84</f>
        <v>2680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4140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4603</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80869</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3244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91769</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176935</v>
      </c>
      <c r="G129" s="929"/>
    </row>
    <row r="130" spans="1:7" x14ac:dyDescent="0.2">
      <c r="A130" s="926" t="s">
        <v>689</v>
      </c>
      <c r="B130" s="926" t="s">
        <v>804</v>
      </c>
      <c r="C130" s="931">
        <v>4300</v>
      </c>
      <c r="D130" s="932" t="str">
        <f>'Revenues 9-14'!A211</f>
        <v>Total Title I</v>
      </c>
      <c r="E130" s="905"/>
      <c r="F130" s="1809">
        <f>SUM('Revenues 9-14'!C211,'Revenues 9-14'!D211,'Revenues 9-14'!F211,'Revenues 9-14'!G211)</f>
        <v>198416</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51560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100496</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13121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8167</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18839</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4999</v>
      </c>
      <c r="G174" s="926"/>
    </row>
    <row r="175" spans="1:7" x14ac:dyDescent="0.2">
      <c r="A175" s="1942" t="s">
        <v>5</v>
      </c>
      <c r="B175" s="1943" t="s">
        <v>2058</v>
      </c>
      <c r="C175" s="1944">
        <v>3100</v>
      </c>
      <c r="D175" s="1945" t="s">
        <v>2061</v>
      </c>
      <c r="E175" s="905"/>
      <c r="F175" s="1929">
        <v>118241.55</v>
      </c>
      <c r="G175" s="926"/>
    </row>
    <row r="176" spans="1:7" x14ac:dyDescent="0.2">
      <c r="A176" s="1942" t="s">
        <v>685</v>
      </c>
      <c r="B176" s="1943" t="s">
        <v>2058</v>
      </c>
      <c r="C176" s="1944">
        <v>3300</v>
      </c>
      <c r="D176" s="1945" t="s">
        <v>2062</v>
      </c>
      <c r="E176" s="905"/>
      <c r="F176" s="1929">
        <v>1408.67</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910186.22000000009</v>
      </c>
    </row>
    <row r="179" spans="1:7" ht="12" customHeight="1" x14ac:dyDescent="0.2">
      <c r="A179" s="1790"/>
      <c r="B179" s="1804"/>
      <c r="C179" s="1805"/>
      <c r="D179" s="1806" t="s">
        <v>2015</v>
      </c>
      <c r="E179" s="1807"/>
      <c r="F179" s="1809">
        <f>'PCTC-OEPP 27-28'!F77-F178</f>
        <v>2188149.7799999998</v>
      </c>
    </row>
    <row r="180" spans="1:7" ht="12" customHeight="1" x14ac:dyDescent="0.2">
      <c r="A180" s="1790"/>
      <c r="B180" s="1804"/>
      <c r="C180" s="1805"/>
      <c r="D180" s="1806" t="s">
        <v>1924</v>
      </c>
      <c r="E180" s="1807"/>
      <c r="F180" s="1809">
        <f>'Cap Outlay Deprec 26'!I18</f>
        <v>223795</v>
      </c>
    </row>
    <row r="181" spans="1:7" ht="12" customHeight="1" x14ac:dyDescent="0.2">
      <c r="A181" s="1790"/>
      <c r="B181" s="1804"/>
      <c r="C181" s="1805"/>
      <c r="D181" s="1806" t="s">
        <v>2016</v>
      </c>
      <c r="E181" s="1807"/>
      <c r="F181" s="1809">
        <f>F179+F180</f>
        <v>2411944.7799999998</v>
      </c>
    </row>
    <row r="182" spans="1:7" ht="12" customHeight="1" x14ac:dyDescent="0.2">
      <c r="A182" s="1790"/>
      <c r="B182" s="1810"/>
      <c r="C182" s="1805"/>
      <c r="D182" s="1806" t="str">
        <f>D78</f>
        <v>9 Month ADA from District Average Daily Attendance/Prior General State Aid Inquiry 2017-2018</v>
      </c>
      <c r="E182" s="1807"/>
      <c r="F182" s="1811">
        <f>'PCTC-OEPP 27-28'!F78</f>
        <v>261.37</v>
      </c>
      <c r="G182" s="929"/>
    </row>
    <row r="183" spans="1:7" ht="12" customHeight="1" thickBot="1" x14ac:dyDescent="0.25">
      <c r="A183" s="1790"/>
      <c r="B183" s="1810"/>
      <c r="C183" s="1805"/>
      <c r="D183" s="1806" t="s">
        <v>2017</v>
      </c>
      <c r="E183" s="1807" t="s">
        <v>1626</v>
      </c>
      <c r="F183" s="1812">
        <f>F181/F182</f>
        <v>9228.0857787810382</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10.710937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4" t="s">
        <v>1926</v>
      </c>
      <c r="B6" s="1555"/>
      <c r="C6" s="1555"/>
      <c r="D6" s="1555"/>
      <c r="E6" s="1555"/>
      <c r="F6" s="1555"/>
      <c r="G6" s="1556"/>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7" t="s">
        <v>1927</v>
      </c>
      <c r="B10" s="1558"/>
      <c r="C10" s="1558"/>
      <c r="D10" s="1558"/>
      <c r="E10" s="1558"/>
      <c r="F10" s="1558"/>
      <c r="G10" s="1559"/>
    </row>
    <row r="11" spans="1:7" ht="17.25" customHeight="1" x14ac:dyDescent="0.25">
      <c r="A11" s="2295" t="s">
        <v>1941</v>
      </c>
      <c r="B11" s="2296"/>
      <c r="C11" s="2296"/>
      <c r="D11" s="2296"/>
      <c r="E11" s="2296"/>
      <c r="F11" s="2296"/>
      <c r="G11" s="2297"/>
    </row>
    <row r="12" spans="1:7" ht="15" customHeight="1" x14ac:dyDescent="0.25">
      <c r="A12" s="1557" t="s">
        <v>1932</v>
      </c>
      <c r="B12" s="1558"/>
      <c r="C12" s="1558"/>
      <c r="D12" s="1558"/>
      <c r="E12" s="1558"/>
      <c r="F12" s="1558"/>
      <c r="G12" s="1559"/>
    </row>
    <row r="13" spans="1:7" ht="32.25" customHeight="1" x14ac:dyDescent="0.25">
      <c r="A13" s="2286" t="s">
        <v>1933</v>
      </c>
      <c r="B13" s="2287"/>
      <c r="C13" s="2287"/>
      <c r="D13" s="2287"/>
      <c r="E13" s="2287"/>
      <c r="F13" s="2287"/>
      <c r="G13" s="2288"/>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9" t="s">
        <v>2118</v>
      </c>
      <c r="B17" s="1958"/>
      <c r="C17" s="1956"/>
      <c r="D17" s="1865"/>
      <c r="E17" s="1560">
        <f t="shared" ref="E17:E141" si="1">IF(D17&lt;=25000,D17,IF(D17&gt;25000,25000,0))</f>
        <v>0</v>
      </c>
      <c r="F17" s="1813">
        <f t="shared" si="0"/>
        <v>0</v>
      </c>
      <c r="G17" s="1814">
        <f>IF(F17=0,0,D17-F17)</f>
        <v>0</v>
      </c>
      <c r="H17" s="1667"/>
    </row>
    <row r="18" spans="1:8" x14ac:dyDescent="0.25">
      <c r="A18" s="1954"/>
      <c r="B18" s="1955"/>
      <c r="C18" s="195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4"/>
      <c r="B19" s="1958"/>
      <c r="C19" s="1956"/>
      <c r="D19" s="1865"/>
      <c r="E19" s="1560">
        <f t="shared" si="2"/>
        <v>0</v>
      </c>
      <c r="F19" s="1813">
        <f t="shared" si="3"/>
        <v>0</v>
      </c>
      <c r="G19" s="1814">
        <f t="shared" si="4"/>
        <v>0</v>
      </c>
    </row>
    <row r="20" spans="1:8" x14ac:dyDescent="0.25">
      <c r="A20" s="1954"/>
      <c r="B20" s="1955"/>
      <c r="C20" s="195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96447</v>
      </c>
      <c r="F10" s="973"/>
      <c r="G10" s="974"/>
      <c r="H10" s="162"/>
      <c r="I10" s="162"/>
    </row>
    <row r="11" spans="1:9" s="667" customFormat="1" ht="22.5" customHeight="1" x14ac:dyDescent="0.2">
      <c r="A11" s="2306" t="s">
        <v>1945</v>
      </c>
      <c r="B11" s="2307"/>
      <c r="C11" s="2307"/>
      <c r="D11" s="2308"/>
      <c r="E11" s="976">
        <v>16953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1927129</v>
      </c>
      <c r="F19" s="1820"/>
      <c r="G19" s="1822">
        <f>'Expenditures 15-22'!K33-SUM('Expenditures 15-22'!G33,'Expenditures 15-22'!I33)+'Expenditures 15-22'!D229</f>
        <v>1927129</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81013</v>
      </c>
      <c r="F21" s="1823"/>
      <c r="G21" s="1826">
        <f>'Expenditures 15-22'!K42-SUM('Expenditures 15-22'!G42,'Expenditures 15-22'!I42)+'Expenditures 15-22'!K120-SUM('Expenditures 15-22'!G120,'Expenditures 15-22'!I120)+'Expenditures 15-22'!K180-SUM('Expenditures 15-22'!G180,'Expenditures 15-22'!I180)+'Expenditures 15-22'!D238</f>
        <v>81013</v>
      </c>
      <c r="H21" s="986"/>
      <c r="I21" s="162"/>
    </row>
    <row r="22" spans="1:9" s="667" customFormat="1" ht="12" customHeight="1" x14ac:dyDescent="0.2">
      <c r="A22" s="993" t="s">
        <v>585</v>
      </c>
      <c r="B22" s="994"/>
      <c r="C22" s="992">
        <v>2200</v>
      </c>
      <c r="D22" s="1823"/>
      <c r="E22" s="1825">
        <f>'Expenditures 15-22'!K47-SUM('Expenditures 15-22'!G47,'Expenditures 15-22'!I47)+'Expenditures 15-22'!D243</f>
        <v>154184</v>
      </c>
      <c r="F22" s="1823"/>
      <c r="G22" s="1826">
        <f>'Expenditures 15-22'!K47-SUM('Expenditures 15-22'!G47,'Expenditures 15-22'!I47)+'Expenditures 15-22'!D243</f>
        <v>154184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309519</v>
      </c>
      <c r="F23" s="1823"/>
      <c r="G23" s="1825">
        <f>'Expenditures 15-22'!K53-SUM('Expenditures 15-22'!G53,'Expenditures 15-22'!I53)+'Expenditures 15-22'!D257+'Expenditures 15-22'!K330-SUM('Expenditures 15-22'!G330,'Expenditures 15-22'!I330)</f>
        <v>309519</v>
      </c>
      <c r="H23" s="986"/>
      <c r="I23" s="162"/>
    </row>
    <row r="24" spans="1:9" s="667" customFormat="1" ht="12" customHeight="1" x14ac:dyDescent="0.2">
      <c r="A24" s="993" t="s">
        <v>587</v>
      </c>
      <c r="B24" s="994"/>
      <c r="C24" s="992">
        <v>2400</v>
      </c>
      <c r="D24" s="1823"/>
      <c r="E24" s="1825">
        <f>'Expenditures 15-22'!K57-SUM('Expenditures 15-22'!G57,'Expenditures 15-22'!I57)+'Expenditures 15-22'!D261</f>
        <v>198719</v>
      </c>
      <c r="F24" s="1823"/>
      <c r="G24" s="1826">
        <f>'Expenditures 15-22'!K57-SUM('Expenditures 15-22'!G57,'Expenditures 15-22'!I57)+'Expenditures 15-22'!D261</f>
        <v>198719</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82620</v>
      </c>
      <c r="E27" s="1825">
        <f>E8</f>
        <v>0</v>
      </c>
      <c r="F27" s="1825">
        <f>'Expenditures 15-22'!K60-SUM('Expenditures 15-22'!G60,'Expenditures 15-22'!I60)+'Expenditures 15-22'!D264-E8</f>
        <v>82620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268160</v>
      </c>
      <c r="F28" s="1827">
        <f>'Expenditures 15-22'!K61-SUM('Expenditures 15-22'!G61,'Expenditures 15-22'!I61)+'Expenditures 15-22'!K124-SUM('Expenditures 15-22'!G124,'Expenditures 15-22'!I124)+'Expenditures 15-22'!D266-E9</f>
        <v>268160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118701</v>
      </c>
      <c r="F29" s="1823"/>
      <c r="G29" s="1826">
        <f>'Expenditures 15-22'!K62-SUM('Expenditures 15-22'!G62,'Expenditures 15-22'!I62)+'Expenditures 15-22'!K125-SUM('Expenditures 15-22'!G125,'Expenditures 15-22'!I125)+'Expenditures 15-22'!K182-SUM('Expenditures 15-22'!G182,'Expenditures 15-22'!I182)+'Expenditures 15-22'!D267</f>
        <v>118701</v>
      </c>
      <c r="H29" s="984"/>
    </row>
    <row r="30" spans="1:9" ht="12" customHeight="1" x14ac:dyDescent="0.2">
      <c r="A30" s="993" t="s">
        <v>102</v>
      </c>
      <c r="B30" s="996"/>
      <c r="C30" s="992">
        <v>2560</v>
      </c>
      <c r="D30" s="1823"/>
      <c r="E30" s="1825">
        <f>'Expenditures 15-22'!K63-SUM('Expenditures 15-22'!G63,'Expenditures 15-22'!I63)+'Expenditures 15-22'!D268-E10</f>
        <v>52378</v>
      </c>
      <c r="F30" s="1823"/>
      <c r="G30" s="1825">
        <f>'Expenditures 15-22'!K63-SUM('Expenditures 15-22'!G63,'Expenditures 15-22'!I63)+'Expenditures 15-22'!D268-E10</f>
        <v>52378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524</v>
      </c>
      <c r="F39" s="1823"/>
      <c r="G39" s="1825">
        <f>'Expenditures 15-22'!K75-SUM('Expenditures 15-22'!G75,'Expenditures 15-22'!I75)+'Expenditures 15-22'!K130-SUM('Expenditures 15-22'!G130,'Expenditures 15-22'!I130)+'Expenditures 15-22'!K185-SUM('Expenditures 15-22'!G185,'Expenditures 15-22'!I185)+'Expenditures 15-22'!D280</f>
        <v>524</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82620</v>
      </c>
      <c r="E41" s="1827">
        <f>SUM(E19:E40)</f>
        <v>3110327</v>
      </c>
      <c r="F41" s="1827">
        <f>SUM(F19:F39)</f>
        <v>350780</v>
      </c>
      <c r="G41" s="1827">
        <f>SUM(G19:G40)</f>
        <v>2842167</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82620</v>
      </c>
      <c r="F43" s="1828" t="s">
        <v>495</v>
      </c>
      <c r="G43" s="1829">
        <f>F41</f>
        <v>350780</v>
      </c>
    </row>
    <row r="44" spans="1:7" ht="12" customHeight="1" x14ac:dyDescent="0.2">
      <c r="A44" s="986"/>
      <c r="B44" s="162"/>
      <c r="C44" s="1000"/>
      <c r="D44" s="1828" t="s">
        <v>494</v>
      </c>
      <c r="E44" s="1829">
        <f>E41</f>
        <v>3110327</v>
      </c>
      <c r="F44" s="1828" t="s">
        <v>494</v>
      </c>
      <c r="G44" s="1829">
        <f>G41</f>
        <v>2842167</v>
      </c>
    </row>
    <row r="45" spans="1:7" ht="12" customHeight="1" x14ac:dyDescent="0.2">
      <c r="A45" s="986"/>
      <c r="B45" s="162"/>
      <c r="C45" s="162"/>
      <c r="D45" s="1830" t="s">
        <v>1063</v>
      </c>
      <c r="E45" s="1831">
        <f>(E43/E44)</f>
        <v>2.6563123427215209E-2</v>
      </c>
      <c r="F45" s="1830" t="s">
        <v>1063</v>
      </c>
      <c r="G45" s="1831">
        <f>(G43/G44)</f>
        <v>0.12341991163784535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41" sqref="L4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3" t="s">
        <v>1446</v>
      </c>
      <c r="B1" s="2323"/>
      <c r="C1" s="2323"/>
      <c r="D1" s="2323"/>
      <c r="E1" s="2323"/>
      <c r="F1" s="232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4" t="s">
        <v>1627</v>
      </c>
      <c r="B5" s="2325"/>
      <c r="C5" s="2326"/>
      <c r="D5" s="2326"/>
      <c r="E5" s="2326"/>
      <c r="F5" s="2326"/>
    </row>
    <row r="6" spans="1:10" ht="12" customHeight="1" x14ac:dyDescent="0.25">
      <c r="A6" s="1873"/>
      <c r="B6" s="1874"/>
      <c r="C6" s="2327" t="str">
        <f>COVER!A17</f>
        <v>Carbon Cliff-Barstow School District No. 36</v>
      </c>
      <c r="D6" s="2327"/>
      <c r="E6" s="2327"/>
      <c r="F6" s="1875"/>
    </row>
    <row r="7" spans="1:10" ht="11.25" customHeight="1" thickBot="1" x14ac:dyDescent="0.3">
      <c r="A7" s="1873"/>
      <c r="B7" s="1874"/>
      <c r="C7" s="2328" t="str">
        <f>COVER!A13</f>
        <v>49-081-0360-02</v>
      </c>
      <c r="D7" s="2328"/>
      <c r="E7" s="232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2098</v>
      </c>
      <c r="D13" s="1888" t="s">
        <v>2098</v>
      </c>
      <c r="E13" s="1891"/>
      <c r="F13" s="1890" t="s">
        <v>2099</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2098</v>
      </c>
      <c r="D26" s="1888" t="s">
        <v>2098</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2098</v>
      </c>
      <c r="D28" s="1888" t="s">
        <v>2098</v>
      </c>
      <c r="E28" s="1891"/>
      <c r="F28" s="1890" t="s">
        <v>2101</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2098</v>
      </c>
      <c r="D30" s="1888" t="s">
        <v>2098</v>
      </c>
      <c r="E30" s="1891"/>
      <c r="F30" s="1890" t="s">
        <v>2099</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6"/>
      <c r="B39" s="1896"/>
      <c r="C39" s="1896"/>
      <c r="D39" s="1896"/>
      <c r="E39" s="1896"/>
      <c r="F39" s="1896"/>
    </row>
    <row r="40" spans="1:11" s="1893" customFormat="1" ht="12" customHeight="1" x14ac:dyDescent="0.25">
      <c r="A40" s="1897" t="s">
        <v>1458</v>
      </c>
      <c r="B40" s="1898"/>
      <c r="C40" s="2318"/>
      <c r="D40" s="2318"/>
      <c r="E40" s="2318"/>
      <c r="F40" s="2319"/>
      <c r="H40" s="1902"/>
      <c r="I40" s="1902"/>
      <c r="J40" s="1902"/>
      <c r="K40" s="1902"/>
    </row>
    <row r="41" spans="1:11" s="1893" customFormat="1" ht="12" customHeight="1" x14ac:dyDescent="0.25">
      <c r="A41" s="2320"/>
      <c r="B41" s="2321"/>
      <c r="C41" s="2321"/>
      <c r="D41" s="2321"/>
      <c r="E41" s="2321"/>
      <c r="F41" s="2322"/>
      <c r="H41" s="1902"/>
      <c r="I41" s="1902"/>
      <c r="J41" s="1902"/>
      <c r="K41" s="1902"/>
    </row>
    <row r="42" spans="1:11" s="1893" customFormat="1" ht="12" customHeight="1" x14ac:dyDescent="0.25">
      <c r="A42" s="2320"/>
      <c r="B42" s="2321"/>
      <c r="C42" s="2321"/>
      <c r="D42" s="2321"/>
      <c r="E42" s="2321"/>
      <c r="F42" s="2322"/>
      <c r="H42" s="1902"/>
      <c r="I42" s="1902"/>
      <c r="J42" s="1902"/>
      <c r="K42" s="1902"/>
    </row>
    <row r="43" spans="1:11" s="1893" customFormat="1" ht="15" x14ac:dyDescent="0.25">
      <c r="A43" s="2309"/>
      <c r="B43" s="2310"/>
      <c r="C43" s="2310"/>
      <c r="D43" s="2310"/>
      <c r="E43" s="2310"/>
      <c r="F43" s="2311"/>
      <c r="H43" s="1902"/>
      <c r="I43" s="1902"/>
      <c r="J43" s="1902"/>
      <c r="K43" s="1902"/>
    </row>
    <row r="44" spans="1:11" s="1893" customFormat="1" ht="12" hidden="1" customHeight="1" x14ac:dyDescent="0.25">
      <c r="A44" s="2309"/>
      <c r="B44" s="2310"/>
      <c r="C44" s="2310"/>
      <c r="D44" s="2310"/>
      <c r="E44" s="2310"/>
      <c r="F44" s="231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Carbon Cliff-Barstow School District No. 36</v>
      </c>
      <c r="J6" s="2337"/>
      <c r="Q6" s="1684"/>
    </row>
    <row r="7" spans="1:17" x14ac:dyDescent="0.2">
      <c r="A7" s="2338" t="s">
        <v>924</v>
      </c>
      <c r="B7" s="2339"/>
      <c r="C7" s="2339"/>
      <c r="D7" s="2339"/>
      <c r="E7" s="2340"/>
      <c r="F7" s="1016"/>
      <c r="G7" s="1008"/>
      <c r="H7" s="1015" t="s">
        <v>390</v>
      </c>
      <c r="I7" s="2341" t="str">
        <f>COVER!A13</f>
        <v>49-081-0360-02</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179006</v>
      </c>
      <c r="F12" s="1038"/>
      <c r="G12" s="1832">
        <f t="shared" ref="G12:G18" si="0">SUM(E12:F12)</f>
        <v>179006</v>
      </c>
      <c r="H12" s="1039">
        <v>177327</v>
      </c>
      <c r="I12" s="1038"/>
      <c r="J12" s="1832">
        <f t="shared" ref="J12:J18" si="1">SUM(H12:I12)</f>
        <v>177327</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179006</v>
      </c>
      <c r="F19" s="1834">
        <f t="shared" si="2"/>
        <v>0</v>
      </c>
      <c r="G19" s="1834">
        <f t="shared" si="2"/>
        <v>179006</v>
      </c>
      <c r="H19" s="1834">
        <f t="shared" si="2"/>
        <v>177327</v>
      </c>
      <c r="I19" s="1834">
        <f t="shared" si="2"/>
        <v>0</v>
      </c>
      <c r="J19" s="1834">
        <f t="shared" si="2"/>
        <v>177327</v>
      </c>
    </row>
    <row r="20" spans="1:10" ht="13.5" thickTop="1" x14ac:dyDescent="0.2">
      <c r="A20" s="1034">
        <v>9</v>
      </c>
      <c r="B20" s="2348" t="s">
        <v>1703</v>
      </c>
      <c r="C20" s="2348"/>
      <c r="D20" s="2349"/>
      <c r="E20" s="1045"/>
      <c r="F20" s="1045"/>
      <c r="G20" s="1045"/>
      <c r="H20" s="1045"/>
      <c r="I20" s="1045"/>
      <c r="J20" s="1835">
        <f>IF(AND(G19&gt;0,J19&gt;0),(((J19-G19)/G19)),"Enter Budget Data")</f>
        <v>-9.3795738690323222E-3</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1944</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89"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2119</v>
      </c>
    </row>
    <row r="6" spans="1:2" x14ac:dyDescent="0.2">
      <c r="A6" s="1067">
        <v>2</v>
      </c>
      <c r="B6" s="329" t="s">
        <v>2120</v>
      </c>
    </row>
    <row r="7" spans="1:2" x14ac:dyDescent="0.2">
      <c r="A7" s="1067">
        <v>3</v>
      </c>
      <c r="B7" s="329" t="s">
        <v>2121</v>
      </c>
    </row>
    <row r="8" spans="1:2" x14ac:dyDescent="0.2">
      <c r="A8" s="1067">
        <v>4</v>
      </c>
      <c r="B8" s="329" t="s">
        <v>2122</v>
      </c>
    </row>
    <row r="9" spans="1:2" x14ac:dyDescent="0.2">
      <c r="A9" s="1067">
        <v>5</v>
      </c>
      <c r="B9" s="329" t="s">
        <v>2123</v>
      </c>
    </row>
    <row r="10" spans="1:2" x14ac:dyDescent="0.2">
      <c r="A10" s="1067">
        <v>6</v>
      </c>
      <c r="B10" s="329" t="s">
        <v>2129</v>
      </c>
    </row>
    <row r="11" spans="1:2" x14ac:dyDescent="0.2">
      <c r="A11" s="1067">
        <v>7</v>
      </c>
      <c r="B11" s="329" t="s">
        <v>2124</v>
      </c>
    </row>
    <row r="12" spans="1:2" x14ac:dyDescent="0.2">
      <c r="A12" s="1067">
        <v>8</v>
      </c>
      <c r="B12" s="329" t="s">
        <v>2125</v>
      </c>
    </row>
    <row r="13" spans="1:2" x14ac:dyDescent="0.2">
      <c r="A13" s="1067">
        <v>9</v>
      </c>
      <c r="B13" s="329" t="s">
        <v>2126</v>
      </c>
    </row>
    <row r="14" spans="1:2" x14ac:dyDescent="0.2">
      <c r="A14" s="1068"/>
      <c r="B14" s="329" t="s">
        <v>2127</v>
      </c>
    </row>
    <row r="15" spans="1:2" x14ac:dyDescent="0.2">
      <c r="A15" s="1068"/>
      <c r="B15" s="329" t="s">
        <v>2128</v>
      </c>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Carbon Cliff-Barstow School District No. 36</v>
      </c>
    </row>
    <row r="52" spans="1:2" x14ac:dyDescent="0.2">
      <c r="A52" s="1068"/>
      <c r="B52" s="329" t="str">
        <f>COVER!A13</f>
        <v>49-081-0360-02</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5"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2056</v>
      </c>
      <c r="B4" s="2376"/>
      <c r="C4" s="2376"/>
      <c r="D4" s="2376"/>
      <c r="E4" s="2376"/>
      <c r="F4" s="2377"/>
      <c r="G4" s="1073"/>
      <c r="H4" s="1073"/>
    </row>
    <row r="5" spans="1:8" ht="14.25" customHeight="1" x14ac:dyDescent="0.2">
      <c r="A5" s="2378" t="s">
        <v>2057</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3069413</v>
      </c>
      <c r="C8" s="1836">
        <f>'Acct Summary 7-8'!D8</f>
        <v>263504</v>
      </c>
      <c r="D8" s="1836">
        <f>'Acct Summary 7-8'!F8</f>
        <v>237151</v>
      </c>
      <c r="E8" s="1836">
        <f>'Acct Summary 7-8'!I8</f>
        <v>0</v>
      </c>
      <c r="F8" s="1836">
        <f>SUM(B8:E8)</f>
        <v>3570068</v>
      </c>
    </row>
    <row r="9" spans="1:8" s="1078" customFormat="1" ht="14.25" customHeight="1" thickBot="1" x14ac:dyDescent="0.25">
      <c r="A9" s="1077" t="s">
        <v>1436</v>
      </c>
      <c r="B9" s="1837">
        <f>'Acct Summary 7-8'!C17</f>
        <v>2981844</v>
      </c>
      <c r="C9" s="1837">
        <f>'Acct Summary 7-8'!D17</f>
        <v>313602</v>
      </c>
      <c r="D9" s="1837">
        <f>'Acct Summary 7-8'!F17</f>
        <v>274323</v>
      </c>
      <c r="E9" s="1836"/>
      <c r="F9" s="1836">
        <f>SUM(B9:E9)</f>
        <v>3569769</v>
      </c>
    </row>
    <row r="10" spans="1:8" s="1078" customFormat="1" ht="14.25" thickTop="1" thickBot="1" x14ac:dyDescent="0.25">
      <c r="A10" s="1079" t="s">
        <v>1437</v>
      </c>
      <c r="B10" s="1838">
        <f>(B8-B9)</f>
        <v>87569</v>
      </c>
      <c r="C10" s="1838">
        <f>(C8-C9)</f>
        <v>-50098</v>
      </c>
      <c r="D10" s="1838">
        <f>(D8-D9)</f>
        <v>-37172</v>
      </c>
      <c r="E10" s="1837">
        <f>(E8-E9)</f>
        <v>0</v>
      </c>
      <c r="F10" s="1839">
        <f>SUM(F8-F9)</f>
        <v>299</v>
      </c>
    </row>
    <row r="11" spans="1:8" s="1078" customFormat="1" ht="14.25" thickTop="1" thickBot="1" x14ac:dyDescent="0.25">
      <c r="A11" s="1080" t="s">
        <v>1785</v>
      </c>
      <c r="B11" s="1840">
        <f>'Acct Summary 7-8'!C81</f>
        <v>756099</v>
      </c>
      <c r="C11" s="1840">
        <f>'Acct Summary 7-8'!D81</f>
        <v>64806</v>
      </c>
      <c r="D11" s="1840">
        <f>'Acct Summary 7-8'!F81</f>
        <v>81503</v>
      </c>
      <c r="E11" s="1840">
        <f>'Acct Summary 7-8'!I81</f>
        <v>35490</v>
      </c>
      <c r="F11" s="1841">
        <f>SUM(B11:E11)</f>
        <v>937898</v>
      </c>
    </row>
    <row r="12" spans="1:8" ht="16.5" customHeight="1" thickTop="1" x14ac:dyDescent="0.2">
      <c r="A12" s="1081"/>
      <c r="B12" s="1082"/>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49-081-0360-02</v>
      </c>
    </row>
    <row r="3" spans="1:2" x14ac:dyDescent="0.2">
      <c r="A3" t="s">
        <v>1013</v>
      </c>
      <c r="B3" s="138" t="str">
        <f>COVER!A15</f>
        <v>Rock Island</v>
      </c>
    </row>
    <row r="4" spans="1:2" x14ac:dyDescent="0.2">
      <c r="A4" t="s">
        <v>1064</v>
      </c>
      <c r="B4" s="138" t="str">
        <f>COVER!A17</f>
        <v>Carbon Cliff-Barstow School District No. 36</v>
      </c>
    </row>
    <row r="5" spans="1:2" x14ac:dyDescent="0.2">
      <c r="A5" t="s">
        <v>728</v>
      </c>
      <c r="B5" s="138" t="str">
        <f>COVER!A38</f>
        <v>Andy Richmond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393351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756099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756099</v>
      </c>
      <c r="D92" s="2" t="str">
        <f t="shared" si="0"/>
        <v>Error?</v>
      </c>
    </row>
    <row r="93" spans="1:4" x14ac:dyDescent="0.2">
      <c r="A93" s="5">
        <v>32</v>
      </c>
      <c r="B93" s="138">
        <f>'Assets-Liab 5-6'!C41</f>
        <v>756099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41193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64806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64806</v>
      </c>
      <c r="D123" s="2" t="str">
        <f t="shared" si="0"/>
        <v>Error?</v>
      </c>
    </row>
    <row r="124" spans="1:4" x14ac:dyDescent="0.2">
      <c r="A124" s="5">
        <v>63</v>
      </c>
      <c r="B124" s="138">
        <f>'Assets-Liab 5-6'!D41</f>
        <v>64806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72684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72684</v>
      </c>
      <c r="D140" s="2" t="str">
        <f t="shared" si="1"/>
        <v>Error?</v>
      </c>
    </row>
    <row r="141" spans="1:4" x14ac:dyDescent="0.2">
      <c r="A141" s="5">
        <v>80</v>
      </c>
      <c r="B141" s="138">
        <f>'Assets-Liab 5-6'!E41</f>
        <v>72684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81503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81503</v>
      </c>
      <c r="D170" s="2" t="str">
        <f t="shared" si="1"/>
        <v>Error?</v>
      </c>
    </row>
    <row r="171" spans="1:4" x14ac:dyDescent="0.2">
      <c r="A171" s="5">
        <v>110</v>
      </c>
      <c r="B171" s="138">
        <f>'Assets-Liab 5-6'!F41</f>
        <v>81503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15947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149668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85444</v>
      </c>
      <c r="D189" s="2" t="str">
        <f t="shared" si="1"/>
        <v>Error?</v>
      </c>
    </row>
    <row r="190" spans="1:4" x14ac:dyDescent="0.2">
      <c r="A190" s="5">
        <v>129</v>
      </c>
      <c r="B190" s="138">
        <f>'Assets-Liab 5-6'!G41</f>
        <v>149668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22162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22162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713769</v>
      </c>
      <c r="D273" s="2" t="str">
        <f t="shared" si="3"/>
        <v>Error?</v>
      </c>
    </row>
    <row r="274" spans="1:4" x14ac:dyDescent="0.2">
      <c r="A274" s="5">
        <v>213</v>
      </c>
      <c r="B274" s="138">
        <f>'Assets-Liab 5-6'!M17</f>
        <v>6462979</v>
      </c>
      <c r="D274" s="2" t="str">
        <f t="shared" si="3"/>
        <v>Error?</v>
      </c>
    </row>
    <row r="275" spans="1:4" x14ac:dyDescent="0.2">
      <c r="A275" s="5">
        <v>214</v>
      </c>
      <c r="B275" s="138">
        <f>'Assets-Liab 5-6'!M18</f>
        <v>180757</v>
      </c>
      <c r="D275" s="2" t="str">
        <f t="shared" si="3"/>
        <v>Error?</v>
      </c>
    </row>
    <row r="276" spans="1:4" x14ac:dyDescent="0.2">
      <c r="A276" s="5">
        <v>215</v>
      </c>
      <c r="B276" s="138">
        <f>'Assets-Liab 5-6'!M19</f>
        <v>715988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8083293</v>
      </c>
      <c r="C279" s="2" t="s">
        <v>594</v>
      </c>
      <c r="D279" s="2" t="str">
        <f t="shared" si="3"/>
        <v>Error?</v>
      </c>
    </row>
    <row r="280" spans="1:4" x14ac:dyDescent="0.2">
      <c r="A280" s="5">
        <v>219</v>
      </c>
      <c r="B280" s="138">
        <f>'Assets-Liab 5-6'!M40</f>
        <v>8083293</v>
      </c>
      <c r="D280" s="2" t="str">
        <f t="shared" si="3"/>
        <v>Error?</v>
      </c>
    </row>
    <row r="281" spans="1:4" x14ac:dyDescent="0.2">
      <c r="A281" s="5">
        <v>220</v>
      </c>
      <c r="B281" s="138">
        <f>'Assets-Liab 5-6'!M41</f>
        <v>8083293</v>
      </c>
      <c r="C281" s="2" t="s">
        <v>594</v>
      </c>
      <c r="D281" s="2" t="str">
        <f t="shared" si="3"/>
        <v>Error?</v>
      </c>
    </row>
    <row r="282" spans="1:4" x14ac:dyDescent="0.2">
      <c r="A282" s="5">
        <v>221</v>
      </c>
      <c r="B282" s="138">
        <f>'Assets-Liab 5-6'!N21</f>
        <v>72684</v>
      </c>
      <c r="D282" s="2" t="str">
        <f t="shared" si="3"/>
        <v>Error?</v>
      </c>
    </row>
    <row r="283" spans="1:4" x14ac:dyDescent="0.2">
      <c r="A283" s="5">
        <v>222</v>
      </c>
      <c r="B283" s="138">
        <f>'Assets-Liab 5-6'!N22</f>
        <v>398792</v>
      </c>
      <c r="D283" s="2" t="str">
        <f t="shared" si="3"/>
        <v>Error?</v>
      </c>
    </row>
    <row r="284" spans="1:4" x14ac:dyDescent="0.2">
      <c r="A284" s="5">
        <v>223</v>
      </c>
      <c r="B284" s="138">
        <f>'Assets-Liab 5-6'!N23</f>
        <v>471476</v>
      </c>
      <c r="C284" s="2" t="s">
        <v>594</v>
      </c>
      <c r="D284" s="2" t="str">
        <f t="shared" si="3"/>
        <v>Error?</v>
      </c>
    </row>
    <row r="285" spans="1:4" x14ac:dyDescent="0.2">
      <c r="A285" s="5">
        <v>224</v>
      </c>
      <c r="B285" s="138">
        <f>'Assets-Liab 5-6'!N36</f>
        <v>471476</v>
      </c>
      <c r="D285" s="2" t="str">
        <f t="shared" si="3"/>
        <v>Error?</v>
      </c>
    </row>
    <row r="286" spans="1:4" x14ac:dyDescent="0.2">
      <c r="A286" s="10">
        <v>225</v>
      </c>
      <c r="D286" s="2" t="str">
        <f t="shared" si="3"/>
        <v>OK</v>
      </c>
    </row>
    <row r="287" spans="1:4" x14ac:dyDescent="0.2">
      <c r="A287" s="5">
        <v>226</v>
      </c>
      <c r="B287" s="138">
        <f>'Assets-Liab 5-6'!N37</f>
        <v>471476</v>
      </c>
      <c r="C287" s="2" t="s">
        <v>594</v>
      </c>
      <c r="D287" s="2" t="str">
        <f t="shared" si="3"/>
        <v>Error?</v>
      </c>
    </row>
    <row r="288" spans="1:4" x14ac:dyDescent="0.2">
      <c r="A288" s="5">
        <v>227</v>
      </c>
      <c r="B288" s="138">
        <f>'Assets-Liab 5-6'!N41</f>
        <v>471476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919381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26764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1459387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9689</v>
      </c>
      <c r="D722" s="2" t="str">
        <f t="shared" si="10"/>
        <v>Error?</v>
      </c>
    </row>
    <row r="723" spans="1:4" x14ac:dyDescent="0.2">
      <c r="A723" s="5">
        <v>662</v>
      </c>
      <c r="B723" s="138">
        <f>'Expenditures 15-22'!C38</f>
        <v>175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39800</v>
      </c>
      <c r="D725" s="2" t="str">
        <f t="shared" si="10"/>
        <v>Error?</v>
      </c>
    </row>
    <row r="726" spans="1:4" x14ac:dyDescent="0.2">
      <c r="A726" s="5">
        <v>665</v>
      </c>
      <c r="B726" s="138">
        <f>'Expenditures 15-22'!C41</f>
        <v>14428</v>
      </c>
      <c r="D726" s="2" t="str">
        <f t="shared" si="10"/>
        <v>Error?</v>
      </c>
    </row>
    <row r="727" spans="1:4" x14ac:dyDescent="0.2">
      <c r="A727" s="5">
        <v>666</v>
      </c>
      <c r="B727" s="138">
        <f>'Expenditures 15-22'!C42</f>
        <v>64092</v>
      </c>
      <c r="C727" s="2" t="s">
        <v>594</v>
      </c>
      <c r="D727" s="2" t="str">
        <f t="shared" si="10"/>
        <v>Error?</v>
      </c>
    </row>
    <row r="728" spans="1:4" x14ac:dyDescent="0.2">
      <c r="A728" s="5">
        <v>667</v>
      </c>
      <c r="B728" s="138">
        <f>'Expenditures 15-22'!C44</f>
        <v>14600</v>
      </c>
      <c r="D728" s="2" t="str">
        <f t="shared" si="10"/>
        <v>Error?</v>
      </c>
    </row>
    <row r="729" spans="1:4" x14ac:dyDescent="0.2">
      <c r="A729" s="5">
        <v>668</v>
      </c>
      <c r="B729" s="138">
        <f>'Expenditures 15-22'!C45</f>
        <v>53511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68111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145352</v>
      </c>
      <c r="D733" s="2" t="str">
        <f t="shared" si="10"/>
        <v>Error?</v>
      </c>
    </row>
    <row r="734" spans="1:4" x14ac:dyDescent="0.2">
      <c r="A734" s="5">
        <v>673</v>
      </c>
      <c r="B734" s="138">
        <f>'Expenditures 15-22'!C53</f>
        <v>145352</v>
      </c>
      <c r="C734" s="2" t="s">
        <v>594</v>
      </c>
      <c r="D734" s="2" t="str">
        <f t="shared" si="10"/>
        <v>Error?</v>
      </c>
    </row>
    <row r="735" spans="1:4" x14ac:dyDescent="0.2">
      <c r="A735" s="5">
        <v>674</v>
      </c>
      <c r="B735" s="138">
        <f>'Expenditures 15-22'!C55</f>
        <v>158311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158311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49820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44054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93874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529740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1989127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245653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3998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345465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1963</v>
      </c>
      <c r="D780" s="2" t="str">
        <f t="shared" si="11"/>
        <v>Error?</v>
      </c>
    </row>
    <row r="781" spans="1:4" x14ac:dyDescent="0.2">
      <c r="A781" s="5">
        <v>720</v>
      </c>
      <c r="B781" s="138">
        <f>'Expenditures 15-22'!D38</f>
        <v>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11252</v>
      </c>
      <c r="D783" s="2" t="str">
        <f t="shared" si="11"/>
        <v>Error?</v>
      </c>
    </row>
    <row r="784" spans="1:4" x14ac:dyDescent="0.2">
      <c r="A784" s="5">
        <v>723</v>
      </c>
      <c r="B784" s="138">
        <f>'Expenditures 15-22'!D41</f>
        <v>1064</v>
      </c>
      <c r="D784" s="2" t="str">
        <f t="shared" si="11"/>
        <v>Error?</v>
      </c>
    </row>
    <row r="785" spans="1:4" x14ac:dyDescent="0.2">
      <c r="A785" s="5">
        <v>724</v>
      </c>
      <c r="B785" s="138">
        <f>'Expenditures 15-22'!D42</f>
        <v>14292</v>
      </c>
      <c r="C785" s="2" t="s">
        <v>594</v>
      </c>
      <c r="D785" s="2" t="str">
        <f t="shared" si="11"/>
        <v>Error?</v>
      </c>
    </row>
    <row r="786" spans="1:4" x14ac:dyDescent="0.2">
      <c r="A786" s="5">
        <v>725</v>
      </c>
      <c r="B786" s="138">
        <f>'Expenditures 15-22'!D44</f>
        <v>2757</v>
      </c>
      <c r="D786" s="2" t="str">
        <f t="shared" si="11"/>
        <v>Error?</v>
      </c>
    </row>
    <row r="787" spans="1:4" x14ac:dyDescent="0.2">
      <c r="A787" s="5">
        <v>726</v>
      </c>
      <c r="B787" s="138">
        <f>'Expenditures 15-22'!D45</f>
        <v>13345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16102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26960</v>
      </c>
      <c r="D791" s="2" t="str">
        <f t="shared" si="11"/>
        <v>Error?</v>
      </c>
    </row>
    <row r="792" spans="1:4" x14ac:dyDescent="0.2">
      <c r="A792" s="5">
        <v>731</v>
      </c>
      <c r="B792" s="138">
        <f>'Expenditures 15-22'!D53</f>
        <v>26960</v>
      </c>
      <c r="C792" s="2" t="s">
        <v>594</v>
      </c>
      <c r="D792" s="2" t="str">
        <f t="shared" si="11"/>
        <v>Error?</v>
      </c>
    </row>
    <row r="793" spans="1:4" x14ac:dyDescent="0.2">
      <c r="A793" s="5">
        <v>732</v>
      </c>
      <c r="B793" s="138">
        <f>'Expenditures 15-22'!D55</f>
        <v>29283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29283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12626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99263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444728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22524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v>
      </c>
      <c r="C843" s="2" t="s">
        <v>594</v>
      </c>
      <c r="D843" s="2" t="str">
        <f t="shared" si="12"/>
        <v>Error?</v>
      </c>
    </row>
    <row r="844" spans="1:4" x14ac:dyDescent="0.2">
      <c r="A844" s="5">
        <v>783</v>
      </c>
      <c r="B844" s="138">
        <f>'Expenditures 15-22'!E44</f>
        <v>7497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7497</v>
      </c>
      <c r="C847" s="2" t="s">
        <v>594</v>
      </c>
      <c r="D847" s="2" t="str">
        <f t="shared" si="12"/>
        <v>Error?</v>
      </c>
    </row>
    <row r="848" spans="1:4" x14ac:dyDescent="0.2">
      <c r="A848" s="5">
        <v>787</v>
      </c>
      <c r="B848" s="138">
        <f>'Expenditures 15-22'!E49</f>
        <v>74358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74358</v>
      </c>
      <c r="C850" s="2" t="s">
        <v>594</v>
      </c>
      <c r="D850" s="2" t="str">
        <f t="shared" si="12"/>
        <v>Error?</v>
      </c>
    </row>
    <row r="851" spans="1:4" x14ac:dyDescent="0.2">
      <c r="A851" s="5">
        <v>790</v>
      </c>
      <c r="B851" s="138">
        <f>'Expenditures 15-22'!E55</f>
        <v>1985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1985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13168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14056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97921</v>
      </c>
      <c r="C871" s="2" t="s">
        <v>594</v>
      </c>
      <c r="D871" s="2" t="str">
        <f t="shared" si="12"/>
        <v>Error?</v>
      </c>
    </row>
    <row r="872" spans="1:4" x14ac:dyDescent="0.2">
      <c r="A872" s="5">
        <v>811</v>
      </c>
      <c r="B872" s="138">
        <f>'Expenditures 15-22'!E75</f>
        <v>524</v>
      </c>
      <c r="D872" s="2" t="str">
        <f t="shared" si="12"/>
        <v>Error?</v>
      </c>
    </row>
    <row r="873" spans="1:4" x14ac:dyDescent="0.2">
      <c r="A873" s="5">
        <v>812</v>
      </c>
      <c r="B873" s="138">
        <f>'Expenditures 15-22'!E114</f>
        <v>178955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10648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1505</v>
      </c>
      <c r="D896" s="2" t="str">
        <f t="shared" si="13"/>
        <v>Error?</v>
      </c>
    </row>
    <row r="897" spans="1:4" x14ac:dyDescent="0.2">
      <c r="A897" s="5">
        <v>836</v>
      </c>
      <c r="B897" s="138">
        <f>'Expenditures 15-22'!F38</f>
        <v>331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1924</v>
      </c>
      <c r="C901" s="2" t="s">
        <v>594</v>
      </c>
      <c r="D901" s="2" t="str">
        <f t="shared" si="13"/>
        <v>Error?</v>
      </c>
    </row>
    <row r="902" spans="1:4" x14ac:dyDescent="0.2">
      <c r="A902" s="5">
        <v>841</v>
      </c>
      <c r="B902" s="138">
        <f>'Expenditures 15-22'!F44</f>
        <v>3560</v>
      </c>
      <c r="D902" s="2" t="str">
        <f t="shared" si="13"/>
        <v>Error?</v>
      </c>
    </row>
    <row r="903" spans="1:4" x14ac:dyDescent="0.2">
      <c r="A903" s="5">
        <v>842</v>
      </c>
      <c r="B903" s="138">
        <f>'Expenditures 15-22'!F45</f>
        <v>46020</v>
      </c>
      <c r="D903" s="2" t="str">
        <f t="shared" si="13"/>
        <v>Error?</v>
      </c>
    </row>
    <row r="904" spans="1:4" x14ac:dyDescent="0.2">
      <c r="A904" s="5">
        <v>843</v>
      </c>
      <c r="B904" s="138">
        <f>'Expenditures 15-22'!F46</f>
        <v>11990</v>
      </c>
      <c r="D904" s="2" t="str">
        <f t="shared" si="13"/>
        <v>Error?</v>
      </c>
    </row>
    <row r="905" spans="1:4" x14ac:dyDescent="0.2">
      <c r="A905" s="5">
        <v>844</v>
      </c>
      <c r="B905" s="138">
        <f>'Expenditures 15-22'!F47</f>
        <v>61570</v>
      </c>
      <c r="C905" s="2" t="s">
        <v>594</v>
      </c>
      <c r="D905" s="2" t="str">
        <f t="shared" si="13"/>
        <v>Error?</v>
      </c>
    </row>
    <row r="906" spans="1:4" x14ac:dyDescent="0.2">
      <c r="A906" s="5">
        <v>845</v>
      </c>
      <c r="B906" s="138">
        <f>'Expenditures 15-22'!F49</f>
        <v>10690</v>
      </c>
      <c r="D906" s="2" t="str">
        <f t="shared" si="13"/>
        <v>Error?</v>
      </c>
    </row>
    <row r="907" spans="1:4" x14ac:dyDescent="0.2">
      <c r="A907" s="5">
        <v>846</v>
      </c>
      <c r="B907" s="138">
        <f>'Expenditures 15-22'!F50</f>
        <v>257</v>
      </c>
      <c r="D907" s="2" t="str">
        <f t="shared" si="13"/>
        <v>Error?</v>
      </c>
    </row>
    <row r="908" spans="1:4" x14ac:dyDescent="0.2">
      <c r="A908" s="5">
        <v>847</v>
      </c>
      <c r="B908" s="138">
        <f>'Expenditures 15-22'!F53</f>
        <v>10947</v>
      </c>
      <c r="C908" s="2" t="s">
        <v>594</v>
      </c>
      <c r="D908" s="2" t="str">
        <f t="shared" si="13"/>
        <v>Error?</v>
      </c>
    </row>
    <row r="909" spans="1:4" x14ac:dyDescent="0.2">
      <c r="A909" s="5">
        <v>848</v>
      </c>
      <c r="B909" s="138">
        <f>'Expenditures 15-22'!F55</f>
        <v>1897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1897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98315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103917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180255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190903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5000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5000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19790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19790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24790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24790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53235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10315</v>
      </c>
      <c r="D1022" s="2" t="str">
        <f t="shared" si="14"/>
        <v>Error?</v>
      </c>
    </row>
    <row r="1023" spans="1:4" x14ac:dyDescent="0.2">
      <c r="A1023" s="5">
        <v>962</v>
      </c>
      <c r="B1023" s="138">
        <f>'Expenditures 15-22'!H50</f>
        <v>6437</v>
      </c>
      <c r="D1023" s="2" t="str">
        <f t="shared" ref="D1023:D1086" si="15">IF(ISBLANK(B1023),"OK",IF(A1023-B1023=0,"OK","Error?"))</f>
        <v>Error?</v>
      </c>
    </row>
    <row r="1024" spans="1:4" x14ac:dyDescent="0.2">
      <c r="A1024" s="5">
        <v>963</v>
      </c>
      <c r="B1024" s="138">
        <f>'Expenditures 15-22'!H53</f>
        <v>16752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16752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83354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153341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1193047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32543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1891259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13157</v>
      </c>
      <c r="C1110" s="2" t="s">
        <v>594</v>
      </c>
      <c r="D1110" s="2" t="str">
        <f t="shared" si="16"/>
        <v>Error?</v>
      </c>
    </row>
    <row r="1111" spans="1:4" x14ac:dyDescent="0.2">
      <c r="A1111" s="5">
        <v>1050</v>
      </c>
      <c r="B1111" s="138">
        <f>'Expenditures 15-22'!K38</f>
        <v>544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51140</v>
      </c>
      <c r="C1113" s="2" t="s">
        <v>594</v>
      </c>
      <c r="D1113" s="2" t="str">
        <f t="shared" si="16"/>
        <v>Error?</v>
      </c>
    </row>
    <row r="1114" spans="1:4" x14ac:dyDescent="0.2">
      <c r="A1114" s="5">
        <v>1053</v>
      </c>
      <c r="B1114" s="138">
        <f>'Expenditures 15-22'!K41</f>
        <v>15492</v>
      </c>
      <c r="C1114" s="2" t="s">
        <v>594</v>
      </c>
      <c r="D1114" s="2" t="str">
        <f t="shared" si="16"/>
        <v>Error?</v>
      </c>
    </row>
    <row r="1115" spans="1:4" x14ac:dyDescent="0.2">
      <c r="A1115" s="5">
        <v>1054</v>
      </c>
      <c r="B1115" s="138">
        <f>'Expenditures 15-22'!K42</f>
        <v>80333</v>
      </c>
      <c r="C1115" s="2" t="s">
        <v>594</v>
      </c>
      <c r="D1115" s="2" t="str">
        <f t="shared" si="16"/>
        <v>Error?</v>
      </c>
    </row>
    <row r="1116" spans="1:4" x14ac:dyDescent="0.2">
      <c r="A1116" s="5">
        <v>1055</v>
      </c>
      <c r="B1116" s="138">
        <f>'Expenditures 15-22'!K44</f>
        <v>28414</v>
      </c>
      <c r="C1116" s="2" t="s">
        <v>594</v>
      </c>
      <c r="D1116" s="2" t="str">
        <f t="shared" si="16"/>
        <v>Error?</v>
      </c>
    </row>
    <row r="1117" spans="1:4" x14ac:dyDescent="0.2">
      <c r="A1117" s="5">
        <v>1056</v>
      </c>
      <c r="B1117" s="138">
        <f>'Expenditures 15-22'!K45</f>
        <v>112876</v>
      </c>
      <c r="C1117" s="2" t="s">
        <v>594</v>
      </c>
      <c r="D1117" s="2" t="str">
        <f t="shared" si="16"/>
        <v>Error?</v>
      </c>
    </row>
    <row r="1118" spans="1:4" x14ac:dyDescent="0.2">
      <c r="A1118" s="5">
        <v>1057</v>
      </c>
      <c r="B1118" s="138">
        <f>'Expenditures 15-22'!K46</f>
        <v>11990</v>
      </c>
      <c r="C1118" s="2" t="s">
        <v>594</v>
      </c>
      <c r="D1118" s="2" t="str">
        <f t="shared" si="16"/>
        <v>Error?</v>
      </c>
    </row>
    <row r="1119" spans="1:4" x14ac:dyDescent="0.2">
      <c r="A1119" s="5">
        <v>1058</v>
      </c>
      <c r="B1119" s="138">
        <f>'Expenditures 15-22'!K47</f>
        <v>153280</v>
      </c>
      <c r="C1119" s="2" t="s">
        <v>594</v>
      </c>
      <c r="D1119" s="2" t="str">
        <f t="shared" si="16"/>
        <v>Error?</v>
      </c>
    </row>
    <row r="1120" spans="1:4" x14ac:dyDescent="0.2">
      <c r="A1120" s="5">
        <v>1059</v>
      </c>
      <c r="B1120" s="138">
        <f>'Expenditures 15-22'!K49</f>
        <v>100363</v>
      </c>
      <c r="C1120" s="2" t="s">
        <v>594</v>
      </c>
      <c r="D1120" s="2" t="str">
        <f t="shared" si="16"/>
        <v>Error?</v>
      </c>
    </row>
    <row r="1121" spans="1:4" x14ac:dyDescent="0.2">
      <c r="A1121" s="5">
        <v>1060</v>
      </c>
      <c r="B1121" s="138">
        <f>'Expenditures 15-22'!K50</f>
        <v>179006</v>
      </c>
      <c r="C1121" s="2" t="s">
        <v>594</v>
      </c>
      <c r="D1121" s="2" t="str">
        <f t="shared" si="16"/>
        <v>Error?</v>
      </c>
    </row>
    <row r="1122" spans="1:4" x14ac:dyDescent="0.2">
      <c r="A1122" s="5">
        <v>1061</v>
      </c>
      <c r="B1122" s="138">
        <f>'Expenditures 15-22'!K53</f>
        <v>279369</v>
      </c>
      <c r="C1122" s="2" t="s">
        <v>594</v>
      </c>
      <c r="D1122" s="2" t="str">
        <f t="shared" si="16"/>
        <v>Error?</v>
      </c>
    </row>
    <row r="1123" spans="1:4" x14ac:dyDescent="0.2">
      <c r="A1123" s="5">
        <v>1062</v>
      </c>
      <c r="B1123" s="138">
        <f>'Expenditures 15-22'!K55</f>
        <v>191476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191476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78119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166144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244263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948721</v>
      </c>
      <c r="C1143" s="2" t="s">
        <v>594</v>
      </c>
      <c r="D1143" s="2" t="str">
        <f t="shared" si="16"/>
        <v>Error?</v>
      </c>
    </row>
    <row r="1144" spans="1:4" x14ac:dyDescent="0.2">
      <c r="A1144" s="5">
        <v>1083</v>
      </c>
      <c r="B1144" s="138">
        <f>'Expenditures 15-22'!K75</f>
        <v>524</v>
      </c>
      <c r="C1144" s="2" t="s">
        <v>594</v>
      </c>
      <c r="D1144" s="2" t="str">
        <f t="shared" si="16"/>
        <v>Error?</v>
      </c>
    </row>
    <row r="1145" spans="1:4" x14ac:dyDescent="0.2">
      <c r="A1145" s="5">
        <v>1084</v>
      </c>
      <c r="B1145" s="138">
        <f>'Expenditures 15-22'!K102</f>
        <v>141340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2981844</v>
      </c>
      <c r="C1152" s="2" t="s">
        <v>594</v>
      </c>
      <c r="D1152" s="2" t="str">
        <f t="shared" si="17"/>
        <v>Error?</v>
      </c>
    </row>
    <row r="1153" spans="1:4" x14ac:dyDescent="0.2">
      <c r="A1153" s="5">
        <v>1092</v>
      </c>
      <c r="B1153" s="138">
        <f>'Expenditures 15-22'!K115</f>
        <v>87569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80936</v>
      </c>
      <c r="D1221" s="2" t="str">
        <f t="shared" si="18"/>
        <v>Error?</v>
      </c>
    </row>
    <row r="1222" spans="1:4" x14ac:dyDescent="0.2">
      <c r="A1222" s="10">
        <v>1161</v>
      </c>
      <c r="D1222" s="2" t="str">
        <f t="shared" si="18"/>
        <v>OK</v>
      </c>
    </row>
    <row r="1223" spans="1:4" x14ac:dyDescent="0.2">
      <c r="A1223" s="5">
        <v>1162</v>
      </c>
      <c r="B1223" s="138">
        <f>'Expenditures 15-22'!C127</f>
        <v>80936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80936</v>
      </c>
      <c r="C1225" s="2" t="s">
        <v>594</v>
      </c>
      <c r="D1225" s="2" t="str">
        <f t="shared" si="18"/>
        <v>Error?</v>
      </c>
    </row>
    <row r="1226" spans="1:4" x14ac:dyDescent="0.2">
      <c r="A1226" s="5">
        <v>1165</v>
      </c>
      <c r="B1226" s="138">
        <f>'Expenditures 15-22'!C151</f>
        <v>80936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17794</v>
      </c>
      <c r="D1229" s="2" t="str">
        <f t="shared" si="18"/>
        <v>Error?</v>
      </c>
    </row>
    <row r="1230" spans="1:4" x14ac:dyDescent="0.2">
      <c r="A1230" s="10">
        <v>1169</v>
      </c>
      <c r="D1230" s="2" t="str">
        <f t="shared" si="18"/>
        <v>OK</v>
      </c>
    </row>
    <row r="1231" spans="1:4" x14ac:dyDescent="0.2">
      <c r="A1231" s="5">
        <v>1170</v>
      </c>
      <c r="B1231" s="138">
        <f>'Expenditures 15-22'!D127</f>
        <v>17794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17794</v>
      </c>
      <c r="C1233" s="2" t="s">
        <v>594</v>
      </c>
      <c r="D1233" s="2" t="str">
        <f t="shared" si="18"/>
        <v>Error?</v>
      </c>
    </row>
    <row r="1234" spans="1:4" x14ac:dyDescent="0.2">
      <c r="A1234" s="5">
        <v>1173</v>
      </c>
      <c r="B1234" s="138">
        <f>'Expenditures 15-22'!D151</f>
        <v>17794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72641</v>
      </c>
      <c r="D1237" s="2" t="str">
        <f t="shared" si="18"/>
        <v>Error?</v>
      </c>
    </row>
    <row r="1238" spans="1:4" x14ac:dyDescent="0.2">
      <c r="A1238" s="10">
        <v>1177</v>
      </c>
      <c r="D1238" s="2" t="str">
        <f t="shared" si="18"/>
        <v>OK</v>
      </c>
    </row>
    <row r="1239" spans="1:4" x14ac:dyDescent="0.2">
      <c r="A1239" s="5">
        <v>1178</v>
      </c>
      <c r="B1239" s="138">
        <f>'Expenditures 15-22'!E127</f>
        <v>72641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72641</v>
      </c>
      <c r="C1241" s="2" t="s">
        <v>594</v>
      </c>
      <c r="D1241" s="2" t="str">
        <f t="shared" si="18"/>
        <v>Error?</v>
      </c>
    </row>
    <row r="1242" spans="1:4" x14ac:dyDescent="0.2">
      <c r="A1242" s="5">
        <v>1181</v>
      </c>
      <c r="B1242" s="138">
        <f>'Expenditures 15-22'!E151</f>
        <v>72641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89638</v>
      </c>
      <c r="D1245" s="2" t="str">
        <f t="shared" si="18"/>
        <v>Error?</v>
      </c>
    </row>
    <row r="1246" spans="1:4" x14ac:dyDescent="0.2">
      <c r="A1246" s="10">
        <v>1185</v>
      </c>
      <c r="D1246" s="2" t="str">
        <f t="shared" si="18"/>
        <v>OK</v>
      </c>
    </row>
    <row r="1247" spans="1:4" x14ac:dyDescent="0.2">
      <c r="A1247" s="5">
        <v>1186</v>
      </c>
      <c r="B1247" s="138">
        <f>'Expenditures 15-22'!F127</f>
        <v>89638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89638</v>
      </c>
      <c r="C1249" s="2" t="s">
        <v>594</v>
      </c>
      <c r="D1249" s="2" t="str">
        <f t="shared" si="18"/>
        <v>Error?</v>
      </c>
    </row>
    <row r="1250" spans="1:4" x14ac:dyDescent="0.2">
      <c r="A1250" s="5">
        <v>1189</v>
      </c>
      <c r="B1250" s="138">
        <f>'Expenditures 15-22'!F151</f>
        <v>89638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52593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52593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52593</v>
      </c>
      <c r="C1258" s="2" t="s">
        <v>594</v>
      </c>
      <c r="D1258" s="2" t="str">
        <f t="shared" si="18"/>
        <v>Error?</v>
      </c>
    </row>
    <row r="1259" spans="1:4" x14ac:dyDescent="0.2">
      <c r="A1259" s="5">
        <v>1198</v>
      </c>
      <c r="B1259" s="138">
        <f>'Expenditures 15-22'!G151</f>
        <v>52593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313602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313602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313602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313602</v>
      </c>
      <c r="C1288" s="2" t="s">
        <v>594</v>
      </c>
      <c r="D1288" s="2" t="str">
        <f t="shared" si="19"/>
        <v>Error?</v>
      </c>
    </row>
    <row r="1289" spans="1:4" x14ac:dyDescent="0.2">
      <c r="A1289" s="5">
        <v>1228</v>
      </c>
      <c r="B1289" s="138">
        <f>'Expenditures 15-22'!K152</f>
        <v>-50098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17693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187693</v>
      </c>
      <c r="C1317" s="2" t="s">
        <v>594</v>
      </c>
      <c r="D1317" s="2" t="str">
        <f t="shared" si="19"/>
        <v>Error?</v>
      </c>
    </row>
    <row r="1318" spans="1:4" x14ac:dyDescent="0.2">
      <c r="A1318" s="5">
        <v>1257</v>
      </c>
      <c r="B1318" s="138">
        <f>'Expenditures 15-22'!H174</f>
        <v>187693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17693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187693</v>
      </c>
      <c r="C1331" s="2" t="s">
        <v>594</v>
      </c>
      <c r="D1331" s="2" t="str">
        <f t="shared" si="19"/>
        <v>Error?</v>
      </c>
    </row>
    <row r="1332" spans="1:4" x14ac:dyDescent="0.2">
      <c r="A1332" s="5">
        <v>1271</v>
      </c>
      <c r="B1332" s="138">
        <f>'Expenditures 15-22'!K174</f>
        <v>187693</v>
      </c>
      <c r="C1332" s="2" t="s">
        <v>594</v>
      </c>
      <c r="D1332" s="2" t="str">
        <f t="shared" si="19"/>
        <v>Error?</v>
      </c>
    </row>
    <row r="1333" spans="1:4" x14ac:dyDescent="0.2">
      <c r="A1333" s="5">
        <v>1272</v>
      </c>
      <c r="B1333" s="138">
        <f>'Expenditures 15-22'!K175</f>
        <v>7978</v>
      </c>
      <c r="C1333" s="2" t="s">
        <v>594</v>
      </c>
      <c r="D1333" s="2" t="str">
        <f t="shared" si="19"/>
        <v>Error?</v>
      </c>
    </row>
    <row r="1334" spans="1:4" x14ac:dyDescent="0.2">
      <c r="A1334" s="10">
        <v>1273</v>
      </c>
      <c r="D1334" s="2" t="str">
        <f t="shared" si="19"/>
        <v>OK</v>
      </c>
    </row>
    <row r="1335" spans="1:4" x14ac:dyDescent="0.2">
      <c r="A1335" s="5">
        <v>1274</v>
      </c>
      <c r="B1335" s="138">
        <f>'Expenditures 15-22'!C182</f>
        <v>2500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2500</v>
      </c>
      <c r="C1339" s="2" t="s">
        <v>594</v>
      </c>
      <c r="D1339" s="2" t="str">
        <f t="shared" si="19"/>
        <v>Error?</v>
      </c>
    </row>
    <row r="1340" spans="1:4" x14ac:dyDescent="0.2">
      <c r="A1340" s="5">
        <v>1279</v>
      </c>
      <c r="B1340" s="138">
        <f>'Expenditures 15-22'!C210</f>
        <v>2500</v>
      </c>
      <c r="C1340" s="2" t="s">
        <v>594</v>
      </c>
      <c r="D1340" s="2" t="str">
        <f t="shared" si="19"/>
        <v>Error?</v>
      </c>
    </row>
    <row r="1341" spans="1:4" x14ac:dyDescent="0.2">
      <c r="A1341" s="5">
        <v>1280</v>
      </c>
      <c r="B1341" s="138">
        <f>'Expenditures 15-22'!D182</f>
        <v>449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449</v>
      </c>
      <c r="C1345" s="2" t="s">
        <v>594</v>
      </c>
      <c r="D1345" s="2" t="str">
        <f t="shared" si="20"/>
        <v>Error?</v>
      </c>
    </row>
    <row r="1346" spans="1:4" x14ac:dyDescent="0.2">
      <c r="A1346" s="5">
        <v>1285</v>
      </c>
      <c r="B1346" s="138">
        <f>'Expenditures 15-22'!D210</f>
        <v>449</v>
      </c>
      <c r="C1346" s="2" t="s">
        <v>594</v>
      </c>
      <c r="D1346" s="2" t="str">
        <f t="shared" si="20"/>
        <v>Error?</v>
      </c>
    </row>
    <row r="1347" spans="1:4" x14ac:dyDescent="0.2">
      <c r="A1347" s="5">
        <v>1286</v>
      </c>
      <c r="B1347" s="138">
        <f>'Expenditures 15-22'!E182</f>
        <v>115718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115718</v>
      </c>
      <c r="C1351" s="2" t="s">
        <v>594</v>
      </c>
      <c r="D1351" s="2" t="str">
        <f t="shared" si="20"/>
        <v>Error?</v>
      </c>
    </row>
    <row r="1352" spans="1:4" x14ac:dyDescent="0.2">
      <c r="A1352" s="5">
        <v>1291</v>
      </c>
      <c r="B1352" s="138">
        <f>'Expenditures 15-22'!E196</f>
        <v>16656</v>
      </c>
      <c r="C1352" s="2" t="s">
        <v>594</v>
      </c>
      <c r="D1352" s="2" t="str">
        <f t="shared" si="20"/>
        <v>Error?</v>
      </c>
    </row>
    <row r="1353" spans="1:4" x14ac:dyDescent="0.2">
      <c r="A1353" s="5">
        <v>1292</v>
      </c>
      <c r="B1353" s="138">
        <f>'Expenditures 15-22'!E210</f>
        <v>132374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139000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139000</v>
      </c>
      <c r="C1364" s="2" t="s">
        <v>594</v>
      </c>
      <c r="D1364" s="2" t="str">
        <f t="shared" si="20"/>
        <v>Error?</v>
      </c>
    </row>
    <row r="1365" spans="1:4" x14ac:dyDescent="0.2">
      <c r="A1365" s="5">
        <v>1304</v>
      </c>
      <c r="B1365" s="138">
        <f>'Expenditures 15-22'!G210</f>
        <v>139000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257667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257667</v>
      </c>
      <c r="C1381" s="2" t="s">
        <v>594</v>
      </c>
      <c r="D1381" s="2" t="str">
        <f t="shared" si="20"/>
        <v>Error?</v>
      </c>
    </row>
    <row r="1382" spans="1:4" x14ac:dyDescent="0.2">
      <c r="A1382" s="5">
        <v>1321</v>
      </c>
      <c r="B1382" s="138">
        <f>'Expenditures 15-22'!K196</f>
        <v>16656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274323</v>
      </c>
      <c r="C1388" s="2" t="s">
        <v>594</v>
      </c>
      <c r="D1388" s="2" t="str">
        <f t="shared" si="20"/>
        <v>Error?</v>
      </c>
    </row>
    <row r="1389" spans="1:4" x14ac:dyDescent="0.2">
      <c r="A1389" s="5">
        <v>1328</v>
      </c>
      <c r="B1389" s="138">
        <f>'Expenditures 15-22'!K211</f>
        <v>-37172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35870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501</v>
      </c>
      <c r="D1415" s="2" t="str">
        <f t="shared" si="21"/>
        <v>Error?</v>
      </c>
    </row>
    <row r="1416" spans="1:4" x14ac:dyDescent="0.2">
      <c r="A1416" s="5">
        <v>1355</v>
      </c>
      <c r="B1416" s="138">
        <f>'Expenditures 15-22'!D237</f>
        <v>41</v>
      </c>
      <c r="D1416" s="2" t="str">
        <f t="shared" si="21"/>
        <v>Error?</v>
      </c>
    </row>
    <row r="1417" spans="1:4" x14ac:dyDescent="0.2">
      <c r="A1417" s="5">
        <v>1356</v>
      </c>
      <c r="B1417" s="138">
        <f>'Expenditures 15-22'!D238</f>
        <v>680</v>
      </c>
      <c r="C1417" s="2" t="s">
        <v>594</v>
      </c>
      <c r="D1417" s="2" t="str">
        <f t="shared" si="21"/>
        <v>Error?</v>
      </c>
    </row>
    <row r="1418" spans="1:4" x14ac:dyDescent="0.2">
      <c r="A1418" s="5">
        <v>1357</v>
      </c>
      <c r="B1418" s="138">
        <f>'Expenditures 15-22'!D240</f>
        <v>162</v>
      </c>
      <c r="D1418" s="2" t="str">
        <f t="shared" si="21"/>
        <v>Error?</v>
      </c>
    </row>
    <row r="1419" spans="1:4" x14ac:dyDescent="0.2">
      <c r="A1419" s="5">
        <v>1358</v>
      </c>
      <c r="B1419" s="138">
        <f>'Expenditures 15-22'!D241</f>
        <v>742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3227</v>
      </c>
      <c r="D1423" s="2" t="str">
        <f t="shared" si="21"/>
        <v>Error?</v>
      </c>
    </row>
    <row r="1424" spans="1:4" x14ac:dyDescent="0.2">
      <c r="A1424" s="5">
        <v>1363</v>
      </c>
      <c r="B1424" s="138">
        <f>'Expenditures 15-22'!D257</f>
        <v>3227</v>
      </c>
      <c r="C1424" s="2" t="s">
        <v>594</v>
      </c>
      <c r="D1424" s="2" t="str">
        <f t="shared" si="21"/>
        <v>Error?</v>
      </c>
    </row>
    <row r="1425" spans="1:4" x14ac:dyDescent="0.2">
      <c r="A1425" s="5">
        <v>1364</v>
      </c>
      <c r="B1425" s="138">
        <f>'Expenditures 15-22'!D259</f>
        <v>7243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7243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4501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7151</v>
      </c>
      <c r="D1431" s="2" t="str">
        <f t="shared" si="21"/>
        <v>Error?</v>
      </c>
    </row>
    <row r="1432" spans="1:4" x14ac:dyDescent="0.2">
      <c r="A1432" s="5">
        <v>1371</v>
      </c>
      <c r="B1432" s="138">
        <f>'Expenditures 15-22'!D267</f>
        <v>34</v>
      </c>
      <c r="D1432" s="2" t="str">
        <f t="shared" si="21"/>
        <v>Error?</v>
      </c>
    </row>
    <row r="1433" spans="1:4" x14ac:dyDescent="0.2">
      <c r="A1433" s="5">
        <v>1372</v>
      </c>
      <c r="B1433" s="138">
        <f>'Expenditures 15-22'!D268</f>
        <v>2471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26211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62081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35870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138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501</v>
      </c>
      <c r="C1479" s="2" t="s">
        <v>594</v>
      </c>
      <c r="D1479" s="2" t="str">
        <f t="shared" si="22"/>
        <v>Error?</v>
      </c>
    </row>
    <row r="1480" spans="1:4" x14ac:dyDescent="0.2">
      <c r="A1480" s="5">
        <v>1419</v>
      </c>
      <c r="B1480" s="138">
        <f>'Expenditures 15-22'!K237</f>
        <v>41</v>
      </c>
      <c r="C1480" s="2" t="s">
        <v>594</v>
      </c>
      <c r="D1480" s="2" t="str">
        <f t="shared" si="22"/>
        <v>Error?</v>
      </c>
    </row>
    <row r="1481" spans="1:4" x14ac:dyDescent="0.2">
      <c r="A1481" s="5">
        <v>1420</v>
      </c>
      <c r="B1481" s="138">
        <f>'Expenditures 15-22'!K238</f>
        <v>680</v>
      </c>
      <c r="C1481" s="2" t="s">
        <v>594</v>
      </c>
      <c r="D1481" s="2" t="str">
        <f t="shared" si="22"/>
        <v>Error?</v>
      </c>
    </row>
    <row r="1482" spans="1:4" x14ac:dyDescent="0.2">
      <c r="A1482" s="5">
        <v>1421</v>
      </c>
      <c r="B1482" s="138">
        <f>'Expenditures 15-22'!K240</f>
        <v>162</v>
      </c>
      <c r="C1482" s="2" t="s">
        <v>594</v>
      </c>
      <c r="D1482" s="2" t="str">
        <f t="shared" si="22"/>
        <v>Error?</v>
      </c>
    </row>
    <row r="1483" spans="1:4" x14ac:dyDescent="0.2">
      <c r="A1483" s="5">
        <v>1422</v>
      </c>
      <c r="B1483" s="138">
        <f>'Expenditures 15-22'!K241</f>
        <v>742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904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3227</v>
      </c>
      <c r="C1487" s="2" t="s">
        <v>594</v>
      </c>
      <c r="D1487" s="2" t="str">
        <f t="shared" si="22"/>
        <v>Error?</v>
      </c>
    </row>
    <row r="1488" spans="1:4" x14ac:dyDescent="0.2">
      <c r="A1488" s="5">
        <v>1427</v>
      </c>
      <c r="B1488" s="138">
        <f>'Expenditures 15-22'!K257</f>
        <v>3227</v>
      </c>
      <c r="C1488" s="2" t="s">
        <v>594</v>
      </c>
      <c r="D1488" s="2" t="str">
        <f t="shared" si="22"/>
        <v>Error?</v>
      </c>
    </row>
    <row r="1489" spans="1:4" x14ac:dyDescent="0.2">
      <c r="A1489" s="5">
        <v>1428</v>
      </c>
      <c r="B1489" s="138">
        <f>'Expenditures 15-22'!K259</f>
        <v>7243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7243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4501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7151</v>
      </c>
      <c r="C1495" s="2" t="s">
        <v>594</v>
      </c>
      <c r="D1495" s="2" t="str">
        <f t="shared" si="22"/>
        <v>Error?</v>
      </c>
    </row>
    <row r="1496" spans="1:4" x14ac:dyDescent="0.2">
      <c r="A1496" s="5">
        <v>1435</v>
      </c>
      <c r="B1496" s="138">
        <f>'Expenditures 15-22'!K267</f>
        <v>34</v>
      </c>
      <c r="C1496" s="2" t="s">
        <v>594</v>
      </c>
      <c r="D1496" s="2" t="str">
        <f t="shared" si="22"/>
        <v>Error?</v>
      </c>
    </row>
    <row r="1497" spans="1:4" x14ac:dyDescent="0.2">
      <c r="A1497" s="5">
        <v>1436</v>
      </c>
      <c r="B1497" s="138">
        <f>'Expenditures 15-22'!K268</f>
        <v>2471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14157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26211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62081</v>
      </c>
      <c r="C1517" s="2" t="s">
        <v>594</v>
      </c>
      <c r="D1517" s="2" t="str">
        <f t="shared" si="22"/>
        <v>Error?</v>
      </c>
    </row>
    <row r="1518" spans="1:4" x14ac:dyDescent="0.2">
      <c r="A1518" s="5">
        <v>1457</v>
      </c>
      <c r="B1518" s="138">
        <f>'Expenditures 15-22'!K296</f>
        <v>6297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88500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88500</v>
      </c>
      <c r="C1547" s="2" t="s">
        <v>594</v>
      </c>
      <c r="D1547" s="2" t="str">
        <f t="shared" si="23"/>
        <v>Error?</v>
      </c>
    </row>
    <row r="1548" spans="1:4" x14ac:dyDescent="0.2">
      <c r="A1548" s="5">
        <v>1487</v>
      </c>
      <c r="B1548" s="138">
        <f>'Expenditures 15-22'!G312</f>
        <v>88500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88500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88500</v>
      </c>
      <c r="C1559" s="2" t="s">
        <v>594</v>
      </c>
      <c r="D1559" s="2" t="str">
        <f t="shared" si="23"/>
        <v>Error?</v>
      </c>
    </row>
    <row r="1560" spans="1:4" x14ac:dyDescent="0.2">
      <c r="A1560" s="5">
        <v>1499</v>
      </c>
      <c r="B1560" s="138">
        <f>'Expenditures 15-22'!K312</f>
        <v>88500</v>
      </c>
      <c r="C1560" s="2" t="s">
        <v>594</v>
      </c>
      <c r="D1560" s="2" t="str">
        <f t="shared" si="23"/>
        <v>Error?</v>
      </c>
    </row>
    <row r="1561" spans="1:4" x14ac:dyDescent="0.2">
      <c r="A1561" s="5">
        <v>1500</v>
      </c>
      <c r="B1561" s="138">
        <f>'Expenditures 15-22'!K313</f>
        <v>22162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668530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756099</v>
      </c>
      <c r="C1630" s="2" t="s">
        <v>594</v>
      </c>
      <c r="D1630" s="2" t="str">
        <f t="shared" si="24"/>
        <v>Error?</v>
      </c>
    </row>
    <row r="1631" spans="1:4" x14ac:dyDescent="0.2">
      <c r="A1631" s="5">
        <v>1570</v>
      </c>
      <c r="B1631" s="138">
        <f>'Acct Summary 7-8'!D79</f>
        <v>95904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64806</v>
      </c>
      <c r="C1644" s="2" t="s">
        <v>594</v>
      </c>
      <c r="D1644" s="2" t="str">
        <f t="shared" si="24"/>
        <v>Error?</v>
      </c>
    </row>
    <row r="1645" spans="1:4" x14ac:dyDescent="0.2">
      <c r="A1645" s="5">
        <v>1584</v>
      </c>
      <c r="B1645" s="138">
        <f>'Acct Summary 7-8'!E79</f>
        <v>64706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72684</v>
      </c>
      <c r="C1658" s="2" t="s">
        <v>594</v>
      </c>
      <c r="D1658" s="2" t="str">
        <f t="shared" si="24"/>
        <v>Error?</v>
      </c>
    </row>
    <row r="1659" spans="1:4" x14ac:dyDescent="0.2">
      <c r="A1659" s="5">
        <v>1598</v>
      </c>
      <c r="B1659" s="138">
        <f>'Acct Summary 7-8'!F79</f>
        <v>118675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81503</v>
      </c>
      <c r="C1672" s="2" t="s">
        <v>594</v>
      </c>
      <c r="D1672" s="2" t="str">
        <f t="shared" si="25"/>
        <v>Error?</v>
      </c>
    </row>
    <row r="1673" spans="1:4" x14ac:dyDescent="0.2">
      <c r="A1673" s="5">
        <v>1612</v>
      </c>
      <c r="B1673" s="138">
        <f>'Acct Summary 7-8'!G79</f>
        <v>143371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149668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22162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526030</v>
      </c>
      <c r="C1744" s="2" t="s">
        <v>594</v>
      </c>
      <c r="D1744" s="2" t="str">
        <f t="shared" si="26"/>
        <v>Error?</v>
      </c>
    </row>
    <row r="1745" spans="1:5" x14ac:dyDescent="0.2">
      <c r="A1745" s="5">
        <v>1684</v>
      </c>
      <c r="B1745" s="138">
        <f>'Tax Sched 23'!B5</f>
        <v>79560</v>
      </c>
      <c r="C1745" s="2" t="s">
        <v>594</v>
      </c>
      <c r="D1745" s="2" t="str">
        <f t="shared" si="26"/>
        <v>Error?</v>
      </c>
    </row>
    <row r="1746" spans="1:5" x14ac:dyDescent="0.2">
      <c r="A1746" s="5">
        <v>1685</v>
      </c>
      <c r="B1746" s="138">
        <f>'Tax Sched 23'!B6</f>
        <v>195529</v>
      </c>
      <c r="C1746" s="2" t="s">
        <v>594</v>
      </c>
      <c r="D1746" s="2" t="str">
        <f t="shared" si="26"/>
        <v>Error?</v>
      </c>
    </row>
    <row r="1747" spans="1:5" x14ac:dyDescent="0.2">
      <c r="A1747" s="5">
        <v>1686</v>
      </c>
      <c r="B1747" s="138">
        <f>'Tax Sched 23'!B7</f>
        <v>31831</v>
      </c>
      <c r="C1747" s="2" t="s">
        <v>594</v>
      </c>
      <c r="D1747" s="2" t="str">
        <f t="shared" si="26"/>
        <v>Error?</v>
      </c>
    </row>
    <row r="1748" spans="1:5" x14ac:dyDescent="0.2">
      <c r="A1748" s="5">
        <v>1687</v>
      </c>
      <c r="B1748" s="138">
        <f>'Tax Sched 23'!B8</f>
        <v>26545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6636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5343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884746</v>
      </c>
      <c r="C1759" s="2" t="s">
        <v>594</v>
      </c>
      <c r="D1759" s="2" t="str">
        <f t="shared" si="26"/>
        <v>Error?</v>
      </c>
    </row>
    <row r="1760" spans="1:5" x14ac:dyDescent="0.2">
      <c r="A1760" s="5">
        <v>1699</v>
      </c>
      <c r="B1760" s="138">
        <f>'Tax Sched 23'!D4</f>
        <v>360589</v>
      </c>
      <c r="C1760" s="2" t="s">
        <v>594</v>
      </c>
      <c r="D1760" s="2" t="str">
        <f t="shared" si="26"/>
        <v>Error?</v>
      </c>
    </row>
    <row r="1761" spans="1:5" x14ac:dyDescent="0.2">
      <c r="A1761" s="5">
        <v>1700</v>
      </c>
      <c r="B1761" s="138">
        <f>'Tax Sched 23'!D5</f>
        <v>54096</v>
      </c>
      <c r="C1761" s="2" t="s">
        <v>594</v>
      </c>
      <c r="D1761" s="2" t="str">
        <f t="shared" si="26"/>
        <v>Error?</v>
      </c>
    </row>
    <row r="1762" spans="1:5" s="8" customFormat="1" x14ac:dyDescent="0.2">
      <c r="A1762" s="5">
        <v>1701</v>
      </c>
      <c r="B1762" s="138">
        <f>'Tax Sched 23'!D6</f>
        <v>132392</v>
      </c>
      <c r="C1762" s="2" t="s">
        <v>594</v>
      </c>
      <c r="D1762" s="2" t="str">
        <f t="shared" si="26"/>
        <v>Error?</v>
      </c>
      <c r="E1762" s="9"/>
    </row>
    <row r="1763" spans="1:5" x14ac:dyDescent="0.2">
      <c r="A1763" s="5">
        <v>1702</v>
      </c>
      <c r="B1763" s="138">
        <f>'Tax Sched 23'!D7</f>
        <v>21638</v>
      </c>
      <c r="C1763" s="2" t="s">
        <v>594</v>
      </c>
      <c r="D1763" s="2" t="str">
        <f t="shared" si="26"/>
        <v>Error?</v>
      </c>
    </row>
    <row r="1764" spans="1:5" x14ac:dyDescent="0.2">
      <c r="A1764" s="5">
        <v>1703</v>
      </c>
      <c r="B1764" s="138">
        <f>'Tax Sched 23'!D8</f>
        <v>18045</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4511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3632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603925</v>
      </c>
      <c r="C1775" s="2" t="s">
        <v>594</v>
      </c>
      <c r="D1775" s="2" t="str">
        <f t="shared" si="26"/>
        <v>Error?</v>
      </c>
    </row>
    <row r="1776" spans="1:5" x14ac:dyDescent="0.2">
      <c r="A1776" s="5">
        <v>1715</v>
      </c>
      <c r="B1776" s="138">
        <f>'Tax Sched 23'!C4</f>
        <v>165441</v>
      </c>
      <c r="D1776" s="2" t="str">
        <f t="shared" si="26"/>
        <v>Error?</v>
      </c>
    </row>
    <row r="1777" spans="1:4" x14ac:dyDescent="0.2">
      <c r="A1777" s="5">
        <v>1716</v>
      </c>
      <c r="B1777" s="138">
        <f>'Tax Sched 23'!C5</f>
        <v>25464</v>
      </c>
      <c r="D1777" s="2" t="str">
        <f t="shared" si="26"/>
        <v>Error?</v>
      </c>
    </row>
    <row r="1778" spans="1:4" x14ac:dyDescent="0.2">
      <c r="A1778" s="5">
        <v>1717</v>
      </c>
      <c r="B1778" s="138">
        <f>'Tax Sched 23'!C6</f>
        <v>63137</v>
      </c>
      <c r="D1778" s="2" t="str">
        <f t="shared" si="26"/>
        <v>Error?</v>
      </c>
    </row>
    <row r="1779" spans="1:4" x14ac:dyDescent="0.2">
      <c r="A1779" s="5">
        <v>1718</v>
      </c>
      <c r="B1779" s="138">
        <f>'Tax Sched 23'!C7</f>
        <v>10193</v>
      </c>
      <c r="D1779" s="2" t="str">
        <f t="shared" si="26"/>
        <v>Error?</v>
      </c>
    </row>
    <row r="1780" spans="1:4" x14ac:dyDescent="0.2">
      <c r="A1780" s="5">
        <v>1719</v>
      </c>
      <c r="B1780" s="138">
        <f>'Tax Sched 23'!C8</f>
        <v>8500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2125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280821</v>
      </c>
      <c r="C1791" s="2" t="s">
        <v>594</v>
      </c>
      <c r="D1791" s="2" t="str">
        <f t="shared" ref="D1791:D1854" si="27">IF(ISBLANK(B1791),"OK",IF(A1791-B1791=0,"OK","Error?"))</f>
        <v>Error?</v>
      </c>
    </row>
    <row r="1792" spans="1:4" x14ac:dyDescent="0.2">
      <c r="A1792" s="5">
        <v>1731</v>
      </c>
      <c r="B1792" s="138">
        <f>'Tax Sched 23'!F4</f>
        <v>334857</v>
      </c>
      <c r="C1792" s="2" t="s">
        <v>594</v>
      </c>
      <c r="D1792" s="2" t="str">
        <f t="shared" si="27"/>
        <v>Error?</v>
      </c>
    </row>
    <row r="1793" spans="1:4" x14ac:dyDescent="0.2">
      <c r="A1793" s="5">
        <v>1732</v>
      </c>
      <c r="B1793" s="138">
        <f>'Tax Sched 23'!F5</f>
        <v>51538</v>
      </c>
      <c r="C1793" s="2" t="s">
        <v>594</v>
      </c>
      <c r="D1793" s="2" t="str">
        <f t="shared" si="27"/>
        <v>Error?</v>
      </c>
    </row>
    <row r="1794" spans="1:4" x14ac:dyDescent="0.2">
      <c r="A1794" s="5">
        <v>1733</v>
      </c>
      <c r="B1794" s="138">
        <f>'Tax Sched 23'!F6</f>
        <v>127790</v>
      </c>
      <c r="C1794" s="2" t="s">
        <v>594</v>
      </c>
      <c r="D1794" s="2" t="str">
        <f t="shared" si="27"/>
        <v>Error?</v>
      </c>
    </row>
    <row r="1795" spans="1:4" x14ac:dyDescent="0.2">
      <c r="A1795" s="5">
        <v>1734</v>
      </c>
      <c r="B1795" s="138">
        <f>'Tax Sched 23'!F7</f>
        <v>20630</v>
      </c>
      <c r="C1795" s="2" t="s">
        <v>594</v>
      </c>
      <c r="D1795" s="2" t="str">
        <f t="shared" si="27"/>
        <v>Error?</v>
      </c>
    </row>
    <row r="1796" spans="1:4" x14ac:dyDescent="0.2">
      <c r="A1796" s="5">
        <v>1735</v>
      </c>
      <c r="B1796" s="138">
        <f>'Tax Sched 23'!F8</f>
        <v>17204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4301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3462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568384</v>
      </c>
      <c r="C1807" s="2" t="s">
        <v>594</v>
      </c>
      <c r="D1807" s="2" t="str">
        <f t="shared" si="27"/>
        <v>Error?</v>
      </c>
    </row>
    <row r="1808" spans="1:4" x14ac:dyDescent="0.2">
      <c r="A1808" s="5">
        <v>1747</v>
      </c>
      <c r="B1808" s="138">
        <f>'Tax Sched 23'!E4</f>
        <v>500298</v>
      </c>
      <c r="D1808" s="2" t="str">
        <f t="shared" si="27"/>
        <v>Error?</v>
      </c>
    </row>
    <row r="1809" spans="1:4" x14ac:dyDescent="0.2">
      <c r="A1809" s="5">
        <v>1748</v>
      </c>
      <c r="B1809" s="138">
        <f>'Tax Sched 23'!E5</f>
        <v>77002</v>
      </c>
      <c r="D1809" s="2" t="str">
        <f t="shared" si="27"/>
        <v>Error?</v>
      </c>
    </row>
    <row r="1810" spans="1:4" x14ac:dyDescent="0.2">
      <c r="A1810" s="5">
        <v>1749</v>
      </c>
      <c r="B1810" s="138">
        <f>'Tax Sched 23'!E6</f>
        <v>190927</v>
      </c>
      <c r="D1810" s="2" t="str">
        <f t="shared" si="27"/>
        <v>Error?</v>
      </c>
    </row>
    <row r="1811" spans="1:4" x14ac:dyDescent="0.2">
      <c r="A1811" s="5">
        <v>1750</v>
      </c>
      <c r="B1811" s="138">
        <f>'Tax Sched 23'!E7</f>
        <v>30823</v>
      </c>
      <c r="D1811" s="2" t="str">
        <f t="shared" si="27"/>
        <v>Error?</v>
      </c>
    </row>
    <row r="1812" spans="1:4" x14ac:dyDescent="0.2">
      <c r="A1812" s="5">
        <v>1751</v>
      </c>
      <c r="B1812" s="138">
        <f>'Tax Sched 23'!E8</f>
        <v>25704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6426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5173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849205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5343</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5346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5346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713769</v>
      </c>
      <c r="D2008" s="2" t="str">
        <f t="shared" si="30"/>
        <v>Error?</v>
      </c>
    </row>
    <row r="2009" spans="1:4" x14ac:dyDescent="0.2">
      <c r="A2009" s="5">
        <v>1948</v>
      </c>
      <c r="B2009" s="138">
        <f>'Cap Outlay Deprec 26'!C8</f>
        <v>6462979</v>
      </c>
      <c r="D2009" s="2" t="str">
        <f t="shared" si="30"/>
        <v>Error?</v>
      </c>
    </row>
    <row r="2010" spans="1:4" x14ac:dyDescent="0.2">
      <c r="A2010" s="5">
        <v>1949</v>
      </c>
      <c r="B2010" s="138">
        <f>'Cap Outlay Deprec 26'!C10</f>
        <v>180757</v>
      </c>
      <c r="D2010" s="2" t="str">
        <f t="shared" si="30"/>
        <v>Error?</v>
      </c>
    </row>
    <row r="2011" spans="1:4" x14ac:dyDescent="0.2">
      <c r="A2011" s="5">
        <v>1950</v>
      </c>
      <c r="B2011" s="138">
        <f>'Cap Outlay Deprec 26'!C12</f>
        <v>470272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7827777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156083</v>
      </c>
      <c r="D2017" s="2" t="str">
        <f t="shared" si="30"/>
        <v>Error?</v>
      </c>
    </row>
    <row r="2018" spans="1:4" x14ac:dyDescent="0.2">
      <c r="A2018" s="5">
        <v>1957</v>
      </c>
      <c r="B2018" s="138">
        <f>'Cap Outlay Deprec 26'!D13</f>
        <v>139000</v>
      </c>
      <c r="D2018" s="2" t="str">
        <f t="shared" si="30"/>
        <v>Error?</v>
      </c>
    </row>
    <row r="2019" spans="1:4" x14ac:dyDescent="0.2">
      <c r="A2019" s="5">
        <v>1958</v>
      </c>
      <c r="B2019" s="138">
        <f>'Cap Outlay Deprec 26'!D16</f>
        <v>304883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49367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49367</v>
      </c>
      <c r="C2025" s="2" t="s">
        <v>594</v>
      </c>
      <c r="D2025" s="2" t="str">
        <f t="shared" si="30"/>
        <v>Error?</v>
      </c>
    </row>
    <row r="2026" spans="1:4" x14ac:dyDescent="0.2">
      <c r="A2026" s="5">
        <v>1965</v>
      </c>
      <c r="B2026" s="138">
        <f>'Cap Outlay Deprec 26'!F5</f>
        <v>713769</v>
      </c>
      <c r="C2026" s="2" t="s">
        <v>594</v>
      </c>
      <c r="D2026" s="2" t="str">
        <f t="shared" si="30"/>
        <v>Error?</v>
      </c>
    </row>
    <row r="2027" spans="1:4" x14ac:dyDescent="0.2">
      <c r="A2027" s="5">
        <v>1966</v>
      </c>
      <c r="B2027" s="138">
        <f>'Cap Outlay Deprec 26'!F8</f>
        <v>6462979</v>
      </c>
      <c r="C2027" s="2" t="s">
        <v>594</v>
      </c>
      <c r="D2027" s="2" t="str">
        <f t="shared" si="30"/>
        <v>Error?</v>
      </c>
    </row>
    <row r="2028" spans="1:4" x14ac:dyDescent="0.2">
      <c r="A2028" s="5">
        <v>1967</v>
      </c>
      <c r="B2028" s="138">
        <f>'Cap Outlay Deprec 26'!F10</f>
        <v>180757</v>
      </c>
      <c r="C2028" s="2" t="s">
        <v>594</v>
      </c>
      <c r="D2028" s="2" t="str">
        <f t="shared" si="30"/>
        <v>Error?</v>
      </c>
    </row>
    <row r="2029" spans="1:4" x14ac:dyDescent="0.2">
      <c r="A2029" s="5">
        <v>1968</v>
      </c>
      <c r="B2029" s="138">
        <f>'Cap Outlay Deprec 26'!F12</f>
        <v>576988</v>
      </c>
      <c r="C2029" s="2" t="s">
        <v>594</v>
      </c>
      <c r="D2029" s="2" t="str">
        <f t="shared" si="30"/>
        <v>Error?</v>
      </c>
    </row>
    <row r="2030" spans="1:4" x14ac:dyDescent="0.2">
      <c r="A2030" s="5">
        <v>1969</v>
      </c>
      <c r="B2030" s="138">
        <f>'Cap Outlay Deprec 26'!F13</f>
        <v>139000</v>
      </c>
      <c r="C2030" s="2" t="s">
        <v>594</v>
      </c>
      <c r="D2030" s="2" t="str">
        <f t="shared" si="30"/>
        <v>Error?</v>
      </c>
    </row>
    <row r="2031" spans="1:4" x14ac:dyDescent="0.2">
      <c r="A2031" s="5">
        <v>1970</v>
      </c>
      <c r="B2031" s="138">
        <f>'Cap Outlay Deprec 26'!F16</f>
        <v>8083293</v>
      </c>
      <c r="C2031" s="2" t="s">
        <v>594</v>
      </c>
      <c r="D2031" s="2" t="str">
        <f t="shared" si="30"/>
        <v>Error?</v>
      </c>
    </row>
    <row r="2032" spans="1:4" x14ac:dyDescent="0.2">
      <c r="A2032" s="10">
        <v>1971</v>
      </c>
      <c r="D2032" s="2" t="str">
        <f t="shared" si="30"/>
        <v>OK</v>
      </c>
    </row>
    <row r="2033" spans="1:4" x14ac:dyDescent="0.2">
      <c r="A2033" s="5">
        <v>1972</v>
      </c>
      <c r="B2033" s="138">
        <f>'Cap Outlay Deprec 26'!H8</f>
        <v>2019386</v>
      </c>
      <c r="D2033" s="2" t="str">
        <f t="shared" si="30"/>
        <v>Error?</v>
      </c>
    </row>
    <row r="2034" spans="1:4" x14ac:dyDescent="0.2">
      <c r="A2034" s="5">
        <v>1973</v>
      </c>
      <c r="B2034" s="138">
        <f>'Cap Outlay Deprec 26'!H10</f>
        <v>116946</v>
      </c>
      <c r="D2034" s="2" t="str">
        <f t="shared" si="30"/>
        <v>Error?</v>
      </c>
    </row>
    <row r="2035" spans="1:4" x14ac:dyDescent="0.2">
      <c r="A2035" s="5">
        <v>1974</v>
      </c>
      <c r="B2035" s="138">
        <f>'Cap Outlay Deprec 26'!H12</f>
        <v>293301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2429633</v>
      </c>
      <c r="C2037" s="2" t="s">
        <v>594</v>
      </c>
      <c r="D2037" s="2" t="str">
        <f t="shared" si="30"/>
        <v>Error?</v>
      </c>
    </row>
    <row r="2038" spans="1:4" x14ac:dyDescent="0.2">
      <c r="A2038" s="10">
        <v>1977</v>
      </c>
      <c r="D2038" s="2" t="str">
        <f t="shared" si="30"/>
        <v>OK</v>
      </c>
    </row>
    <row r="2039" spans="1:4" x14ac:dyDescent="0.2">
      <c r="A2039" s="5">
        <v>1978</v>
      </c>
      <c r="B2039" s="138">
        <f>'Cap Outlay Deprec 26'!I8</f>
        <v>129260</v>
      </c>
      <c r="D2039" s="2" t="str">
        <f t="shared" si="30"/>
        <v>Error?</v>
      </c>
    </row>
    <row r="2040" spans="1:4" x14ac:dyDescent="0.2">
      <c r="A2040" s="5">
        <v>1979</v>
      </c>
      <c r="B2040" s="138">
        <f>'Cap Outlay Deprec 26'!I10</f>
        <v>9037</v>
      </c>
      <c r="D2040" s="2" t="str">
        <f t="shared" si="30"/>
        <v>Error?</v>
      </c>
    </row>
    <row r="2041" spans="1:4" x14ac:dyDescent="0.2">
      <c r="A2041" s="5">
        <v>1980</v>
      </c>
      <c r="B2041" s="138">
        <f>'Cap Outlay Deprec 26'!I12</f>
        <v>57698</v>
      </c>
      <c r="D2041" s="2" t="str">
        <f t="shared" si="30"/>
        <v>Error?</v>
      </c>
    </row>
    <row r="2042" spans="1:4" x14ac:dyDescent="0.2">
      <c r="A2042" s="5">
        <v>1981</v>
      </c>
      <c r="B2042" s="138">
        <f>'Cap Outlay Deprec 26'!I13</f>
        <v>27800</v>
      </c>
      <c r="D2042" s="2" t="str">
        <f t="shared" si="30"/>
        <v>Error?</v>
      </c>
    </row>
    <row r="2043" spans="1:4" x14ac:dyDescent="0.2">
      <c r="A2043" s="5">
        <v>1982</v>
      </c>
      <c r="B2043" s="138">
        <f>'Cap Outlay Deprec 26'!I16</f>
        <v>223795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49367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49367</v>
      </c>
      <c r="C2049" s="2" t="s">
        <v>594</v>
      </c>
      <c r="D2049" s="2" t="str">
        <f t="shared" si="31"/>
        <v>Error?</v>
      </c>
    </row>
    <row r="2050" spans="1:4" x14ac:dyDescent="0.2">
      <c r="A2050" s="10">
        <v>1989</v>
      </c>
      <c r="D2050" s="2" t="str">
        <f t="shared" si="31"/>
        <v>OK</v>
      </c>
    </row>
    <row r="2051" spans="1:4" x14ac:dyDescent="0.2">
      <c r="A2051" s="5">
        <v>1990</v>
      </c>
      <c r="B2051" s="138">
        <f>'Cap Outlay Deprec 26'!K8</f>
        <v>2148646</v>
      </c>
      <c r="C2051" s="2" t="s">
        <v>594</v>
      </c>
      <c r="D2051" s="2" t="str">
        <f t="shared" si="31"/>
        <v>Error?</v>
      </c>
    </row>
    <row r="2052" spans="1:4" x14ac:dyDescent="0.2">
      <c r="A2052" s="5">
        <v>1991</v>
      </c>
      <c r="B2052" s="138">
        <f>'Cap Outlay Deprec 26'!K10</f>
        <v>125983</v>
      </c>
      <c r="C2052" s="2" t="s">
        <v>594</v>
      </c>
      <c r="D2052" s="2" t="str">
        <f t="shared" si="31"/>
        <v>Error?</v>
      </c>
    </row>
    <row r="2053" spans="1:4" x14ac:dyDescent="0.2">
      <c r="A2053" s="5">
        <v>1992</v>
      </c>
      <c r="B2053" s="138">
        <f>'Cap Outlay Deprec 26'!K12</f>
        <v>301632</v>
      </c>
      <c r="C2053" s="2" t="s">
        <v>594</v>
      </c>
      <c r="D2053" s="2" t="str">
        <f t="shared" si="31"/>
        <v>Error?</v>
      </c>
    </row>
    <row r="2054" spans="1:4" x14ac:dyDescent="0.2">
      <c r="A2054" s="5">
        <v>1993</v>
      </c>
      <c r="B2054" s="138">
        <f>'Cap Outlay Deprec 26'!K13</f>
        <v>27800</v>
      </c>
      <c r="C2054" s="2" t="s">
        <v>594</v>
      </c>
      <c r="D2054" s="2" t="str">
        <f t="shared" si="31"/>
        <v>Error?</v>
      </c>
    </row>
    <row r="2055" spans="1:4" x14ac:dyDescent="0.2">
      <c r="A2055" s="5">
        <v>1994</v>
      </c>
      <c r="B2055" s="138">
        <f>'Cap Outlay Deprec 26'!K16</f>
        <v>2604061</v>
      </c>
      <c r="C2055" s="2" t="s">
        <v>594</v>
      </c>
      <c r="D2055" s="2" t="str">
        <f t="shared" si="31"/>
        <v>Error?</v>
      </c>
    </row>
    <row r="2056" spans="1:4" x14ac:dyDescent="0.2">
      <c r="A2056" s="5">
        <v>1995</v>
      </c>
      <c r="B2056" s="138">
        <f>'Cap Outlay Deprec 26'!L5</f>
        <v>713769</v>
      </c>
      <c r="C2056" s="2" t="s">
        <v>594</v>
      </c>
      <c r="D2056" s="2" t="str">
        <f t="shared" si="31"/>
        <v>Error?</v>
      </c>
    </row>
    <row r="2057" spans="1:4" x14ac:dyDescent="0.2">
      <c r="A2057" s="5">
        <v>1996</v>
      </c>
      <c r="B2057" s="138">
        <f>'Cap Outlay Deprec 26'!L8</f>
        <v>4314333</v>
      </c>
      <c r="C2057" s="2" t="s">
        <v>594</v>
      </c>
      <c r="D2057" s="2" t="str">
        <f t="shared" si="31"/>
        <v>Error?</v>
      </c>
    </row>
    <row r="2058" spans="1:4" x14ac:dyDescent="0.2">
      <c r="A2058" s="5">
        <v>1997</v>
      </c>
      <c r="B2058" s="138">
        <f>'Cap Outlay Deprec 26'!L10</f>
        <v>54774</v>
      </c>
      <c r="C2058" s="2" t="s">
        <v>594</v>
      </c>
      <c r="D2058" s="2" t="str">
        <f t="shared" si="31"/>
        <v>Error?</v>
      </c>
    </row>
    <row r="2059" spans="1:4" x14ac:dyDescent="0.2">
      <c r="A2059" s="5">
        <v>1998</v>
      </c>
      <c r="B2059" s="138">
        <f>'Cap Outlay Deprec 26'!L12</f>
        <v>275356</v>
      </c>
      <c r="C2059" s="2" t="s">
        <v>594</v>
      </c>
      <c r="D2059" s="2" t="str">
        <f t="shared" si="31"/>
        <v>Error?</v>
      </c>
    </row>
    <row r="2060" spans="1:4" x14ac:dyDescent="0.2">
      <c r="A2060" s="5">
        <v>1999</v>
      </c>
      <c r="B2060" s="138">
        <f>'Cap Outlay Deprec 26'!L13</f>
        <v>111200</v>
      </c>
      <c r="C2060" s="2" t="s">
        <v>594</v>
      </c>
      <c r="D2060" s="2" t="str">
        <f t="shared" si="31"/>
        <v>Error?</v>
      </c>
    </row>
    <row r="2061" spans="1:4" x14ac:dyDescent="0.2">
      <c r="A2061" s="5">
        <v>2000</v>
      </c>
      <c r="B2061" s="138">
        <f>'Cap Outlay Deprec 26'!L16</f>
        <v>5479232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52723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110709</v>
      </c>
      <c r="C2088" s="2" t="s">
        <v>594</v>
      </c>
      <c r="D2088" s="2" t="str">
        <f t="shared" si="31"/>
        <v>Error?</v>
      </c>
    </row>
    <row r="2089" spans="1:4" x14ac:dyDescent="0.2">
      <c r="A2089" s="5">
        <v>2028</v>
      </c>
      <c r="B2089" s="138">
        <f>'Expenditures 15-22'!K92</f>
        <v>30631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64224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22162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629446</v>
      </c>
      <c r="C2551" s="2" t="s">
        <v>594</v>
      </c>
      <c r="D2551" s="2" t="str">
        <f t="shared" si="38"/>
        <v>Error?</v>
      </c>
    </row>
    <row r="2552" spans="1:4" x14ac:dyDescent="0.2">
      <c r="A2552" s="10">
        <v>2491</v>
      </c>
      <c r="D2552" s="2" t="str">
        <f t="shared" si="38"/>
        <v>OK</v>
      </c>
    </row>
    <row r="2553" spans="1:4" x14ac:dyDescent="0.2">
      <c r="A2553" s="5">
        <v>2492</v>
      </c>
      <c r="B2553" s="138">
        <f>'Acct Summary 7-8'!C6</f>
        <v>1897490</v>
      </c>
      <c r="C2553" s="2" t="s">
        <v>594</v>
      </c>
      <c r="D2553" s="2" t="str">
        <f t="shared" si="38"/>
        <v>Error?</v>
      </c>
    </row>
    <row r="2554" spans="1:4" x14ac:dyDescent="0.2">
      <c r="A2554" s="5">
        <v>2493</v>
      </c>
      <c r="B2554" s="138">
        <f>'Acct Summary 7-8'!C7</f>
        <v>542477</v>
      </c>
      <c r="C2554" s="2" t="s">
        <v>594</v>
      </c>
      <c r="D2554" s="2" t="str">
        <f t="shared" si="38"/>
        <v>Error?</v>
      </c>
    </row>
    <row r="2555" spans="1:4" x14ac:dyDescent="0.2">
      <c r="A2555" s="5">
        <v>2494</v>
      </c>
      <c r="B2555" s="138">
        <f>'Acct Summary 7-8'!C8</f>
        <v>3069413</v>
      </c>
      <c r="C2555" s="2" t="s">
        <v>594</v>
      </c>
      <c r="D2555" s="2" t="str">
        <f t="shared" si="38"/>
        <v>Error?</v>
      </c>
    </row>
    <row r="2556" spans="1:4" x14ac:dyDescent="0.2">
      <c r="A2556" s="5">
        <v>2495</v>
      </c>
      <c r="B2556" s="138">
        <f>'Acct Summary 7-8'!C12</f>
        <v>1891259</v>
      </c>
      <c r="C2556" s="2" t="s">
        <v>594</v>
      </c>
      <c r="D2556" s="2" t="str">
        <f t="shared" si="38"/>
        <v>Error?</v>
      </c>
    </row>
    <row r="2557" spans="1:4" x14ac:dyDescent="0.2">
      <c r="A2557" s="5">
        <v>2496</v>
      </c>
      <c r="B2557" s="138">
        <f>'Acct Summary 7-8'!C13</f>
        <v>948721</v>
      </c>
      <c r="C2557" s="2" t="s">
        <v>594</v>
      </c>
      <c r="D2557" s="2" t="str">
        <f t="shared" si="38"/>
        <v>Error?</v>
      </c>
    </row>
    <row r="2558" spans="1:4" x14ac:dyDescent="0.2">
      <c r="A2558" s="5">
        <v>2497</v>
      </c>
      <c r="B2558" s="138">
        <f>'Acct Summary 7-8'!C14</f>
        <v>524</v>
      </c>
      <c r="C2558" s="2" t="s">
        <v>594</v>
      </c>
      <c r="D2558" s="2" t="str">
        <f t="shared" si="38"/>
        <v>Error?</v>
      </c>
    </row>
    <row r="2559" spans="1:4" x14ac:dyDescent="0.2">
      <c r="A2559" s="5">
        <v>2498</v>
      </c>
      <c r="B2559" s="138">
        <f>'Acct Summary 7-8'!C15</f>
        <v>141340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2981844</v>
      </c>
      <c r="C2561" s="2" t="s">
        <v>594</v>
      </c>
      <c r="D2561" s="2" t="str">
        <f t="shared" si="39"/>
        <v>Error?</v>
      </c>
    </row>
    <row r="2562" spans="1:4" x14ac:dyDescent="0.2">
      <c r="A2562" s="5">
        <v>2501</v>
      </c>
      <c r="B2562" s="138">
        <f>'Acct Summary 7-8'!C20</f>
        <v>87569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116162</v>
      </c>
      <c r="C2564" s="2" t="s">
        <v>594</v>
      </c>
      <c r="D2564" s="2" t="str">
        <f t="shared" si="39"/>
        <v>Error?</v>
      </c>
    </row>
    <row r="2565" spans="1:4" x14ac:dyDescent="0.2">
      <c r="A2565" s="10">
        <v>2504</v>
      </c>
      <c r="D2565" s="2" t="str">
        <f t="shared" si="39"/>
        <v>OK</v>
      </c>
    </row>
    <row r="2566" spans="1:4" x14ac:dyDescent="0.2">
      <c r="A2566" s="5">
        <v>2505</v>
      </c>
      <c r="B2566" s="138">
        <f>'Acct Summary 7-8'!D6</f>
        <v>147342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263504</v>
      </c>
      <c r="C2568" s="2" t="s">
        <v>594</v>
      </c>
      <c r="D2568" s="2" t="str">
        <f t="shared" si="39"/>
        <v>Error?</v>
      </c>
    </row>
    <row r="2569" spans="1:4" x14ac:dyDescent="0.2">
      <c r="A2569" s="5">
        <v>2508</v>
      </c>
      <c r="B2569" s="138">
        <f>'Acct Summary 7-8'!D13</f>
        <v>313602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313602</v>
      </c>
      <c r="C2573" s="2" t="s">
        <v>594</v>
      </c>
      <c r="D2573" s="2" t="str">
        <f t="shared" si="39"/>
        <v>Error?</v>
      </c>
    </row>
    <row r="2574" spans="1:4" x14ac:dyDescent="0.2">
      <c r="A2574" s="5">
        <v>2513</v>
      </c>
      <c r="B2574" s="138">
        <f>'Acct Summary 7-8'!D20</f>
        <v>-50098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32249</v>
      </c>
      <c r="C2591" s="2" t="s">
        <v>594</v>
      </c>
      <c r="D2591" s="2" t="str">
        <f t="shared" si="39"/>
        <v>Error?</v>
      </c>
    </row>
    <row r="2592" spans="1:4" x14ac:dyDescent="0.2">
      <c r="A2592" s="10">
        <v>2531</v>
      </c>
      <c r="D2592" s="2" t="str">
        <f t="shared" si="39"/>
        <v>OK</v>
      </c>
    </row>
    <row r="2593" spans="1:4" x14ac:dyDescent="0.2">
      <c r="A2593" s="5">
        <v>2532</v>
      </c>
      <c r="B2593" s="138">
        <f>'Acct Summary 7-8'!F6</f>
        <v>178259</v>
      </c>
      <c r="C2593" s="2" t="s">
        <v>594</v>
      </c>
      <c r="D2593" s="2" t="str">
        <f t="shared" si="39"/>
        <v>Error?</v>
      </c>
    </row>
    <row r="2594" spans="1:4" x14ac:dyDescent="0.2">
      <c r="A2594" s="5">
        <v>2533</v>
      </c>
      <c r="B2594" s="138">
        <f>'Acct Summary 7-8'!F7</f>
        <v>26643</v>
      </c>
      <c r="C2594" s="2" t="s">
        <v>594</v>
      </c>
      <c r="D2594" s="2" t="str">
        <f t="shared" si="39"/>
        <v>Error?</v>
      </c>
    </row>
    <row r="2595" spans="1:4" x14ac:dyDescent="0.2">
      <c r="A2595" s="5">
        <v>2534</v>
      </c>
      <c r="B2595" s="138">
        <f>'Acct Summary 7-8'!F8</f>
        <v>237151</v>
      </c>
      <c r="C2595" s="2" t="s">
        <v>594</v>
      </c>
      <c r="D2595" s="2" t="str">
        <f t="shared" si="39"/>
        <v>Error?</v>
      </c>
    </row>
    <row r="2596" spans="1:4" x14ac:dyDescent="0.2">
      <c r="A2596" s="5">
        <v>2535</v>
      </c>
      <c r="B2596" s="138">
        <f>'Acct Summary 7-8'!F13</f>
        <v>257667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16656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274323</v>
      </c>
      <c r="C2600" s="2" t="s">
        <v>594</v>
      </c>
      <c r="D2600" s="2" t="str">
        <f t="shared" si="39"/>
        <v>Error?</v>
      </c>
    </row>
    <row r="2601" spans="1:4" x14ac:dyDescent="0.2">
      <c r="A2601" s="5">
        <v>2540</v>
      </c>
      <c r="B2601" s="138">
        <f>'Acct Summary 7-8'!F20</f>
        <v>-37172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54965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13413</v>
      </c>
      <c r="C2605" s="2" t="s">
        <v>594</v>
      </c>
      <c r="D2605" s="2" t="str">
        <f t="shared" si="39"/>
        <v>Error?</v>
      </c>
    </row>
    <row r="2606" spans="1:4" x14ac:dyDescent="0.2">
      <c r="A2606" s="5">
        <v>2545</v>
      </c>
      <c r="B2606" s="138">
        <f>'Acct Summary 7-8'!G8</f>
        <v>68378</v>
      </c>
      <c r="C2606" s="2" t="s">
        <v>594</v>
      </c>
      <c r="D2606" s="2" t="str">
        <f t="shared" si="39"/>
        <v>Error?</v>
      </c>
    </row>
    <row r="2607" spans="1:4" x14ac:dyDescent="0.2">
      <c r="A2607" s="5">
        <v>2546</v>
      </c>
      <c r="B2607" s="138">
        <f>'Acct Summary 7-8'!G12</f>
        <v>35870</v>
      </c>
      <c r="C2607" s="2" t="s">
        <v>594</v>
      </c>
      <c r="D2607" s="2" t="str">
        <f t="shared" si="39"/>
        <v>Error?</v>
      </c>
    </row>
    <row r="2608" spans="1:4" x14ac:dyDescent="0.2">
      <c r="A2608" s="5">
        <v>2547</v>
      </c>
      <c r="B2608" s="138">
        <f>'Acct Summary 7-8'!G13</f>
        <v>26211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62081</v>
      </c>
      <c r="C2612" s="2" t="s">
        <v>594</v>
      </c>
      <c r="D2612" s="2" t="str">
        <f t="shared" si="39"/>
        <v>Error?</v>
      </c>
    </row>
    <row r="2613" spans="1:4" x14ac:dyDescent="0.2">
      <c r="A2613" s="5">
        <v>2552</v>
      </c>
      <c r="B2613" s="138">
        <f>'Acct Summary 7-8'!G20</f>
        <v>6297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195671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195671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187693</v>
      </c>
      <c r="C2634" s="2" t="s">
        <v>594</v>
      </c>
      <c r="D2634" s="2" t="str">
        <f t="shared" si="40"/>
        <v>Error?</v>
      </c>
    </row>
    <row r="2635" spans="1:4" x14ac:dyDescent="0.2">
      <c r="A2635" s="5">
        <v>2574</v>
      </c>
      <c r="B2635" s="138">
        <f>'Acct Summary 7-8'!E17</f>
        <v>187693</v>
      </c>
      <c r="C2635" s="2" t="s">
        <v>594</v>
      </c>
      <c r="D2635" s="2" t="str">
        <f t="shared" si="40"/>
        <v>Error?</v>
      </c>
    </row>
    <row r="2636" spans="1:4" x14ac:dyDescent="0.2">
      <c r="A2636" s="5">
        <v>2575</v>
      </c>
      <c r="B2636" s="138">
        <f>'Acct Summary 7-8'!E20</f>
        <v>7978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110662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110662</v>
      </c>
      <c r="C2658" s="2" t="s">
        <v>594</v>
      </c>
      <c r="D2658" s="2" t="str">
        <f t="shared" si="40"/>
        <v>Error?</v>
      </c>
    </row>
    <row r="2659" spans="1:4" x14ac:dyDescent="0.2">
      <c r="A2659" s="5">
        <v>2598</v>
      </c>
      <c r="B2659" s="138">
        <f>'Acct Summary 7-8'!H13</f>
        <v>88500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88500</v>
      </c>
      <c r="C2661" s="2" t="s">
        <v>594</v>
      </c>
      <c r="D2661" s="2" t="str">
        <f t="shared" si="40"/>
        <v>Error?</v>
      </c>
    </row>
    <row r="2662" spans="1:4" x14ac:dyDescent="0.2">
      <c r="A2662" s="5">
        <v>2601</v>
      </c>
      <c r="B2662" s="138">
        <f>'Acct Summary 7-8'!H20</f>
        <v>22162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57986</v>
      </c>
      <c r="C2789" s="2" t="s">
        <v>594</v>
      </c>
      <c r="D2789" s="2" t="str">
        <f t="shared" si="42"/>
        <v>Error?</v>
      </c>
    </row>
    <row r="2790" spans="1:4" x14ac:dyDescent="0.2">
      <c r="A2790" s="5">
        <v>2729</v>
      </c>
      <c r="B2790" s="138">
        <f>'Expenditures 15-22'!E102</f>
        <v>57986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16656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16656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9800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26007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35490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16471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35490</v>
      </c>
      <c r="D2912" s="2" t="str">
        <f t="shared" si="44"/>
        <v>Error?</v>
      </c>
    </row>
    <row r="2913" spans="1:4" x14ac:dyDescent="0.2">
      <c r="A2913" s="5">
        <v>2852</v>
      </c>
      <c r="B2913" s="138">
        <f>'Assets-Liab 5-6'!I41</f>
        <v>35490</v>
      </c>
      <c r="C2913" s="2" t="s">
        <v>594</v>
      </c>
      <c r="D2913" s="2" t="str">
        <f t="shared" si="44"/>
        <v>Error?</v>
      </c>
    </row>
    <row r="2914" spans="1:4" x14ac:dyDescent="0.2">
      <c r="A2914" s="5">
        <v>2853</v>
      </c>
      <c r="B2914" s="138">
        <f>'Assets-Liab 5-6'!L33</f>
        <v>7309</v>
      </c>
      <c r="D2914" s="2" t="str">
        <f t="shared" si="44"/>
        <v>Error?</v>
      </c>
    </row>
    <row r="2915" spans="1:4" x14ac:dyDescent="0.2">
      <c r="A2915" s="10">
        <v>2854</v>
      </c>
      <c r="D2915" s="2" t="str">
        <f t="shared" si="44"/>
        <v>OK</v>
      </c>
    </row>
    <row r="2916" spans="1:4" x14ac:dyDescent="0.2">
      <c r="A2916" s="5">
        <v>2855</v>
      </c>
      <c r="B2916" s="138">
        <f>'Assets-Liab 5-6'!L34</f>
        <v>7309</v>
      </c>
      <c r="C2916" s="2" t="s">
        <v>594</v>
      </c>
      <c r="D2916" s="2" t="str">
        <f t="shared" si="44"/>
        <v>Error?</v>
      </c>
    </row>
    <row r="2917" spans="1:4" x14ac:dyDescent="0.2">
      <c r="A2917" s="5">
        <v>2856</v>
      </c>
      <c r="B2917" s="138">
        <f>'Assets-Liab 5-6'!L41</f>
        <v>16471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3678</v>
      </c>
      <c r="D2949" s="2" t="str">
        <f t="shared" si="45"/>
        <v>Error?</v>
      </c>
    </row>
    <row r="2950" spans="1:4" x14ac:dyDescent="0.2">
      <c r="A2950" s="5">
        <v>2889</v>
      </c>
      <c r="B2950" s="138">
        <f>'Expenditures 15-22'!E79</f>
        <v>54308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52723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3678</v>
      </c>
      <c r="C2973" s="2" t="s">
        <v>594</v>
      </c>
      <c r="D2973" s="2" t="str">
        <f t="shared" si="45"/>
        <v>Error?</v>
      </c>
    </row>
    <row r="2974" spans="1:4" x14ac:dyDescent="0.2">
      <c r="A2974" s="5">
        <v>2913</v>
      </c>
      <c r="B2974" s="138">
        <f>'Expenditures 15-22'!K79</f>
        <v>107031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16656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16656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218802</v>
      </c>
      <c r="D3055" s="2" t="str">
        <f t="shared" si="46"/>
        <v>Error?</v>
      </c>
    </row>
    <row r="3056" spans="1:4" x14ac:dyDescent="0.2">
      <c r="A3056" s="5">
        <v>2995</v>
      </c>
      <c r="B3056" s="138">
        <f>'Expenditures 15-22'!D10</f>
        <v>32603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253058</v>
      </c>
      <c r="C3062" s="2" t="s">
        <v>594</v>
      </c>
      <c r="D3062" s="2" t="str">
        <f t="shared" si="46"/>
        <v>Error?</v>
      </c>
    </row>
    <row r="3063" spans="1:4" x14ac:dyDescent="0.2">
      <c r="A3063" s="10">
        <v>3002</v>
      </c>
      <c r="D3063" s="2" t="str">
        <f t="shared" si="46"/>
        <v>OK</v>
      </c>
    </row>
    <row r="3064" spans="1:4" x14ac:dyDescent="0.2">
      <c r="A3064" s="5">
        <v>3003</v>
      </c>
      <c r="B3064" s="138">
        <f>'Expenditures 15-22'!D219</f>
        <v>13615</v>
      </c>
      <c r="D3064" s="2" t="str">
        <f t="shared" si="46"/>
        <v>Error?</v>
      </c>
    </row>
    <row r="3065" spans="1:4" x14ac:dyDescent="0.2">
      <c r="A3065" s="5">
        <v>3004</v>
      </c>
      <c r="B3065" s="138">
        <f>'Expenditures 15-22'!K219</f>
        <v>13615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9162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87569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19000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19000</v>
      </c>
      <c r="C3238" s="2" t="s">
        <v>594</v>
      </c>
      <c r="D3238" s="2" t="str">
        <f t="shared" si="49"/>
        <v>Error?</v>
      </c>
    </row>
    <row r="3239" spans="1:4" x14ac:dyDescent="0.2">
      <c r="A3239" s="5">
        <v>3178</v>
      </c>
      <c r="B3239" s="138">
        <f>'Acct Summary 7-8'!D78</f>
        <v>-31098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-37172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6297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7978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22162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19000</v>
      </c>
      <c r="C3318" s="2" t="s">
        <v>594</v>
      </c>
      <c r="D3318" s="2" t="str">
        <f t="shared" si="50"/>
        <v>Error?</v>
      </c>
    </row>
    <row r="3319" spans="1:4" x14ac:dyDescent="0.2">
      <c r="A3319" s="5">
        <v>3258</v>
      </c>
      <c r="B3319" s="138">
        <f>'Acct Summary 7-8'!I77</f>
        <v>-19000</v>
      </c>
      <c r="C3319" s="2" t="s">
        <v>594</v>
      </c>
      <c r="D3319" s="2" t="str">
        <f t="shared" si="50"/>
        <v>Error?</v>
      </c>
    </row>
    <row r="3320" spans="1:4" x14ac:dyDescent="0.2">
      <c r="A3320" s="5">
        <v>3259</v>
      </c>
      <c r="B3320" s="138">
        <f>'Acct Summary 7-8'!I78</f>
        <v>-19000</v>
      </c>
      <c r="C3320" s="2" t="s">
        <v>594</v>
      </c>
      <c r="D3320" s="2" t="str">
        <f t="shared" si="50"/>
        <v>Error?</v>
      </c>
    </row>
    <row r="3321" spans="1:4" x14ac:dyDescent="0.2">
      <c r="A3321" s="5">
        <v>3260</v>
      </c>
      <c r="B3321" s="138">
        <f>'Acct Summary 7-8'!I79</f>
        <v>54490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35490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172725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37615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210340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13181</v>
      </c>
      <c r="D3387" s="2" t="str">
        <f t="shared" si="51"/>
        <v>Error?</v>
      </c>
    </row>
    <row r="3388" spans="1:4" x14ac:dyDescent="0.2">
      <c r="A3388" s="5">
        <v>3327</v>
      </c>
      <c r="B3388" s="138">
        <f>'Expenditures 15-22'!D217</f>
        <v>2492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13181</v>
      </c>
      <c r="C3390" s="2" t="s">
        <v>594</v>
      </c>
      <c r="D3390" s="2" t="str">
        <f t="shared" si="51"/>
        <v>Error?</v>
      </c>
    </row>
    <row r="3391" spans="1:4" x14ac:dyDescent="0.2">
      <c r="A3391" s="5">
        <v>3330</v>
      </c>
      <c r="B3391" s="138">
        <f>'Expenditures 15-22'!K217</f>
        <v>2492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362748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72684</v>
      </c>
      <c r="D3417" s="2" t="str">
        <f t="shared" si="52"/>
        <v>Error?</v>
      </c>
    </row>
    <row r="3418" spans="1:4" x14ac:dyDescent="0.2">
      <c r="A3418" s="10">
        <v>3357</v>
      </c>
      <c r="D3418" s="2" t="str">
        <f t="shared" si="52"/>
        <v>OK</v>
      </c>
    </row>
    <row r="3419" spans="1:4" x14ac:dyDescent="0.2">
      <c r="A3419" s="5">
        <v>3358</v>
      </c>
      <c r="B3419" s="138">
        <f>'Assets-Liab 5-6'!F4</f>
        <v>81347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133721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22162</v>
      </c>
      <c r="D3425" s="2" t="str">
        <f t="shared" si="52"/>
        <v>Error?</v>
      </c>
    </row>
    <row r="3426" spans="1:4" x14ac:dyDescent="0.2">
      <c r="A3426" s="10">
        <v>3365</v>
      </c>
      <c r="D3426" s="2" t="str">
        <f t="shared" si="52"/>
        <v>OK</v>
      </c>
    </row>
    <row r="3427" spans="1:4" x14ac:dyDescent="0.2">
      <c r="A3427" s="5">
        <v>3366</v>
      </c>
      <c r="B3427" s="138">
        <f>'Assets-Liab 5-6'!I4</f>
        <v>9483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16471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13272</v>
      </c>
      <c r="C3446" s="2" t="s">
        <v>594</v>
      </c>
      <c r="D3446" s="2" t="str">
        <f t="shared" si="52"/>
        <v>Error?</v>
      </c>
    </row>
    <row r="3447" spans="1:4" x14ac:dyDescent="0.2">
      <c r="A3447" s="5">
        <v>3386</v>
      </c>
      <c r="B3447" s="138">
        <f>'Tax Sched 23'!D16</f>
        <v>9022</v>
      </c>
      <c r="C3447" s="2" t="s">
        <v>594</v>
      </c>
      <c r="D3447" s="2" t="str">
        <f t="shared" si="52"/>
        <v>Error?</v>
      </c>
    </row>
    <row r="3448" spans="1:4" x14ac:dyDescent="0.2">
      <c r="A3448" s="5">
        <v>3387</v>
      </c>
      <c r="B3448" s="138">
        <f>'Tax Sched 23'!C16</f>
        <v>4250</v>
      </c>
      <c r="D3448" s="2" t="str">
        <f t="shared" si="52"/>
        <v>Error?</v>
      </c>
    </row>
    <row r="3449" spans="1:4" x14ac:dyDescent="0.2">
      <c r="A3449" s="5">
        <v>3388</v>
      </c>
      <c r="B3449" s="138">
        <f>'Tax Sched 23'!F16</f>
        <v>8602</v>
      </c>
      <c r="C3449" s="2" t="s">
        <v>594</v>
      </c>
      <c r="D3449" s="2" t="str">
        <f t="shared" si="52"/>
        <v>Error?</v>
      </c>
    </row>
    <row r="3450" spans="1:4" x14ac:dyDescent="0.2">
      <c r="A3450" s="5">
        <v>3389</v>
      </c>
      <c r="B3450" s="138">
        <f>'Tax Sched 23'!E16</f>
        <v>12852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9800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9800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9800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9143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9148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9148</v>
      </c>
      <c r="D3567" s="2" t="str">
        <f t="shared" si="54"/>
        <v>Error?</v>
      </c>
    </row>
    <row r="3568" spans="1:4" x14ac:dyDescent="0.2">
      <c r="A3568" s="5">
        <v>3507</v>
      </c>
      <c r="B3568" s="138">
        <f>'Assets-Liab 5-6'!K41</f>
        <v>9148</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9148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9148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96447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1284352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4353765</v>
      </c>
      <c r="C4122" s="2" t="s">
        <v>594</v>
      </c>
      <c r="D4122" s="2" t="str">
        <f t="shared" si="63"/>
        <v>Error?</v>
      </c>
    </row>
    <row r="4123" spans="1:4" x14ac:dyDescent="0.2">
      <c r="A4123" s="5">
        <v>4062</v>
      </c>
      <c r="B4123" s="138">
        <f>'Acct Summary 7-8'!D10</f>
        <v>263504</v>
      </c>
      <c r="C4123" s="2" t="s">
        <v>594</v>
      </c>
      <c r="D4123" s="2" t="str">
        <f t="shared" si="63"/>
        <v>Error?</v>
      </c>
    </row>
    <row r="4124" spans="1:4" x14ac:dyDescent="0.2">
      <c r="A4124" s="5">
        <v>4063</v>
      </c>
      <c r="B4124" s="138">
        <f>'Acct Summary 7-8'!E10</f>
        <v>195671</v>
      </c>
      <c r="C4124" s="2" t="s">
        <v>594</v>
      </c>
      <c r="D4124" s="2" t="str">
        <f t="shared" si="63"/>
        <v>Error?</v>
      </c>
    </row>
    <row r="4125" spans="1:4" x14ac:dyDescent="0.2">
      <c r="A4125" s="5">
        <v>4064</v>
      </c>
      <c r="B4125" s="138">
        <f>'Acct Summary 7-8'!F10</f>
        <v>237151</v>
      </c>
      <c r="C4125" s="2" t="s">
        <v>594</v>
      </c>
      <c r="D4125" s="2" t="str">
        <f t="shared" si="63"/>
        <v>Error?</v>
      </c>
    </row>
    <row r="4126" spans="1:4" x14ac:dyDescent="0.2">
      <c r="A4126" s="5">
        <v>4065</v>
      </c>
      <c r="B4126" s="138">
        <f>'Acct Summary 7-8'!G10</f>
        <v>68378</v>
      </c>
      <c r="C4126" s="2" t="s">
        <v>594</v>
      </c>
      <c r="D4126" s="2" t="str">
        <f t="shared" si="63"/>
        <v>Error?</v>
      </c>
    </row>
    <row r="4127" spans="1:4" x14ac:dyDescent="0.2">
      <c r="A4127" s="5">
        <v>4066</v>
      </c>
      <c r="B4127" s="138">
        <f>'Acct Summary 7-8'!H10</f>
        <v>110662</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1284352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4266196</v>
      </c>
      <c r="C4136" s="2" t="s">
        <v>594</v>
      </c>
      <c r="D4136" s="2" t="str">
        <f t="shared" si="63"/>
        <v>Error?</v>
      </c>
    </row>
    <row r="4137" spans="1:4" x14ac:dyDescent="0.2">
      <c r="A4137" s="5">
        <v>4076</v>
      </c>
      <c r="B4137" s="138">
        <f>'Acct Summary 7-8'!D19</f>
        <v>313602</v>
      </c>
      <c r="C4137" s="2" t="s">
        <v>594</v>
      </c>
      <c r="D4137" s="2" t="str">
        <f t="shared" si="63"/>
        <v>Error?</v>
      </c>
    </row>
    <row r="4138" spans="1:4" x14ac:dyDescent="0.2">
      <c r="A4138" s="5">
        <v>4077</v>
      </c>
      <c r="B4138" s="138">
        <f>'Acct Summary 7-8'!E19</f>
        <v>187693</v>
      </c>
      <c r="C4138" s="2" t="s">
        <v>594</v>
      </c>
      <c r="D4138" s="2" t="str">
        <f t="shared" si="63"/>
        <v>Error?</v>
      </c>
    </row>
    <row r="4139" spans="1:4" x14ac:dyDescent="0.2">
      <c r="A4139" s="5">
        <v>4078</v>
      </c>
      <c r="B4139" s="138">
        <f>'Acct Summary 7-8'!F19</f>
        <v>274323</v>
      </c>
      <c r="C4139" s="2" t="s">
        <v>594</v>
      </c>
      <c r="D4139" s="2" t="str">
        <f t="shared" si="63"/>
        <v>Error?</v>
      </c>
    </row>
    <row r="4140" spans="1:4" x14ac:dyDescent="0.2">
      <c r="A4140" s="5">
        <v>4079</v>
      </c>
      <c r="B4140" s="138">
        <f>'Acct Summary 7-8'!G19</f>
        <v>62081</v>
      </c>
      <c r="C4140" s="2" t="s">
        <v>594</v>
      </c>
      <c r="D4140" s="2" t="str">
        <f t="shared" si="63"/>
        <v>Error?</v>
      </c>
    </row>
    <row r="4141" spans="1:4" x14ac:dyDescent="0.2">
      <c r="A4141" s="5">
        <v>4080</v>
      </c>
      <c r="B4141" s="138">
        <f>'Acct Summary 7-8'!H19</f>
        <v>88500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471476</v>
      </c>
      <c r="C4171" s="2" t="s">
        <v>594</v>
      </c>
      <c r="D4171" s="2" t="str">
        <f t="shared" si="64"/>
        <v>Error?</v>
      </c>
    </row>
    <row r="4172" spans="1:4" x14ac:dyDescent="0.2">
      <c r="A4172" s="5">
        <v>4111</v>
      </c>
      <c r="B4172" s="138">
        <f>'Short-Term Long-Term Debt 24'!J49</f>
        <v>398792</v>
      </c>
      <c r="C4172" s="2" t="s">
        <v>594</v>
      </c>
      <c r="D4172" s="2" t="str">
        <f t="shared" si="64"/>
        <v>Error?</v>
      </c>
    </row>
    <row r="4173" spans="1:4" x14ac:dyDescent="0.2">
      <c r="A4173" s="5">
        <v>4112</v>
      </c>
      <c r="B4173" s="138">
        <f>'Short-Term Long-Term Debt 24'!H49</f>
        <v>170000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106476</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1837.4</v>
      </c>
      <c r="C4265" s="2" t="s">
        <v>594</v>
      </c>
      <c r="D4265" s="2" t="str">
        <f t="shared" si="65"/>
        <v>Error?</v>
      </c>
      <c r="E4265" s="128"/>
    </row>
    <row r="4266" spans="1:5" x14ac:dyDescent="0.2">
      <c r="A4266" s="12">
        <v>4205</v>
      </c>
      <c r="B4266" s="138">
        <f>('FP Info 3'!F10)*100000</f>
        <v>282.79999999999995</v>
      </c>
      <c r="C4266" s="2" t="s">
        <v>594</v>
      </c>
      <c r="D4266" s="2" t="str">
        <f t="shared" si="65"/>
        <v>Error?</v>
      </c>
      <c r="E4266" s="128"/>
    </row>
    <row r="4267" spans="1:5" x14ac:dyDescent="0.2">
      <c r="A4267" s="12">
        <v>4206</v>
      </c>
      <c r="B4267" s="138">
        <f>('FP Info 3'!H10)*100000</f>
        <v>113.2</v>
      </c>
      <c r="C4267" s="2" t="s">
        <v>594</v>
      </c>
      <c r="D4267" s="2" t="str">
        <f t="shared" si="65"/>
        <v>Error?</v>
      </c>
      <c r="E4267" s="128"/>
    </row>
    <row r="4268" spans="1:5" x14ac:dyDescent="0.2">
      <c r="A4268" s="12">
        <v>4207</v>
      </c>
      <c r="B4268" s="138">
        <f>('FP Info 3'!J10)*100000</f>
        <v>2233</v>
      </c>
      <c r="C4268" s="2" t="s">
        <v>594</v>
      </c>
      <c r="D4268" s="2" t="str">
        <f t="shared" si="65"/>
        <v>Error?</v>
      </c>
    </row>
    <row r="4269" spans="1:5" x14ac:dyDescent="0.2">
      <c r="A4269" s="12">
        <v>4208</v>
      </c>
      <c r="B4269" s="138">
        <f>'FP Info 3'!J16</f>
        <v>937898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8167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18839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13121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4603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27228577</v>
      </c>
      <c r="D4995" s="2" t="str">
        <f t="shared" si="77"/>
        <v>Error?</v>
      </c>
    </row>
    <row r="4996" spans="1:4" x14ac:dyDescent="0.2">
      <c r="A4996" s="12">
        <v>4935</v>
      </c>
      <c r="B4996" s="138">
        <f>'FP Info 3'!H31</f>
        <v>1878771.8130000001</v>
      </c>
      <c r="D4996" s="2" t="str">
        <f t="shared" si="77"/>
        <v>Error?</v>
      </c>
    </row>
    <row r="4997" spans="1:4" x14ac:dyDescent="0.2">
      <c r="A4997" s="12">
        <v>4936</v>
      </c>
      <c r="B4997" s="138">
        <f>'FP Info 3'!H37</f>
        <v>471476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526030</v>
      </c>
      <c r="D5061" s="2" t="str">
        <f t="shared" si="78"/>
        <v>Error?</v>
      </c>
    </row>
    <row r="5062" spans="1:4" x14ac:dyDescent="0.2">
      <c r="A5062" s="10">
        <v>5001</v>
      </c>
      <c r="D5062" s="2" t="str">
        <f t="shared" si="78"/>
        <v>OK</v>
      </c>
    </row>
    <row r="5063" spans="1:4" x14ac:dyDescent="0.2">
      <c r="A5063" s="5">
        <v>5002</v>
      </c>
      <c r="B5063" s="138">
        <f>'Revenues 9-14'!C7</f>
        <v>5343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531373</v>
      </c>
      <c r="C5066" s="2" t="s">
        <v>594</v>
      </c>
      <c r="D5066" s="2" t="str">
        <f t="shared" si="78"/>
        <v>Error?</v>
      </c>
    </row>
    <row r="5067" spans="1:4" x14ac:dyDescent="0.2">
      <c r="A5067" s="5">
        <v>5006</v>
      </c>
      <c r="B5067" s="138">
        <f>'Revenues 9-14'!C14</f>
        <v>153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59637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59790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2285</v>
      </c>
      <c r="D5094" s="2" t="str">
        <f t="shared" si="78"/>
        <v>Error?</v>
      </c>
    </row>
    <row r="5095" spans="1:4" x14ac:dyDescent="0.2">
      <c r="A5095" s="5">
        <v>5034</v>
      </c>
      <c r="B5095" s="138">
        <f>'Revenues 9-14'!C74</f>
        <v>17587</v>
      </c>
      <c r="D5095" s="2" t="str">
        <f t="shared" si="78"/>
        <v>Error?</v>
      </c>
    </row>
    <row r="5096" spans="1:4" x14ac:dyDescent="0.2">
      <c r="A5096" s="5">
        <v>5035</v>
      </c>
      <c r="B5096" s="138">
        <f>'Revenues 9-14'!C75</f>
        <v>19872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76</v>
      </c>
      <c r="D5101" s="2" t="str">
        <f t="shared" si="78"/>
        <v>Error?</v>
      </c>
    </row>
    <row r="5102" spans="1:4" x14ac:dyDescent="0.2">
      <c r="A5102" s="5">
        <v>5041</v>
      </c>
      <c r="B5102" s="138">
        <f>'Revenues 9-14'!C82</f>
        <v>76</v>
      </c>
      <c r="C5102" s="2" t="s">
        <v>594</v>
      </c>
      <c r="D5102" s="2" t="str">
        <f t="shared" si="78"/>
        <v>Error?</v>
      </c>
    </row>
    <row r="5103" spans="1:4" x14ac:dyDescent="0.2">
      <c r="A5103" s="5">
        <v>5042</v>
      </c>
      <c r="B5103" s="138">
        <f>'Revenues 9-14'!C84</f>
        <v>2680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2680</v>
      </c>
      <c r="C5112" s="2" t="s">
        <v>594</v>
      </c>
      <c r="D5112" s="2" t="str">
        <f t="shared" si="78"/>
        <v>Error?</v>
      </c>
    </row>
    <row r="5113" spans="1:4" x14ac:dyDescent="0.2">
      <c r="A5113" s="5">
        <v>5052</v>
      </c>
      <c r="B5113" s="138">
        <f>'Revenues 9-14'!C95</f>
        <v>4140</v>
      </c>
      <c r="D5113" s="2" t="str">
        <f t="shared" si="78"/>
        <v>Error?</v>
      </c>
    </row>
    <row r="5114" spans="1:4" x14ac:dyDescent="0.2">
      <c r="A5114" s="5">
        <v>5053</v>
      </c>
      <c r="B5114" s="138">
        <f>'Revenues 9-14'!C96</f>
        <v>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2988</v>
      </c>
      <c r="D5119" s="2" t="str">
        <f t="shared" ref="D5119:D5182" si="79">IF(ISBLANK(B5119),"OK",IF(A5119-B5119=0,"OK","Error?"))</f>
        <v>Error?</v>
      </c>
    </row>
    <row r="5120" spans="1:4" x14ac:dyDescent="0.2">
      <c r="A5120" s="5">
        <v>5059</v>
      </c>
      <c r="B5120" s="138">
        <f>'Revenues 9-14'!C108</f>
        <v>11732</v>
      </c>
      <c r="C5120" s="2" t="s">
        <v>594</v>
      </c>
      <c r="D5120" s="2" t="str">
        <f t="shared" si="79"/>
        <v>Error?</v>
      </c>
    </row>
    <row r="5121" spans="1:4" x14ac:dyDescent="0.2">
      <c r="A5121" s="5">
        <v>5060</v>
      </c>
      <c r="B5121" s="138">
        <f>'Revenues 9-14'!C109</f>
        <v>629446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1812627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1812627</v>
      </c>
      <c r="C5132" s="2" t="s">
        <v>594</v>
      </c>
      <c r="D5132" s="2" t="str">
        <f t="shared" si="79"/>
        <v>Error?</v>
      </c>
    </row>
    <row r="5133" spans="1:4" x14ac:dyDescent="0.2">
      <c r="A5133" s="5">
        <v>5072</v>
      </c>
      <c r="B5133" s="138">
        <f>'Revenues 9-14'!C124</f>
        <v>18806</v>
      </c>
      <c r="D5133" s="2" t="str">
        <f t="shared" si="79"/>
        <v>Error?</v>
      </c>
    </row>
    <row r="5134" spans="1:4" x14ac:dyDescent="0.2">
      <c r="A5134" s="5">
        <v>5073</v>
      </c>
      <c r="B5134" s="138">
        <f>'Revenues 9-14'!C125</f>
        <v>22922</v>
      </c>
      <c r="D5134" s="2" t="str">
        <f t="shared" si="79"/>
        <v>Error?</v>
      </c>
    </row>
    <row r="5135" spans="1:4" x14ac:dyDescent="0.2">
      <c r="A5135" s="5">
        <v>5074</v>
      </c>
      <c r="B5135" s="138">
        <f>'Revenues 9-14'!C126</f>
        <v>34435</v>
      </c>
      <c r="D5135" s="2" t="str">
        <f t="shared" si="79"/>
        <v>Error?</v>
      </c>
    </row>
    <row r="5136" spans="1:4" x14ac:dyDescent="0.2">
      <c r="A5136" s="10">
        <v>5075</v>
      </c>
      <c r="D5136" s="2" t="str">
        <f t="shared" si="79"/>
        <v>OK</v>
      </c>
    </row>
    <row r="5137" spans="1:4" x14ac:dyDescent="0.2">
      <c r="A5137" s="5">
        <v>5076</v>
      </c>
      <c r="B5137" s="138">
        <f>'Revenues 9-14'!C127</f>
        <v>3925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781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80869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3244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84863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1897490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124489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52446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176935</v>
      </c>
      <c r="C5246" s="2" t="s">
        <v>594</v>
      </c>
      <c r="D5246" s="2" t="str">
        <f t="shared" si="80"/>
        <v>Error?</v>
      </c>
    </row>
    <row r="5247" spans="1:4" x14ac:dyDescent="0.2">
      <c r="A5247" s="5">
        <v>5186</v>
      </c>
      <c r="B5247" s="138">
        <f>'Revenues 9-14'!C203</f>
        <v>188104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188104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51560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51560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542477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542477</v>
      </c>
      <c r="C5326" s="2" t="s">
        <v>594</v>
      </c>
      <c r="D5326" s="2" t="str">
        <f t="shared" si="82"/>
        <v>Error?</v>
      </c>
    </row>
    <row r="5327" spans="1:4" x14ac:dyDescent="0.2">
      <c r="A5327" s="5">
        <v>5266</v>
      </c>
      <c r="B5327" s="138">
        <f>'Revenues 9-14'!C275</f>
        <v>3069413</v>
      </c>
      <c r="C5327" s="2" t="s">
        <v>594</v>
      </c>
      <c r="D5327" s="2" t="str">
        <f t="shared" si="82"/>
        <v>Error?</v>
      </c>
    </row>
    <row r="5328" spans="1:4" x14ac:dyDescent="0.2">
      <c r="A5328" s="5">
        <v>5267</v>
      </c>
      <c r="B5328" s="138">
        <f>'Revenues 9-14'!D5</f>
        <v>79560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79560</v>
      </c>
      <c r="C5334" s="2" t="s">
        <v>594</v>
      </c>
      <c r="D5334" s="2" t="str">
        <f t="shared" si="82"/>
        <v>Error?</v>
      </c>
    </row>
    <row r="5335" spans="1:4" x14ac:dyDescent="0.2">
      <c r="A5335" s="5">
        <v>5274</v>
      </c>
      <c r="B5335" s="138">
        <f>'Revenues 9-14'!D14</f>
        <v>23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v>
      </c>
      <c r="C5339" s="2" t="s">
        <v>594</v>
      </c>
      <c r="D5339" s="2" t="str">
        <f t="shared" si="82"/>
        <v>Error?</v>
      </c>
    </row>
    <row r="5340" spans="1:4" x14ac:dyDescent="0.2">
      <c r="A5340" s="5">
        <v>5279</v>
      </c>
      <c r="B5340" s="138">
        <f>'Revenues 9-14'!D65</f>
        <v>1462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35117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35117</v>
      </c>
      <c r="C5355" s="2" t="s">
        <v>594</v>
      </c>
      <c r="D5355" s="2" t="str">
        <f t="shared" si="82"/>
        <v>Error?</v>
      </c>
    </row>
    <row r="5356" spans="1:4" x14ac:dyDescent="0.2">
      <c r="A5356" s="5">
        <v>5295</v>
      </c>
      <c r="B5356" s="138">
        <f>'Revenues 9-14'!D109</f>
        <v>116162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147342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147342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147342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263504</v>
      </c>
      <c r="C5508" s="2" t="s">
        <v>594</v>
      </c>
      <c r="D5508" s="2" t="str">
        <f t="shared" si="85"/>
        <v>Error?</v>
      </c>
    </row>
    <row r="5509" spans="1:4" x14ac:dyDescent="0.2">
      <c r="A5509" s="5">
        <v>5448</v>
      </c>
      <c r="B5509" s="138">
        <f>'Revenues 9-14'!E5</f>
        <v>195529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195529</v>
      </c>
      <c r="C5513" s="2" t="s">
        <v>594</v>
      </c>
      <c r="D5513" s="2" t="str">
        <f t="shared" si="85"/>
        <v>Error?</v>
      </c>
    </row>
    <row r="5514" spans="1:4" x14ac:dyDescent="0.2">
      <c r="A5514" s="5">
        <v>5453</v>
      </c>
      <c r="B5514" s="138">
        <f>'Revenues 9-14'!E14</f>
        <v>56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56</v>
      </c>
      <c r="C5518" s="2" t="s">
        <v>594</v>
      </c>
      <c r="D5518" s="2" t="str">
        <f t="shared" si="85"/>
        <v>Error?</v>
      </c>
    </row>
    <row r="5519" spans="1:4" x14ac:dyDescent="0.2">
      <c r="A5519" s="5">
        <v>5458</v>
      </c>
      <c r="B5519" s="138">
        <f>'Revenues 9-14'!E65</f>
        <v>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195671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195671</v>
      </c>
      <c r="C5552" s="2" t="s">
        <v>594</v>
      </c>
      <c r="D5552" s="2" t="str">
        <f t="shared" si="85"/>
        <v>Error?</v>
      </c>
    </row>
    <row r="5553" spans="1:4" x14ac:dyDescent="0.2">
      <c r="A5553" s="5">
        <v>5492</v>
      </c>
      <c r="B5553" s="138">
        <f>'Revenues 9-14'!F5</f>
        <v>31831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31831</v>
      </c>
      <c r="C5557" s="2" t="s">
        <v>594</v>
      </c>
      <c r="D5557" s="2" t="str">
        <f t="shared" si="85"/>
        <v>Error?</v>
      </c>
    </row>
    <row r="5558" spans="1:4" x14ac:dyDescent="0.2">
      <c r="A5558" s="5">
        <v>5497</v>
      </c>
      <c r="B5558" s="138">
        <f>'Revenues 9-14'!F14</f>
        <v>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32249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86490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86490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49949</v>
      </c>
      <c r="D5615" s="2" t="str">
        <f t="shared" si="86"/>
        <v>Error?</v>
      </c>
    </row>
    <row r="5616" spans="1:4" x14ac:dyDescent="0.2">
      <c r="A5616" s="10">
        <v>5555</v>
      </c>
      <c r="D5616" s="2" t="str">
        <f t="shared" si="86"/>
        <v>OK</v>
      </c>
    </row>
    <row r="5617" spans="1:4" x14ac:dyDescent="0.2">
      <c r="A5617" s="5">
        <v>5556</v>
      </c>
      <c r="B5617" s="138">
        <f>'Revenues 9-14'!F152</f>
        <v>41820</v>
      </c>
      <c r="D5617" s="2" t="str">
        <f t="shared" si="86"/>
        <v>Error?</v>
      </c>
    </row>
    <row r="5618" spans="1:4" x14ac:dyDescent="0.2">
      <c r="A5618" s="5">
        <v>5557</v>
      </c>
      <c r="B5618" s="138">
        <f>'Revenues 9-14'!F154</f>
        <v>91769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91769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178259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26643</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26643</v>
      </c>
      <c r="C5719" s="2" t="s">
        <v>594</v>
      </c>
      <c r="D5719" s="2" t="str">
        <f t="shared" si="88"/>
        <v>Error?</v>
      </c>
    </row>
    <row r="5720" spans="1:4" x14ac:dyDescent="0.2">
      <c r="A5720" s="5">
        <v>5659</v>
      </c>
      <c r="B5720" s="138">
        <f>'Revenues 9-14'!F275</f>
        <v>237151</v>
      </c>
      <c r="C5720" s="2" t="s">
        <v>594</v>
      </c>
      <c r="D5720" s="2" t="str">
        <f t="shared" si="88"/>
        <v>Error?</v>
      </c>
    </row>
    <row r="5721" spans="1:4" x14ac:dyDescent="0.2">
      <c r="A5721" s="5">
        <v>5660</v>
      </c>
      <c r="B5721" s="138">
        <f>'Revenues 9-14'!G5</f>
        <v>26545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13272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39817</v>
      </c>
      <c r="C5725" s="2" t="s">
        <v>594</v>
      </c>
      <c r="D5725" s="2" t="str">
        <f t="shared" si="88"/>
        <v>Error?</v>
      </c>
    </row>
    <row r="5726" spans="1:4" x14ac:dyDescent="0.2">
      <c r="A5726" s="5">
        <v>5665</v>
      </c>
      <c r="B5726" s="138">
        <f>'Revenues 9-14'!G14</f>
        <v>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15131</v>
      </c>
      <c r="C5730" s="2" t="s">
        <v>594</v>
      </c>
      <c r="D5730" s="2" t="str">
        <f t="shared" si="88"/>
        <v>Error?</v>
      </c>
    </row>
    <row r="5731" spans="1:4" x14ac:dyDescent="0.2">
      <c r="A5731" s="5">
        <v>5670</v>
      </c>
      <c r="B5731" s="138">
        <f>'Revenues 9-14'!G65</f>
        <v>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10312</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10312</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13413</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13413</v>
      </c>
      <c r="C5869" s="2" t="s">
        <v>594</v>
      </c>
      <c r="D5869" s="2" t="str">
        <f t="shared" si="90"/>
        <v>Error?</v>
      </c>
    </row>
    <row r="5870" spans="1:4" x14ac:dyDescent="0.2">
      <c r="A5870" s="5">
        <v>5809</v>
      </c>
      <c r="B5870" s="138">
        <f>'Revenues 9-14'!G275</f>
        <v>68378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110662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110662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54965</v>
      </c>
      <c r="C6024" s="2" t="s">
        <v>594</v>
      </c>
      <c r="D6024" s="2" t="str">
        <f t="shared" si="93"/>
        <v>Error?</v>
      </c>
    </row>
    <row r="6025" spans="1:5" x14ac:dyDescent="0.2">
      <c r="A6025" s="5">
        <v>5964</v>
      </c>
      <c r="B6025" s="138">
        <f>'Revenues 9-14'!H109</f>
        <v>110662</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16953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261.37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51910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51910</v>
      </c>
      <c r="D6215" s="2" t="str">
        <f t="shared" si="96"/>
        <v>Error?</v>
      </c>
      <c r="E6215" s="2" t="s">
        <v>199</v>
      </c>
    </row>
    <row r="6216" spans="1:5" x14ac:dyDescent="0.2">
      <c r="A6216">
        <v>6155</v>
      </c>
      <c r="B6216" s="138">
        <f>'Assets-Liab 5-6'!J41</f>
        <v>51910</v>
      </c>
      <c r="D6216" s="2" t="str">
        <f t="shared" si="96"/>
        <v>Error?</v>
      </c>
      <c r="E6216" s="2" t="s">
        <v>199</v>
      </c>
    </row>
    <row r="6217" spans="1:5" x14ac:dyDescent="0.2">
      <c r="A6217">
        <v>6156</v>
      </c>
      <c r="B6217" s="138">
        <f>'Assets-Liab 5-6'!J4</f>
        <v>51910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6641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6641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6641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31923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31923</v>
      </c>
      <c r="D6229" s="2" t="str">
        <f t="shared" si="96"/>
        <v>Error?</v>
      </c>
      <c r="E6229" s="2" t="s">
        <v>199</v>
      </c>
    </row>
    <row r="6230" spans="1:5" x14ac:dyDescent="0.2">
      <c r="A6230">
        <v>6169</v>
      </c>
      <c r="B6230" s="138">
        <f>'Acct Summary 7-8'!J20</f>
        <v>-25282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-25282</v>
      </c>
      <c r="D6263" s="2" t="str">
        <f t="shared" si="96"/>
        <v>Error?</v>
      </c>
      <c r="E6263" s="2" t="s">
        <v>199</v>
      </c>
    </row>
    <row r="6264" spans="1:5" x14ac:dyDescent="0.2">
      <c r="A6264">
        <v>6203</v>
      </c>
      <c r="B6264" s="138">
        <f>'Acct Summary 7-8'!J79</f>
        <v>77192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51910</v>
      </c>
      <c r="D6266" s="2" t="str">
        <f t="shared" si="96"/>
        <v>Error?</v>
      </c>
      <c r="E6266" s="2" t="s">
        <v>199</v>
      </c>
    </row>
    <row r="6267" spans="1:5" x14ac:dyDescent="0.2">
      <c r="A6267">
        <v>6206</v>
      </c>
      <c r="B6267" s="138">
        <f>'Acct Summary 7-8'!C82</f>
        <v>87569</v>
      </c>
      <c r="D6267" s="2" t="str">
        <f t="shared" si="96"/>
        <v>Error?</v>
      </c>
      <c r="E6267" s="2" t="s">
        <v>199</v>
      </c>
    </row>
    <row r="6268" spans="1:5" x14ac:dyDescent="0.2">
      <c r="A6268">
        <v>6207</v>
      </c>
      <c r="B6268" s="138">
        <f>'Acct Summary 7-8'!D82</f>
        <v>-31098</v>
      </c>
      <c r="D6268" s="2" t="str">
        <f t="shared" si="96"/>
        <v>Error?</v>
      </c>
      <c r="E6268" s="2" t="s">
        <v>199</v>
      </c>
    </row>
    <row r="6269" spans="1:5" x14ac:dyDescent="0.2">
      <c r="A6269">
        <v>6208</v>
      </c>
      <c r="B6269" s="138">
        <f>'Acct Summary 7-8'!E82</f>
        <v>7978</v>
      </c>
      <c r="D6269" s="2" t="str">
        <f t="shared" si="96"/>
        <v>Error?</v>
      </c>
      <c r="E6269" s="2" t="s">
        <v>199</v>
      </c>
    </row>
    <row r="6270" spans="1:5" x14ac:dyDescent="0.2">
      <c r="A6270">
        <v>6209</v>
      </c>
      <c r="B6270" s="138">
        <f>'Acct Summary 7-8'!F82</f>
        <v>-37172</v>
      </c>
      <c r="D6270" s="2" t="str">
        <f t="shared" si="96"/>
        <v>Error?</v>
      </c>
      <c r="E6270" s="2" t="s">
        <v>199</v>
      </c>
    </row>
    <row r="6271" spans="1:5" x14ac:dyDescent="0.2">
      <c r="A6271">
        <v>6210</v>
      </c>
      <c r="B6271" s="138">
        <f>'Acct Summary 7-8'!G82</f>
        <v>6297</v>
      </c>
      <c r="D6271" s="2" t="str">
        <f t="shared" ref="D6271:D6334" si="97">IF(ISBLANK(B6271),"OK",IF(A6271-B6271=0,"OK","Error?"))</f>
        <v>Error?</v>
      </c>
      <c r="E6271" s="2" t="s">
        <v>199</v>
      </c>
    </row>
    <row r="6272" spans="1:5" x14ac:dyDescent="0.2">
      <c r="A6272">
        <v>6211</v>
      </c>
      <c r="B6272" s="138">
        <f>'Acct Summary 7-8'!H82</f>
        <v>22162</v>
      </c>
      <c r="D6272" s="2" t="str">
        <f t="shared" si="97"/>
        <v>Error?</v>
      </c>
      <c r="E6272" s="2" t="s">
        <v>199</v>
      </c>
    </row>
    <row r="6273" spans="1:5" x14ac:dyDescent="0.2">
      <c r="A6273">
        <v>6212</v>
      </c>
      <c r="B6273" s="138">
        <f>'Acct Summary 7-8'!I82</f>
        <v>-19000</v>
      </c>
      <c r="D6273" s="2" t="str">
        <f t="shared" si="97"/>
        <v>Error?</v>
      </c>
      <c r="E6273" s="2" t="s">
        <v>199</v>
      </c>
    </row>
    <row r="6274" spans="1:5" x14ac:dyDescent="0.2">
      <c r="A6274">
        <v>6213</v>
      </c>
      <c r="B6274" s="138">
        <f>'Acct Summary 7-8'!J82</f>
        <v>-25282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0.11581684409052254</v>
      </c>
      <c r="D6276" s="2" t="str">
        <f t="shared" si="97"/>
        <v>Error?</v>
      </c>
      <c r="E6276" s="2" t="s">
        <v>199</v>
      </c>
    </row>
    <row r="6277" spans="1:5" x14ac:dyDescent="0.2">
      <c r="A6277">
        <v>6216</v>
      </c>
      <c r="B6277" s="138">
        <f>'Acct Summary 7-8'!D83</f>
        <v>-0.47986297565040276</v>
      </c>
      <c r="D6277" s="2" t="str">
        <f t="shared" si="97"/>
        <v>Error?</v>
      </c>
      <c r="E6277" s="2" t="s">
        <v>199</v>
      </c>
    </row>
    <row r="6278" spans="1:5" x14ac:dyDescent="0.2">
      <c r="A6278">
        <v>6217</v>
      </c>
      <c r="B6278" s="138">
        <f>'Acct Summary 7-8'!E83</f>
        <v>0.10976280887127841</v>
      </c>
      <c r="D6278" s="2" t="str">
        <f t="shared" si="97"/>
        <v>Error?</v>
      </c>
      <c r="E6278" s="2" t="s">
        <v>199</v>
      </c>
    </row>
    <row r="6279" spans="1:5" x14ac:dyDescent="0.2">
      <c r="A6279">
        <v>6218</v>
      </c>
      <c r="B6279" s="138">
        <f>'Acct Summary 7-8'!F83</f>
        <v>-0.45608137123786857</v>
      </c>
      <c r="D6279" s="2" t="str">
        <f t="shared" si="97"/>
        <v>Error?</v>
      </c>
      <c r="E6279" s="2" t="s">
        <v>199</v>
      </c>
    </row>
    <row r="6280" spans="1:5" x14ac:dyDescent="0.2">
      <c r="A6280">
        <v>6219</v>
      </c>
      <c r="B6280" s="138">
        <f>'Acct Summary 7-8'!G83</f>
        <v>4.2073121843012533E-2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-0.53536207382361234</v>
      </c>
      <c r="D6282" s="2" t="str">
        <f t="shared" si="97"/>
        <v>Error?</v>
      </c>
      <c r="E6282" s="2" t="s">
        <v>199</v>
      </c>
    </row>
    <row r="6283" spans="1:5" x14ac:dyDescent="0.2">
      <c r="A6283">
        <v>6222</v>
      </c>
      <c r="B6283" s="138">
        <f>'Acct Summary 7-8'!J83</f>
        <v>-0.48703525332305914</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6636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6636</v>
      </c>
      <c r="D6301" s="2" t="str">
        <f t="shared" si="97"/>
        <v>Error?</v>
      </c>
      <c r="E6301" s="2" t="s">
        <v>199</v>
      </c>
    </row>
    <row r="6302" spans="1:5" x14ac:dyDescent="0.2">
      <c r="A6302">
        <v>6241</v>
      </c>
      <c r="B6302" s="138">
        <f>'Revenues 9-14'!J14</f>
        <v>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6641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51814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65210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83826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53235</v>
      </c>
      <c r="D6880" s="2" t="str">
        <f t="shared" si="106"/>
        <v>Error?</v>
      </c>
    </row>
    <row r="6881" spans="1:4" x14ac:dyDescent="0.2">
      <c r="A6881">
        <v>6820</v>
      </c>
      <c r="B6881" s="138">
        <f>'Expenditures 15-22'!K22</f>
        <v>53235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30631</v>
      </c>
      <c r="D6983" s="2" t="str">
        <f t="shared" si="108"/>
        <v>Error?</v>
      </c>
    </row>
    <row r="6984" spans="1:4" x14ac:dyDescent="0.2">
      <c r="A6984">
        <v>6923</v>
      </c>
      <c r="B6984" s="138">
        <f>'Expenditures 15-22'!K86</f>
        <v>30631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30631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31923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6641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3023</v>
      </c>
      <c r="D7073" s="2" t="str">
        <f t="shared" si="109"/>
        <v>Error?</v>
      </c>
    </row>
    <row r="7074" spans="1:4" x14ac:dyDescent="0.2">
      <c r="A7074">
        <v>7013</v>
      </c>
      <c r="B7074" s="138">
        <f>'Expenditures 15-22'!K216</f>
        <v>3023</v>
      </c>
      <c r="D7074" s="2" t="str">
        <f t="shared" si="109"/>
        <v>Error?</v>
      </c>
    </row>
    <row r="7075" spans="1:4" x14ac:dyDescent="0.2">
      <c r="A7075">
        <v>7014</v>
      </c>
      <c r="B7075" s="138">
        <f>'Expenditures 15-22'!D218</f>
        <v>2933</v>
      </c>
      <c r="D7075" s="2" t="str">
        <f t="shared" si="109"/>
        <v>Error?</v>
      </c>
    </row>
    <row r="7076" spans="1:4" x14ac:dyDescent="0.2">
      <c r="A7076">
        <v>7015</v>
      </c>
      <c r="B7076" s="138">
        <f>'Expenditures 15-22'!K218</f>
        <v>2933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5219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5219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31923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31923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31923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31923</v>
      </c>
      <c r="D7224" s="2" t="str">
        <f t="shared" si="111"/>
        <v>Error?</v>
      </c>
    </row>
    <row r="7225" spans="1:4" x14ac:dyDescent="0.2">
      <c r="A7225">
        <v>7164</v>
      </c>
      <c r="B7225" s="138">
        <f>'Expenditures 15-22'!K343</f>
        <v>-25282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11962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1434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69901</v>
      </c>
      <c r="D7251" s="2" t="str">
        <f t="shared" si="112"/>
        <v>Error?</v>
      </c>
    </row>
    <row r="7252" spans="1:4" x14ac:dyDescent="0.2">
      <c r="A7252">
        <f t="shared" si="113"/>
        <v>7191</v>
      </c>
      <c r="B7252" s="138">
        <f>'Expenditures 15-22'!D9</f>
        <v>13634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291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223795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110662</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110662</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5346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88500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88500</v>
      </c>
      <c r="D7730" s="2" t="str">
        <f t="shared" si="126"/>
        <v>Error?</v>
      </c>
      <c r="E7730" s="2" t="s">
        <v>881</v>
      </c>
    </row>
    <row r="7731" spans="1:6" x14ac:dyDescent="0.2">
      <c r="A7731">
        <v>7670</v>
      </c>
      <c r="B7731" s="138">
        <f>'Revenues 9-14'!H103</f>
        <v>110662</v>
      </c>
      <c r="D7731" s="2" t="str">
        <f t="shared" si="126"/>
        <v>Error?</v>
      </c>
      <c r="E7731" s="2" t="s">
        <v>881</v>
      </c>
    </row>
    <row r="7732" spans="1:6" x14ac:dyDescent="0.2">
      <c r="A7732">
        <v>7671</v>
      </c>
      <c r="B7732" s="138">
        <f>'Rest Tax Levies-Tort Im 25'!J24</f>
        <v>22162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22162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19000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70752</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26643</v>
      </c>
      <c r="D7768" s="2" t="str">
        <f t="shared" si="127"/>
        <v>Error?</v>
      </c>
      <c r="E7768" s="4" t="s">
        <v>1539</v>
      </c>
    </row>
    <row r="7769" spans="1:5" x14ac:dyDescent="0.2">
      <c r="A7769">
        <v>7708</v>
      </c>
      <c r="B7769" s="138">
        <f>'Revenues 9-14'!G261</f>
        <v>3101</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3" t="str">
        <f>COVER!A17</f>
        <v>Carbon Cliff-Barstow School District No. 36</v>
      </c>
      <c r="B7" s="2404"/>
      <c r="C7" s="2404"/>
      <c r="D7" s="2441"/>
      <c r="E7" s="2442" t="str">
        <f>COVER!A13</f>
        <v>49-081-0360-02</v>
      </c>
      <c r="F7" s="2443"/>
      <c r="G7" s="2410" t="str">
        <f>COVER!T23</f>
        <v>066-005027</v>
      </c>
      <c r="H7" s="2411"/>
      <c r="I7" s="2411"/>
      <c r="J7" s="2411"/>
      <c r="K7" s="2411"/>
      <c r="L7" s="241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3"/>
      <c r="B9" s="2414"/>
      <c r="C9" s="2414"/>
      <c r="D9" s="2414"/>
      <c r="E9" s="2414"/>
      <c r="F9" s="2415"/>
      <c r="G9" s="2416" t="str">
        <f>COVER!T13</f>
        <v>Gorenz and Associates, Ltd.</v>
      </c>
      <c r="H9" s="2417"/>
      <c r="I9" s="2417"/>
      <c r="J9" s="2417"/>
      <c r="K9" s="2417"/>
      <c r="L9" s="2418"/>
    </row>
    <row r="10" spans="1:29" ht="13.5" customHeight="1" x14ac:dyDescent="0.2">
      <c r="A10" s="2400" t="str">
        <f>COVER!A38</f>
        <v>Andy Richmond</v>
      </c>
      <c r="B10" s="2401"/>
      <c r="C10" s="2401"/>
      <c r="D10" s="2401"/>
      <c r="E10" s="2401"/>
      <c r="F10" s="2402"/>
      <c r="G10" s="2416" t="str">
        <f>COVER!T17</f>
        <v>4200 N Knoxville Ave</v>
      </c>
      <c r="H10" s="2429"/>
      <c r="I10" s="2429"/>
      <c r="J10" s="2429"/>
      <c r="K10" s="2429"/>
      <c r="L10" s="2430"/>
    </row>
    <row r="11" spans="1:29" ht="13.5" customHeight="1" x14ac:dyDescent="0.2">
      <c r="A11" s="1183" t="s">
        <v>1599</v>
      </c>
      <c r="B11" s="1184"/>
      <c r="C11" s="1185"/>
      <c r="D11" s="1190"/>
      <c r="E11" s="1185"/>
      <c r="F11" s="1189"/>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rrumbold@gorenzcpa.com</v>
      </c>
      <c r="J13" s="2438"/>
      <c r="K13" s="2438"/>
      <c r="L13" s="2439"/>
    </row>
    <row r="14" spans="1:29" ht="13.5" customHeight="1" x14ac:dyDescent="0.2">
      <c r="A14" s="2416" t="str">
        <f>COVER!A19</f>
        <v>2002 Eagle Ridge Drive</v>
      </c>
      <c r="B14" s="2429"/>
      <c r="C14" s="2429"/>
      <c r="D14" s="2429"/>
      <c r="E14" s="2429"/>
      <c r="F14" s="2430"/>
      <c r="G14" s="1194" t="s">
        <v>1247</v>
      </c>
      <c r="H14" s="1192"/>
      <c r="I14" s="1192"/>
      <c r="J14" s="1192"/>
      <c r="K14" s="1192"/>
      <c r="L14" s="1193"/>
    </row>
    <row r="15" spans="1:29" ht="13.5" customHeight="1" x14ac:dyDescent="0.2">
      <c r="A15" s="2416" t="str">
        <f>COVER!A21</f>
        <v>Silvis</v>
      </c>
      <c r="B15" s="2429"/>
      <c r="C15" s="2429"/>
      <c r="D15" s="2429"/>
      <c r="E15" s="2429"/>
      <c r="F15" s="2430"/>
      <c r="G15" s="2426" t="str">
        <f>COVER!T15</f>
        <v>Russell J. Rumbold II, CPA</v>
      </c>
      <c r="H15" s="2427"/>
      <c r="I15" s="2427"/>
      <c r="J15" s="2427"/>
      <c r="K15" s="2427"/>
      <c r="L15" s="2428"/>
    </row>
    <row r="16" spans="1:29" ht="12.2" customHeight="1" x14ac:dyDescent="0.2">
      <c r="A16" s="2406">
        <f>COVER!A25</f>
        <v>61282</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4" t="s">
        <v>1246</v>
      </c>
      <c r="H17" s="1192"/>
      <c r="I17" s="1192"/>
      <c r="J17" s="1192"/>
      <c r="K17" s="1196" t="s">
        <v>1245</v>
      </c>
      <c r="L17" s="1189"/>
      <c r="M17" s="1182"/>
    </row>
    <row r="18" spans="1:13" ht="12.2" customHeight="1" x14ac:dyDescent="0.2">
      <c r="A18" s="2400"/>
      <c r="B18" s="2401"/>
      <c r="C18" s="2401"/>
      <c r="D18" s="2401"/>
      <c r="E18" s="2401"/>
      <c r="F18" s="2402"/>
      <c r="G18" s="2403" t="str">
        <f>COVER!T21</f>
        <v>309-685-7621</v>
      </c>
      <c r="H18" s="2404"/>
      <c r="I18" s="2404"/>
      <c r="J18" s="2404"/>
      <c r="K18" s="2403" t="str">
        <f>COVER!X21</f>
        <v>309-685-4758</v>
      </c>
      <c r="L18" s="240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Carbon Cliff-Barstow School District No. 36</v>
      </c>
      <c r="B1" s="2440"/>
      <c r="C1" s="2440"/>
      <c r="D1" s="2440"/>
    </row>
    <row r="2" spans="1:11" s="1213" customFormat="1" ht="12.75" x14ac:dyDescent="0.2">
      <c r="A2" s="2445" t="str">
        <f>'Single Audit Cover'!E7</f>
        <v>49-081-0360-02</v>
      </c>
      <c r="B2" s="2446"/>
      <c r="C2" s="2446"/>
      <c r="D2" s="2446"/>
    </row>
    <row r="3" spans="1:11" s="1213" customFormat="1" ht="12.75" x14ac:dyDescent="0.2">
      <c r="A3" s="2444" t="s">
        <v>1593</v>
      </c>
      <c r="B3" s="2440"/>
      <c r="C3" s="2440"/>
      <c r="D3" s="244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Carbon Cliff-Barstow School District No. 36</v>
      </c>
      <c r="B1" s="2448"/>
      <c r="C1" s="2448"/>
      <c r="D1" s="2448"/>
      <c r="E1" s="2448"/>
    </row>
    <row r="2" spans="1:5" x14ac:dyDescent="0.2">
      <c r="A2" s="2449" t="str">
        <f>'Single Audit Cover'!E7</f>
        <v>49-081-0360-02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582533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16953</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-18839</v>
      </c>
    </row>
    <row r="19" spans="1:4" ht="13.5" thickBot="1" x14ac:dyDescent="0.25">
      <c r="A19" s="1263" t="s">
        <v>1297</v>
      </c>
      <c r="D19" s="1264">
        <f>SUM(D10:D17)</f>
        <v>580647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580647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580647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Carbon Cliff-Barstow School District No. 36</v>
      </c>
      <c r="B1" s="2453"/>
      <c r="C1" s="2453"/>
      <c r="D1" s="2453"/>
      <c r="E1" s="2453"/>
      <c r="F1" s="2453"/>
    </row>
    <row r="2" spans="1:7" ht="13.5" customHeight="1" x14ac:dyDescent="0.2">
      <c r="A2" s="2454" t="str">
        <f>'Single Audit Cover'!E7</f>
        <v>49-081-0360-02</v>
      </c>
      <c r="B2" s="2454"/>
      <c r="C2" s="2454"/>
      <c r="D2" s="2454"/>
      <c r="E2" s="2454"/>
      <c r="F2" s="2454"/>
      <c r="G2" s="1273"/>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4" t="s">
        <v>1831</v>
      </c>
      <c r="C6" s="317"/>
      <c r="D6" s="317"/>
    </row>
    <row r="7" spans="1:7" ht="60.95" customHeight="1" x14ac:dyDescent="0.2">
      <c r="A7" s="2452" t="s">
        <v>1832</v>
      </c>
      <c r="B7" s="2452"/>
      <c r="C7" s="2452"/>
      <c r="D7" s="2452"/>
      <c r="E7" s="2452"/>
      <c r="F7" s="2452"/>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2" t="s">
        <v>1834</v>
      </c>
      <c r="B13" s="2452"/>
      <c r="C13" s="2452"/>
      <c r="D13" s="2452"/>
      <c r="E13" s="2452"/>
      <c r="F13" s="2452"/>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7"/>
      <c r="E17" s="2457"/>
      <c r="F17" s="2457"/>
    </row>
    <row r="18" spans="1:6" ht="20.65" customHeight="1" x14ac:dyDescent="0.2">
      <c r="A18" s="1281"/>
      <c r="B18" s="1282"/>
      <c r="C18" s="1283"/>
      <c r="D18" s="2457"/>
      <c r="E18" s="2457"/>
      <c r="F18" s="2457"/>
    </row>
    <row r="19" spans="1:6" ht="20.65" customHeight="1" x14ac:dyDescent="0.2">
      <c r="A19" s="1281"/>
      <c r="B19" s="1282"/>
      <c r="C19" s="1283"/>
      <c r="D19" s="2457"/>
      <c r="E19" s="2457"/>
      <c r="F19" s="2457"/>
    </row>
    <row r="20" spans="1:6" ht="20.65" customHeight="1" x14ac:dyDescent="0.2">
      <c r="A20" s="1281"/>
      <c r="B20" s="1282"/>
      <c r="C20" s="1283"/>
      <c r="D20" s="2457"/>
      <c r="E20" s="2457"/>
      <c r="F20" s="2457"/>
    </row>
    <row r="21" spans="1:6" ht="20.65" customHeight="1" x14ac:dyDescent="0.2">
      <c r="A21" s="1281"/>
      <c r="B21" s="1282"/>
      <c r="C21" s="1283"/>
      <c r="D21" s="2457"/>
      <c r="E21" s="2457"/>
      <c r="F21" s="2457"/>
    </row>
    <row r="22" spans="1:6" ht="20.65" customHeight="1" x14ac:dyDescent="0.2">
      <c r="A22" s="1281"/>
      <c r="B22" s="1282"/>
      <c r="C22" s="1283"/>
      <c r="D22" s="2457"/>
      <c r="E22" s="2457"/>
      <c r="F22" s="2457"/>
    </row>
    <row r="23" spans="1:6" ht="20.65" customHeight="1" x14ac:dyDescent="0.2">
      <c r="A23" s="1281"/>
      <c r="B23" s="1282"/>
      <c r="C23" s="1283"/>
      <c r="D23" s="2457"/>
      <c r="E23" s="2457"/>
      <c r="F23" s="2457"/>
    </row>
    <row r="24" spans="1:6" ht="20.65" customHeight="1" x14ac:dyDescent="0.2">
      <c r="A24" s="1281"/>
      <c r="B24" s="1282"/>
      <c r="C24" s="1283"/>
      <c r="D24" s="2457"/>
      <c r="E24" s="2457"/>
      <c r="F24" s="2457"/>
    </row>
    <row r="25" spans="1:6" ht="20.65" customHeight="1" x14ac:dyDescent="0.2">
      <c r="A25" s="1281"/>
      <c r="B25" s="1282"/>
      <c r="C25" s="1283"/>
      <c r="D25" s="2457"/>
      <c r="E25" s="2457"/>
      <c r="F25" s="2457"/>
    </row>
    <row r="26" spans="1:6" ht="20.65" customHeight="1" x14ac:dyDescent="0.2">
      <c r="A26" s="1281"/>
      <c r="B26" s="1282"/>
      <c r="C26" s="1283"/>
      <c r="D26" s="2457"/>
      <c r="E26" s="2457"/>
      <c r="F26" s="2457"/>
    </row>
    <row r="27" spans="1:6" ht="20.65" customHeight="1" x14ac:dyDescent="0.2">
      <c r="A27" s="1281"/>
      <c r="B27" s="1282"/>
      <c r="C27" s="1283"/>
      <c r="D27" s="2457"/>
      <c r="E27" s="2457"/>
      <c r="F27" s="2457"/>
    </row>
    <row r="28" spans="1:6" ht="20.65" customHeight="1" x14ac:dyDescent="0.2">
      <c r="A28" s="1281"/>
      <c r="B28" s="1282"/>
      <c r="C28" s="1283"/>
      <c r="D28" s="2457"/>
      <c r="E28" s="2457"/>
      <c r="F28" s="2457"/>
    </row>
    <row r="29" spans="1:6" ht="20.65" customHeight="1" x14ac:dyDescent="0.2">
      <c r="A29" s="1281"/>
      <c r="B29" s="1282"/>
      <c r="C29" s="1283"/>
      <c r="D29" s="2457"/>
      <c r="E29" s="2457"/>
      <c r="F29" s="2457"/>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1" t="s">
        <v>1835</v>
      </c>
      <c r="B32" s="2461"/>
      <c r="C32" s="2461"/>
      <c r="D32" s="2461"/>
      <c r="E32" s="2461"/>
      <c r="F32" s="2461"/>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62">
        <f>+C33+C34</f>
        <v>0</v>
      </c>
      <c r="F34" s="2463"/>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4" t="s">
        <v>1672</v>
      </c>
      <c r="C49" s="2464"/>
      <c r="D49" s="2464"/>
      <c r="E49" s="1397"/>
    </row>
    <row r="50" spans="1:5" s="1298" customFormat="1" ht="3.75" customHeight="1" x14ac:dyDescent="0.2">
      <c r="A50" s="1297"/>
      <c r="B50" s="1868"/>
      <c r="C50" s="1868"/>
      <c r="D50" s="1868"/>
      <c r="E50" s="1397"/>
    </row>
    <row r="51" spans="1:5" s="1298" customFormat="1" ht="20.25" customHeight="1" x14ac:dyDescent="0.2">
      <c r="A51" s="1299">
        <v>6</v>
      </c>
      <c r="B51" s="2460" t="s">
        <v>1632</v>
      </c>
      <c r="C51" s="2460"/>
      <c r="D51" s="2460"/>
    </row>
    <row r="52" spans="1:5" ht="14.25" customHeight="1" x14ac:dyDescent="0.2">
      <c r="A52" s="1299"/>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9" t="str">
        <f>'Single Audit Cover'!A7</f>
        <v>Carbon Cliff-Barstow School District No. 36</v>
      </c>
      <c r="C1" s="2465"/>
      <c r="D1" s="2465"/>
      <c r="E1" s="2465"/>
      <c r="F1" s="2465"/>
      <c r="G1" s="2465"/>
      <c r="H1" s="2465"/>
      <c r="I1" s="2465"/>
      <c r="J1" s="2465"/>
      <c r="K1" s="2465"/>
      <c r="L1" s="2465"/>
      <c r="M1" s="2465"/>
    </row>
    <row r="2" spans="2:14" ht="15" x14ac:dyDescent="0.2">
      <c r="B2" s="2454" t="str">
        <f>'Single Audit Cover'!E7</f>
        <v>49-081-0360-02</v>
      </c>
      <c r="C2" s="2454"/>
      <c r="D2" s="2454"/>
      <c r="E2" s="2454"/>
      <c r="F2" s="2454"/>
      <c r="G2" s="2454"/>
      <c r="H2" s="2454"/>
      <c r="I2" s="2454"/>
      <c r="J2" s="2454"/>
      <c r="K2" s="2454"/>
      <c r="L2" s="2454"/>
      <c r="M2" s="2454"/>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2077</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2115</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2116</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2137</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Carbon Cliff-Barstow School District No. 36</v>
      </c>
      <c r="C1" s="2473"/>
      <c r="D1" s="2473"/>
      <c r="E1" s="2473"/>
      <c r="F1" s="2473"/>
      <c r="G1" s="2473"/>
      <c r="H1" s="2473"/>
      <c r="I1" s="2473"/>
      <c r="J1" s="1420"/>
    </row>
    <row r="2" spans="2:10" s="317" customFormat="1" ht="12.75" customHeight="1" x14ac:dyDescent="0.2">
      <c r="B2" s="2474" t="str">
        <f>'Single Audit Cover'!E7</f>
        <v>49-081-0360-02</v>
      </c>
      <c r="C2" s="2475"/>
      <c r="D2" s="2475"/>
      <c r="E2" s="2475"/>
      <c r="F2" s="2475"/>
      <c r="G2" s="2475"/>
      <c r="H2" s="2475"/>
      <c r="I2" s="2475"/>
      <c r="J2" s="1420"/>
    </row>
    <row r="3" spans="2:10" s="317" customFormat="1" ht="12.75" customHeight="1" x14ac:dyDescent="0.2">
      <c r="B3" s="2476" t="s">
        <v>1347</v>
      </c>
      <c r="C3" s="2477"/>
      <c r="D3" s="2477"/>
      <c r="E3" s="2477"/>
      <c r="F3" s="2477"/>
      <c r="G3" s="2477"/>
      <c r="H3" s="2477"/>
      <c r="I3" s="2477"/>
      <c r="J3" s="1421"/>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6" t="s">
        <v>1346</v>
      </c>
      <c r="C7" s="2477"/>
      <c r="D7" s="2477"/>
      <c r="E7" s="2477"/>
      <c r="F7" s="2477"/>
      <c r="G7" s="2477"/>
      <c r="H7" s="2477"/>
      <c r="I7" s="2477"/>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8"/>
      <c r="D11" s="2478"/>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9"/>
      <c r="E29" s="2479"/>
      <c r="F29" s="2479"/>
      <c r="G29" s="2479"/>
      <c r="H29" s="2479"/>
      <c r="I29" s="2479"/>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0" t="s">
        <v>1854</v>
      </c>
      <c r="D37" s="2481"/>
      <c r="E37" s="2481"/>
      <c r="F37" s="2482"/>
      <c r="G37" s="2480" t="s">
        <v>1674</v>
      </c>
      <c r="H37" s="2481"/>
      <c r="I37" s="2482"/>
    </row>
    <row r="38" spans="2:9" ht="16.5" customHeight="1" x14ac:dyDescent="0.2">
      <c r="B38" s="1442"/>
      <c r="C38" s="2468"/>
      <c r="D38" s="2469"/>
      <c r="E38" s="2469"/>
      <c r="F38" s="2470"/>
      <c r="G38" s="2483"/>
      <c r="H38" s="2484"/>
      <c r="I38" s="2485"/>
    </row>
    <row r="39" spans="2:9" ht="16.5" customHeight="1" x14ac:dyDescent="0.2">
      <c r="B39" s="1442"/>
      <c r="C39" s="2468"/>
      <c r="D39" s="2469"/>
      <c r="E39" s="2469"/>
      <c r="F39" s="2470"/>
      <c r="G39" s="2471"/>
      <c r="H39" s="2471"/>
      <c r="I39" s="2471"/>
    </row>
    <row r="40" spans="2:9" ht="16.5" customHeight="1" x14ac:dyDescent="0.2">
      <c r="B40" s="1442"/>
      <c r="C40" s="2468"/>
      <c r="D40" s="2469"/>
      <c r="E40" s="2469"/>
      <c r="F40" s="2470"/>
      <c r="G40" s="2471"/>
      <c r="H40" s="2471"/>
      <c r="I40" s="2471"/>
    </row>
    <row r="41" spans="2:9" ht="16.5" customHeight="1" x14ac:dyDescent="0.2">
      <c r="B41" s="1442"/>
      <c r="C41" s="2468"/>
      <c r="D41" s="2469"/>
      <c r="E41" s="2469"/>
      <c r="F41" s="2470"/>
      <c r="G41" s="2471"/>
      <c r="H41" s="2471"/>
      <c r="I41" s="2471"/>
    </row>
    <row r="42" spans="2:9" ht="16.5" customHeight="1" x14ac:dyDescent="0.2">
      <c r="B42" s="1442"/>
      <c r="C42" s="2468"/>
      <c r="D42" s="2469"/>
      <c r="E42" s="2469"/>
      <c r="F42" s="2470"/>
      <c r="G42" s="2471"/>
      <c r="H42" s="2471"/>
      <c r="I42" s="2471"/>
    </row>
    <row r="43" spans="2:9" ht="16.5" customHeight="1" x14ac:dyDescent="0.2">
      <c r="B43" s="1442"/>
      <c r="C43" s="2486" t="s">
        <v>1675</v>
      </c>
      <c r="D43" s="2487"/>
      <c r="E43" s="2487"/>
      <c r="F43" s="2488"/>
      <c r="G43" s="2489">
        <f>SUM(G38:I42)</f>
        <v>0</v>
      </c>
      <c r="H43" s="2489"/>
      <c r="I43" s="2489"/>
    </row>
    <row r="44" spans="2:9" ht="12.75" customHeight="1" x14ac:dyDescent="0.2"/>
    <row r="45" spans="2:9" ht="12.75" customHeight="1" x14ac:dyDescent="0.2">
      <c r="B45" s="1433" t="s">
        <v>1952</v>
      </c>
      <c r="D45" s="2490">
        <v>0</v>
      </c>
      <c r="E45" s="249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2"/>
      <c r="F49" s="2492"/>
      <c r="G49" s="249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Carbon Cliff-Barstow School District No. 36</v>
      </c>
      <c r="C1" s="2472"/>
      <c r="D1" s="2472"/>
      <c r="E1" s="2472"/>
      <c r="F1" s="2472"/>
      <c r="G1" s="2472"/>
      <c r="H1" s="2472"/>
      <c r="I1" s="2472"/>
      <c r="J1" s="2472"/>
      <c r="K1" s="2472"/>
      <c r="L1" s="1372"/>
      <c r="M1" s="1372"/>
    </row>
    <row r="2" spans="1:13" ht="12" customHeight="1" x14ac:dyDescent="0.2">
      <c r="B2" s="2474" t="str">
        <f>'Single Audit Cover'!E7</f>
        <v>49-081-0360-02</v>
      </c>
      <c r="C2" s="2474"/>
      <c r="D2" s="2474"/>
      <c r="E2" s="2474"/>
      <c r="F2" s="2474"/>
      <c r="G2" s="2474"/>
      <c r="H2" s="2474"/>
      <c r="I2" s="2474"/>
      <c r="J2" s="2474"/>
      <c r="K2" s="2474"/>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t="s">
        <v>2108</v>
      </c>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t="s">
        <v>2109</v>
      </c>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t="s">
        <v>2110</v>
      </c>
      <c r="C20" s="2493"/>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t="s">
        <v>2111</v>
      </c>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t="s">
        <v>2112</v>
      </c>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2113</v>
      </c>
      <c r="C29" s="2493"/>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t="s">
        <v>2114</v>
      </c>
      <c r="C32" s="2493"/>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Carbon Cliff-Barstow School District No. 36</v>
      </c>
      <c r="C1" s="2472"/>
      <c r="D1" s="2472"/>
      <c r="E1" s="2472"/>
      <c r="F1" s="2472"/>
      <c r="G1" s="2472"/>
      <c r="H1" s="2472"/>
      <c r="I1" s="2472"/>
      <c r="J1" s="2472"/>
      <c r="K1" s="2472"/>
      <c r="L1" s="1372"/>
      <c r="M1" s="1372"/>
    </row>
    <row r="2" spans="1:13" ht="12" customHeight="1" x14ac:dyDescent="0.2">
      <c r="B2" s="2474" t="str">
        <f>'Single Audit Cover'!E7</f>
        <v>49-081-0360-02</v>
      </c>
      <c r="C2" s="2474"/>
      <c r="D2" s="2474"/>
      <c r="E2" s="2474"/>
      <c r="F2" s="2474"/>
      <c r="G2" s="2474"/>
      <c r="H2" s="2474"/>
      <c r="I2" s="2474"/>
      <c r="J2" s="2474"/>
      <c r="K2" s="2474"/>
      <c r="L2" s="1373"/>
      <c r="M2" s="1374"/>
    </row>
    <row r="3" spans="1:13" ht="10.35" customHeight="1" x14ac:dyDescent="0.2">
      <c r="B3" s="2494" t="s">
        <v>1347</v>
      </c>
      <c r="C3" s="2494"/>
      <c r="D3" s="2494"/>
      <c r="E3" s="2494"/>
      <c r="F3" s="2494"/>
      <c r="G3" s="2494"/>
      <c r="H3" s="2494"/>
      <c r="I3" s="2494"/>
      <c r="J3" s="2494"/>
      <c r="K3" s="2494"/>
      <c r="L3" s="1957"/>
      <c r="M3" s="195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t="s">
        <v>2077</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7" t="s">
        <v>2133</v>
      </c>
      <c r="C14" s="2497"/>
      <c r="D14" s="2497"/>
      <c r="E14" s="2497"/>
      <c r="F14" s="2497"/>
      <c r="G14" s="2497"/>
      <c r="H14" s="2497"/>
      <c r="I14" s="2497"/>
      <c r="J14" s="2497"/>
      <c r="K14" s="2497"/>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7" t="s">
        <v>2134</v>
      </c>
      <c r="C17" s="2497"/>
      <c r="D17" s="2497"/>
      <c r="E17" s="2497"/>
      <c r="F17" s="2497"/>
      <c r="G17" s="2497"/>
      <c r="H17" s="2497"/>
      <c r="I17" s="2497"/>
      <c r="J17" s="2497"/>
      <c r="K17" s="2497"/>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t="s">
        <v>2135</v>
      </c>
      <c r="C20" s="2497"/>
      <c r="D20" s="2497"/>
      <c r="E20" s="2497"/>
      <c r="F20" s="2497"/>
      <c r="G20" s="2497"/>
      <c r="H20" s="2497"/>
      <c r="I20" s="2497"/>
      <c r="J20" s="2497"/>
      <c r="K20" s="2497"/>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7" t="s">
        <v>2130</v>
      </c>
      <c r="C23" s="2497"/>
      <c r="D23" s="2497"/>
      <c r="E23" s="2497"/>
      <c r="F23" s="2497"/>
      <c r="G23" s="2497"/>
      <c r="H23" s="2497"/>
      <c r="I23" s="2497"/>
      <c r="J23" s="2497"/>
      <c r="K23" s="2497"/>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7" t="s">
        <v>2131</v>
      </c>
      <c r="C26" s="2497"/>
      <c r="D26" s="2497"/>
      <c r="E26" s="2497"/>
      <c r="F26" s="2497"/>
      <c r="G26" s="2497"/>
      <c r="H26" s="2497"/>
      <c r="I26" s="2497"/>
      <c r="J26" s="2497"/>
      <c r="K26" s="2497"/>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t="s">
        <v>2136</v>
      </c>
      <c r="C29" s="2497"/>
      <c r="D29" s="2497"/>
      <c r="E29" s="2497"/>
      <c r="F29" s="2497"/>
      <c r="G29" s="2497"/>
      <c r="H29" s="2497"/>
      <c r="I29" s="2497"/>
      <c r="J29" s="2497"/>
      <c r="K29" s="2497"/>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t="s">
        <v>2132</v>
      </c>
      <c r="C32" s="2497"/>
      <c r="D32" s="2497"/>
      <c r="E32" s="2497"/>
      <c r="F32" s="2497"/>
      <c r="G32" s="2497"/>
      <c r="H32" s="2497"/>
      <c r="I32" s="2497"/>
      <c r="J32" s="2497"/>
      <c r="K32" s="2497"/>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Carbon Cliff-Barstow School District No. 36</v>
      </c>
      <c r="C1" s="2498"/>
      <c r="D1" s="2498"/>
      <c r="E1" s="2498"/>
      <c r="F1" s="2498"/>
      <c r="G1" s="2498"/>
      <c r="H1" s="2498"/>
      <c r="I1" s="2498"/>
      <c r="J1" s="2498"/>
      <c r="K1" s="2498"/>
      <c r="L1" s="1463"/>
    </row>
    <row r="2" spans="1:12" ht="12.75" customHeight="1" x14ac:dyDescent="0.2">
      <c r="B2" s="2499" t="str">
        <f>'Single Audit Cover'!E7</f>
        <v>49-081-0360-02</v>
      </c>
      <c r="C2" s="2499"/>
      <c r="D2" s="2499"/>
      <c r="E2" s="2499"/>
      <c r="F2" s="2499"/>
      <c r="G2" s="2499"/>
      <c r="H2" s="2499"/>
      <c r="I2" s="2499"/>
      <c r="J2" s="2499"/>
      <c r="K2" s="2499"/>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9"/>
      <c r="G12" s="2479"/>
      <c r="H12" s="2479"/>
      <c r="I12" s="2479"/>
      <c r="J12" s="2479"/>
      <c r="K12" s="247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2"/>
      <c r="E14" s="2502"/>
      <c r="F14" s="2502"/>
      <c r="H14" s="1473" t="s">
        <v>1370</v>
      </c>
      <c r="I14" s="2503"/>
      <c r="J14" s="2503"/>
      <c r="K14" s="250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3"/>
      <c r="E16" s="2503"/>
      <c r="F16" s="2503"/>
      <c r="G16" s="2503"/>
      <c r="H16" s="2503"/>
      <c r="I16" s="2503"/>
      <c r="J16" s="2503"/>
      <c r="K16" s="2503"/>
      <c r="L16" s="322"/>
    </row>
    <row r="17" spans="2:12" ht="13.5" customHeight="1" x14ac:dyDescent="0.2">
      <c r="B17" s="1385" t="s">
        <v>1368</v>
      </c>
      <c r="C17" s="1385"/>
      <c r="D17" s="2504"/>
      <c r="E17" s="2504"/>
      <c r="F17" s="2504"/>
      <c r="G17" s="2504"/>
      <c r="H17" s="2504"/>
      <c r="I17" s="2504"/>
      <c r="J17" s="2504"/>
      <c r="K17" s="250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1"/>
      <c r="C20" s="2501"/>
      <c r="D20" s="2501"/>
      <c r="E20" s="2501"/>
      <c r="F20" s="2501"/>
      <c r="G20" s="2501"/>
      <c r="H20" s="2501"/>
      <c r="I20" s="2501"/>
      <c r="J20" s="2501"/>
      <c r="K20" s="250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2" t="str">
        <f>'Single Audit Cover'!A7</f>
        <v>Carbon Cliff-Barstow School District No. 36</v>
      </c>
      <c r="C1" s="2472"/>
      <c r="D1" s="2472"/>
      <c r="E1" s="1489"/>
    </row>
    <row r="2" spans="2:5" s="1280" customFormat="1" ht="12.75" customHeight="1" x14ac:dyDescent="0.2">
      <c r="B2" s="2474" t="str">
        <f>'Single Audit Cover'!E7</f>
        <v>49-081-0360-02</v>
      </c>
      <c r="C2" s="2474"/>
      <c r="D2" s="2474"/>
      <c r="E2" s="1490"/>
    </row>
    <row r="3" spans="2:5" ht="12.75" customHeight="1" x14ac:dyDescent="0.2">
      <c r="B3" s="2494" t="s">
        <v>1869</v>
      </c>
      <c r="C3" s="2494"/>
      <c r="D3" s="2494"/>
      <c r="E3" s="1272"/>
    </row>
    <row r="4" spans="2:5" s="1280" customFormat="1" ht="12.75" customHeight="1" x14ac:dyDescent="0.2">
      <c r="B4" s="2505" t="str">
        <f>'Single Audit Cover'!A4</f>
        <v>Year Ending June 30, 2018</v>
      </c>
      <c r="C4" s="2505"/>
      <c r="D4" s="2505"/>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2102</v>
      </c>
      <c r="C7" s="324" t="s">
        <v>2103</v>
      </c>
      <c r="D7" s="324" t="s">
        <v>2104</v>
      </c>
      <c r="E7" s="324"/>
    </row>
    <row r="8" spans="2:5" ht="13.5" customHeight="1" x14ac:dyDescent="0.2">
      <c r="B8" s="1494"/>
      <c r="C8" s="324"/>
      <c r="D8" s="324" t="s">
        <v>2105</v>
      </c>
      <c r="E8" s="324"/>
    </row>
    <row r="9" spans="2:5" ht="13.5" customHeight="1" x14ac:dyDescent="0.2">
      <c r="B9" s="1495"/>
      <c r="C9" s="323"/>
      <c r="D9" s="323" t="s">
        <v>2106</v>
      </c>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27228577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1.8374000000000001E-2</v>
      </c>
      <c r="E10" s="356" t="s">
        <v>1062</v>
      </c>
      <c r="F10" s="355">
        <v>2.8279999999999998E-3</v>
      </c>
      <c r="G10" s="356" t="s">
        <v>1062</v>
      </c>
      <c r="H10" s="355">
        <v>1.132E-3</v>
      </c>
      <c r="I10" s="356" t="s">
        <v>1063</v>
      </c>
      <c r="J10" s="1752">
        <f>ROUND(D10+F10+H10,5)</f>
        <v>2.2329999999999999E-2</v>
      </c>
      <c r="K10" s="222"/>
      <c r="L10" s="355">
        <v>0</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3570068</v>
      </c>
      <c r="E16" s="356"/>
      <c r="F16" s="1753">
        <f>SUM('Acct Summary 7-8'!C17,'Acct Summary 7-8'!D17,'Acct Summary 7-8'!F17)</f>
        <v>3569769</v>
      </c>
      <c r="G16" s="356"/>
      <c r="H16" s="1753">
        <f>SUM(D16-F16)</f>
        <v>299</v>
      </c>
      <c r="I16" s="222"/>
      <c r="J16" s="1753">
        <f>SUM('Acct Summary 7-8'!C81,'Acct Summary 7-8'!D81,'Acct Summary 7-8'!F81,'Acct Summary 7-8'!I81)</f>
        <v>937898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1878771.8130000001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471476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Carbon Cliff-Barstow School District No. 36</v>
      </c>
      <c r="E7" s="391"/>
      <c r="G7" s="252"/>
      <c r="H7" s="387"/>
      <c r="I7" s="387"/>
      <c r="J7" s="387"/>
      <c r="K7" s="387"/>
      <c r="L7" s="329"/>
      <c r="M7" s="329"/>
      <c r="N7" s="329"/>
      <c r="O7" s="329"/>
      <c r="P7" s="329"/>
    </row>
    <row r="8" spans="1:18" ht="12.75" x14ac:dyDescent="0.2">
      <c r="A8" s="329"/>
      <c r="B8" s="329"/>
      <c r="C8" s="389" t="s">
        <v>1187</v>
      </c>
      <c r="D8" s="392" t="str">
        <f>COVER!A13</f>
        <v>49-081-0360-02</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937898</v>
      </c>
      <c r="I12" s="404"/>
      <c r="J12" s="404"/>
      <c r="K12" s="405">
        <f>TRUNC((H12/H13*100000),5)/100000</f>
        <v>0.26271152250000002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3570068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3569769</v>
      </c>
      <c r="I17" s="404"/>
      <c r="J17" s="416"/>
      <c r="K17" s="405">
        <f>TRUNC((H17/H18*100000),5)/100000</f>
        <v>0.99991624800000001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3570068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937898</v>
      </c>
      <c r="I24" s="422"/>
      <c r="J24" s="422"/>
      <c r="K24" s="423">
        <f>TRUNC(((H24/H25*100000)/100000),2)</f>
        <v>94.58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9916.0249999999996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516812.00575000001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471476</v>
      </c>
      <c r="I32" s="420"/>
      <c r="J32" s="420"/>
      <c r="K32" s="423">
        <f>TRUNC(100-((((H32/H33*100))*100)/100),2)</f>
        <v>74.900000000000006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1878771.8130000001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362748</v>
      </c>
      <c r="D4" s="465">
        <v>23613</v>
      </c>
      <c r="E4" s="466">
        <v>72684</v>
      </c>
      <c r="F4" s="466">
        <v>81347</v>
      </c>
      <c r="G4" s="466">
        <v>133721</v>
      </c>
      <c r="H4" s="466">
        <v>22162</v>
      </c>
      <c r="I4" s="466">
        <v>9483</v>
      </c>
      <c r="J4" s="467">
        <v>51910</v>
      </c>
      <c r="K4" s="466">
        <v>5</v>
      </c>
      <c r="L4" s="466">
        <v>16471</v>
      </c>
      <c r="M4" s="468"/>
      <c r="N4" s="469"/>
    </row>
    <row r="5" spans="1:14" x14ac:dyDescent="0.2">
      <c r="A5" s="463" t="s">
        <v>1049</v>
      </c>
      <c r="B5" s="470">
        <v>120</v>
      </c>
      <c r="C5" s="465">
        <v>393351</v>
      </c>
      <c r="D5" s="466">
        <v>41193</v>
      </c>
      <c r="E5" s="466">
        <v>0</v>
      </c>
      <c r="F5" s="466">
        <v>156</v>
      </c>
      <c r="G5" s="466">
        <v>15947</v>
      </c>
      <c r="H5" s="466">
        <v>0</v>
      </c>
      <c r="I5" s="466">
        <v>26007</v>
      </c>
      <c r="J5" s="467">
        <v>0</v>
      </c>
      <c r="K5" s="471">
        <v>9143</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756099</v>
      </c>
      <c r="D13" s="1757">
        <f t="shared" ref="D13:L13" si="0">SUM(D4:D12)</f>
        <v>64806</v>
      </c>
      <c r="E13" s="1757">
        <f t="shared" si="0"/>
        <v>72684</v>
      </c>
      <c r="F13" s="1757">
        <f t="shared" si="0"/>
        <v>81503</v>
      </c>
      <c r="G13" s="1757">
        <f t="shared" si="0"/>
        <v>149668</v>
      </c>
      <c r="H13" s="1757">
        <f t="shared" si="0"/>
        <v>22162</v>
      </c>
      <c r="I13" s="1757">
        <f t="shared" si="0"/>
        <v>35490</v>
      </c>
      <c r="J13" s="1757">
        <f t="shared" si="0"/>
        <v>51910</v>
      </c>
      <c r="K13" s="1757">
        <f t="shared" si="0"/>
        <v>9148</v>
      </c>
      <c r="L13" s="1757">
        <f t="shared" si="0"/>
        <v>16471</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713769</v>
      </c>
      <c r="N16" s="483"/>
    </row>
    <row r="17" spans="1:14" s="484" customFormat="1" ht="12.75" customHeight="1" x14ac:dyDescent="0.2">
      <c r="A17" s="481" t="s">
        <v>1470</v>
      </c>
      <c r="B17" s="482">
        <v>230</v>
      </c>
      <c r="C17" s="476"/>
      <c r="D17" s="476"/>
      <c r="E17" s="476"/>
      <c r="F17" s="476"/>
      <c r="G17" s="476"/>
      <c r="H17" s="476"/>
      <c r="I17" s="476"/>
      <c r="J17" s="476"/>
      <c r="K17" s="476"/>
      <c r="L17" s="476"/>
      <c r="M17" s="467">
        <v>6462979</v>
      </c>
      <c r="N17" s="483"/>
    </row>
    <row r="18" spans="1:14" s="484" customFormat="1" ht="12.75" customHeight="1" x14ac:dyDescent="0.2">
      <c r="A18" s="481" t="s">
        <v>1471</v>
      </c>
      <c r="B18" s="482">
        <v>240</v>
      </c>
      <c r="C18" s="476"/>
      <c r="D18" s="476"/>
      <c r="E18" s="476"/>
      <c r="F18" s="476"/>
      <c r="G18" s="476"/>
      <c r="H18" s="476"/>
      <c r="I18" s="476"/>
      <c r="J18" s="476"/>
      <c r="K18" s="476"/>
      <c r="L18" s="476"/>
      <c r="M18" s="467">
        <v>180757</v>
      </c>
      <c r="N18" s="483"/>
    </row>
    <row r="19" spans="1:14" s="484" customFormat="1" ht="12.75" customHeight="1" x14ac:dyDescent="0.2">
      <c r="A19" s="481" t="s">
        <v>1472</v>
      </c>
      <c r="B19" s="482">
        <v>250</v>
      </c>
      <c r="C19" s="476"/>
      <c r="D19" s="476"/>
      <c r="E19" s="476"/>
      <c r="F19" s="476"/>
      <c r="G19" s="476"/>
      <c r="H19" s="476"/>
      <c r="I19" s="476"/>
      <c r="J19" s="476"/>
      <c r="K19" s="476"/>
      <c r="L19" s="476"/>
      <c r="M19" s="467">
        <v>715988</v>
      </c>
      <c r="N19" s="483"/>
    </row>
    <row r="20" spans="1:14" s="484" customFormat="1" ht="12.75" customHeight="1" x14ac:dyDescent="0.2">
      <c r="A20" s="481" t="s">
        <v>1473</v>
      </c>
      <c r="B20" s="482">
        <v>260</v>
      </c>
      <c r="C20" s="476"/>
      <c r="D20" s="476"/>
      <c r="E20" s="476"/>
      <c r="F20" s="476"/>
      <c r="G20" s="476"/>
      <c r="H20" s="476"/>
      <c r="I20" s="476"/>
      <c r="J20" s="476"/>
      <c r="K20" s="476"/>
      <c r="L20" s="476"/>
      <c r="M20" s="467">
        <v>9800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72684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398792</v>
      </c>
    </row>
    <row r="23" spans="1:14" ht="13.5" customHeight="1" thickBot="1" x14ac:dyDescent="0.25">
      <c r="A23" s="1756" t="s">
        <v>664</v>
      </c>
      <c r="B23" s="1761"/>
      <c r="C23" s="468"/>
      <c r="D23" s="468"/>
      <c r="E23" s="468"/>
      <c r="F23" s="468"/>
      <c r="G23" s="468"/>
      <c r="H23" s="468"/>
      <c r="I23" s="468"/>
      <c r="J23" s="468"/>
      <c r="K23" s="468"/>
      <c r="L23" s="468"/>
      <c r="M23" s="1708">
        <f>SUM(M15:M22)</f>
        <v>8083293</v>
      </c>
      <c r="N23" s="1708">
        <f>SUM(N21:N22)</f>
        <v>471476</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7309</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7309</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471476</v>
      </c>
    </row>
    <row r="37" spans="1:14" ht="13.5" thickBot="1" x14ac:dyDescent="0.25">
      <c r="A37" s="1756" t="s">
        <v>674</v>
      </c>
      <c r="B37" s="1761"/>
      <c r="C37" s="476"/>
      <c r="D37" s="476"/>
      <c r="E37" s="476"/>
      <c r="F37" s="476"/>
      <c r="G37" s="476"/>
      <c r="H37" s="476"/>
      <c r="I37" s="476"/>
      <c r="J37" s="476"/>
      <c r="K37" s="476"/>
      <c r="L37" s="479"/>
      <c r="M37" s="468"/>
      <c r="N37" s="1708">
        <f>SUM(N36:N36)</f>
        <v>471476</v>
      </c>
    </row>
    <row r="38" spans="1:14" s="329" customFormat="1" ht="13.5" customHeight="1" thickTop="1" x14ac:dyDescent="0.2">
      <c r="A38" s="494" t="s">
        <v>440</v>
      </c>
      <c r="B38" s="482">
        <v>714</v>
      </c>
      <c r="C38" s="465">
        <v>0</v>
      </c>
      <c r="D38" s="465">
        <v>0</v>
      </c>
      <c r="E38" s="465">
        <v>0</v>
      </c>
      <c r="F38" s="465">
        <v>0</v>
      </c>
      <c r="G38" s="465">
        <v>64224</v>
      </c>
      <c r="H38" s="465">
        <v>22162</v>
      </c>
      <c r="I38" s="465">
        <v>0</v>
      </c>
      <c r="J38" s="465">
        <v>0</v>
      </c>
      <c r="K38" s="465">
        <v>0</v>
      </c>
      <c r="L38" s="465">
        <v>9162</v>
      </c>
      <c r="M38" s="495"/>
      <c r="N38" s="495"/>
    </row>
    <row r="39" spans="1:14" s="329" customFormat="1" ht="13.5" customHeight="1" x14ac:dyDescent="0.2">
      <c r="A39" s="494" t="s">
        <v>360</v>
      </c>
      <c r="B39" s="482">
        <v>730</v>
      </c>
      <c r="C39" s="465">
        <v>756099</v>
      </c>
      <c r="D39" s="465">
        <v>64806</v>
      </c>
      <c r="E39" s="465">
        <v>72684</v>
      </c>
      <c r="F39" s="465">
        <v>81503</v>
      </c>
      <c r="G39" s="465">
        <v>85444</v>
      </c>
      <c r="H39" s="465">
        <v>0</v>
      </c>
      <c r="I39" s="465">
        <v>35490</v>
      </c>
      <c r="J39" s="465">
        <v>51910</v>
      </c>
      <c r="K39" s="465">
        <v>9148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8083293</v>
      </c>
      <c r="N40" s="495"/>
    </row>
    <row r="41" spans="1:14" ht="13.5" customHeight="1" thickBot="1" x14ac:dyDescent="0.25">
      <c r="A41" s="1756" t="s">
        <v>676</v>
      </c>
      <c r="B41" s="1726"/>
      <c r="C41" s="1708">
        <f>(SUM(C34,C37,C38,C39))</f>
        <v>756099</v>
      </c>
      <c r="D41" s="1708">
        <f t="shared" ref="D41:L41" si="2">SUM(D34,D37,D38:D39)</f>
        <v>64806</v>
      </c>
      <c r="E41" s="1708">
        <f t="shared" si="2"/>
        <v>72684</v>
      </c>
      <c r="F41" s="1708">
        <f t="shared" si="2"/>
        <v>81503</v>
      </c>
      <c r="G41" s="1708">
        <f t="shared" si="2"/>
        <v>149668</v>
      </c>
      <c r="H41" s="1708">
        <f t="shared" si="2"/>
        <v>22162</v>
      </c>
      <c r="I41" s="1708">
        <f t="shared" si="2"/>
        <v>35490</v>
      </c>
      <c r="J41" s="1708">
        <f t="shared" si="2"/>
        <v>51910</v>
      </c>
      <c r="K41" s="1708">
        <f t="shared" si="2"/>
        <v>9148</v>
      </c>
      <c r="L41" s="1708">
        <f t="shared" si="2"/>
        <v>16471</v>
      </c>
      <c r="M41" s="1708">
        <f>SUM(M40)</f>
        <v>8083293</v>
      </c>
      <c r="N41" s="1708">
        <f>SUM(N37)</f>
        <v>471476</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41" sqref="L4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629446</v>
      </c>
      <c r="D4" s="1762">
        <f>'Revenues 9-14'!D109</f>
        <v>116162</v>
      </c>
      <c r="E4" s="1762">
        <f>'Revenues 9-14'!E109</f>
        <v>195671</v>
      </c>
      <c r="F4" s="1762">
        <f>'Revenues 9-14'!F109</f>
        <v>32249</v>
      </c>
      <c r="G4" s="1762">
        <f>'Revenues 9-14'!G109</f>
        <v>54965</v>
      </c>
      <c r="H4" s="1762">
        <f>'Revenues 9-14'!H109</f>
        <v>110662</v>
      </c>
      <c r="I4" s="1762">
        <f>'Revenues 9-14'!I109</f>
        <v>0</v>
      </c>
      <c r="J4" s="1762">
        <f>'Revenues 9-14'!J109</f>
        <v>6641</v>
      </c>
      <c r="K4" s="1762">
        <f>'Revenues 9-14'!K109</f>
        <v>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1897490</v>
      </c>
      <c r="D6" s="1763">
        <f>'Revenues 9-14'!D173</f>
        <v>147342</v>
      </c>
      <c r="E6" s="1763">
        <f>'Revenues 9-14'!E173</f>
        <v>0</v>
      </c>
      <c r="F6" s="1763">
        <f>'Revenues 9-14'!F173</f>
        <v>178259</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542477</v>
      </c>
      <c r="D7" s="1763">
        <f>'Revenues 9-14'!D274</f>
        <v>0</v>
      </c>
      <c r="E7" s="1763">
        <f>'Revenues 9-14'!E274</f>
        <v>0</v>
      </c>
      <c r="F7" s="1763">
        <f>'Revenues 9-14'!F274</f>
        <v>26643</v>
      </c>
      <c r="G7" s="1763">
        <f>'Revenues 9-14'!G274</f>
        <v>13413</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3069413</v>
      </c>
      <c r="D8" s="1708">
        <f t="shared" ref="D8:K8" si="0">SUM(D4:D7)</f>
        <v>263504</v>
      </c>
      <c r="E8" s="1708">
        <f t="shared" si="0"/>
        <v>195671</v>
      </c>
      <c r="F8" s="1708">
        <f t="shared" si="0"/>
        <v>237151</v>
      </c>
      <c r="G8" s="1708">
        <f t="shared" si="0"/>
        <v>68378</v>
      </c>
      <c r="H8" s="1708">
        <f t="shared" si="0"/>
        <v>110662</v>
      </c>
      <c r="I8" s="1708">
        <f t="shared" si="0"/>
        <v>0</v>
      </c>
      <c r="J8" s="1708">
        <f t="shared" si="0"/>
        <v>6641</v>
      </c>
      <c r="K8" s="1708">
        <f t="shared" si="0"/>
        <v>0</v>
      </c>
      <c r="L8" s="347"/>
    </row>
    <row r="9" spans="1:13" ht="15.75" thickTop="1" x14ac:dyDescent="0.2">
      <c r="A9" s="512" t="s">
        <v>1752</v>
      </c>
      <c r="B9" s="513">
        <v>3998</v>
      </c>
      <c r="C9" s="465">
        <v>1284352</v>
      </c>
      <c r="D9" s="514"/>
      <c r="E9" s="480"/>
      <c r="F9" s="480"/>
      <c r="G9" s="515"/>
      <c r="H9" s="480"/>
      <c r="I9" s="507" t="s">
        <v>1231</v>
      </c>
      <c r="J9" s="477"/>
      <c r="K9" s="480"/>
      <c r="L9" s="347"/>
    </row>
    <row r="10" spans="1:13" s="517" customFormat="1" ht="13.5" thickBot="1" x14ac:dyDescent="0.25">
      <c r="A10" s="1756" t="s">
        <v>1235</v>
      </c>
      <c r="B10" s="1729"/>
      <c r="C10" s="1708">
        <f>SUM(C8:C9)</f>
        <v>4353765</v>
      </c>
      <c r="D10" s="1708">
        <f t="shared" ref="D10:K10" si="1">SUM(D8:D9)</f>
        <v>263504</v>
      </c>
      <c r="E10" s="1708">
        <f t="shared" si="1"/>
        <v>195671</v>
      </c>
      <c r="F10" s="1708">
        <f t="shared" si="1"/>
        <v>237151</v>
      </c>
      <c r="G10" s="1708">
        <f t="shared" si="1"/>
        <v>68378</v>
      </c>
      <c r="H10" s="1708">
        <f t="shared" si="1"/>
        <v>110662</v>
      </c>
      <c r="I10" s="1708">
        <f t="shared" si="1"/>
        <v>0</v>
      </c>
      <c r="J10" s="1708">
        <f t="shared" si="1"/>
        <v>6641</v>
      </c>
      <c r="K10" s="1708">
        <f t="shared" si="1"/>
        <v>0</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1891259</v>
      </c>
      <c r="D12" s="518" t="s">
        <v>1231</v>
      </c>
      <c r="E12" s="468" t="s">
        <v>1231</v>
      </c>
      <c r="F12" s="468" t="s">
        <v>1231</v>
      </c>
      <c r="G12" s="1762">
        <f>'Expenditures 15-22'!K229</f>
        <v>35870</v>
      </c>
      <c r="H12" s="519"/>
      <c r="I12" s="468" t="s">
        <v>1231</v>
      </c>
      <c r="J12" s="468" t="s">
        <v>1231</v>
      </c>
      <c r="K12" s="519" t="s">
        <v>1231</v>
      </c>
      <c r="L12" s="347"/>
    </row>
    <row r="13" spans="1:13" ht="15.75" customHeight="1" x14ac:dyDescent="0.2">
      <c r="A13" s="1596" t="s">
        <v>477</v>
      </c>
      <c r="B13" s="1598">
        <v>2000</v>
      </c>
      <c r="C13" s="1763">
        <f>'Expenditures 15-22'!K74</f>
        <v>948721</v>
      </c>
      <c r="D13" s="1763">
        <f>'Expenditures 15-22'!K129</f>
        <v>313602</v>
      </c>
      <c r="E13" s="469" t="s">
        <v>1231</v>
      </c>
      <c r="F13" s="1763">
        <f>'Expenditures 15-22'!K184</f>
        <v>257667</v>
      </c>
      <c r="G13" s="1763">
        <f>'Expenditures 15-22'!K279</f>
        <v>26211</v>
      </c>
      <c r="H13" s="1763">
        <f>'Expenditures 15-22'!K303</f>
        <v>88500</v>
      </c>
      <c r="I13" s="468" t="s">
        <v>1231</v>
      </c>
      <c r="J13" s="1763">
        <f>'Expenditures 15-22'!K330</f>
        <v>31923</v>
      </c>
      <c r="K13" s="1767">
        <f>'Expenditures 15-22'!K352</f>
        <v>0</v>
      </c>
      <c r="L13" s="347"/>
    </row>
    <row r="14" spans="1:13" ht="15.75" customHeight="1" x14ac:dyDescent="0.2">
      <c r="A14" s="1596" t="s">
        <v>469</v>
      </c>
      <c r="B14" s="1598">
        <v>3000</v>
      </c>
      <c r="C14" s="1763">
        <f>'Expenditures 15-22'!K75</f>
        <v>524</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141340</v>
      </c>
      <c r="D15" s="1763">
        <f>'Expenditures 15-22'!K139</f>
        <v>0</v>
      </c>
      <c r="E15" s="1763">
        <f>'Expenditures 15-22'!K160</f>
        <v>0</v>
      </c>
      <c r="F15" s="1763">
        <f>'Expenditures 15-22'!K196</f>
        <v>16656</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187693</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2981844</v>
      </c>
      <c r="D17" s="1708">
        <f t="shared" si="2"/>
        <v>313602</v>
      </c>
      <c r="E17" s="1708">
        <f t="shared" si="2"/>
        <v>187693</v>
      </c>
      <c r="F17" s="1708">
        <f t="shared" si="2"/>
        <v>274323</v>
      </c>
      <c r="G17" s="1708">
        <f t="shared" si="2"/>
        <v>62081</v>
      </c>
      <c r="H17" s="1708">
        <f t="shared" si="2"/>
        <v>88500</v>
      </c>
      <c r="I17" s="468"/>
      <c r="J17" s="1708">
        <f>SUM(J12:J16)</f>
        <v>31923</v>
      </c>
      <c r="K17" s="1708">
        <f>SUM(K12:K16)</f>
        <v>0</v>
      </c>
      <c r="L17" s="347"/>
    </row>
    <row r="18" spans="1:12" ht="15" customHeight="1" thickTop="1" x14ac:dyDescent="0.2">
      <c r="A18" s="1764" t="s">
        <v>1753</v>
      </c>
      <c r="B18" s="1765">
        <v>4180</v>
      </c>
      <c r="C18" s="1762">
        <f t="shared" ref="C18:H18" si="3">C9</f>
        <v>1284352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4266196</v>
      </c>
      <c r="D19" s="1708">
        <f t="shared" si="4"/>
        <v>313602</v>
      </c>
      <c r="E19" s="1708">
        <f t="shared" si="4"/>
        <v>187693</v>
      </c>
      <c r="F19" s="1708">
        <f t="shared" si="4"/>
        <v>274323</v>
      </c>
      <c r="G19" s="1708">
        <f t="shared" si="4"/>
        <v>62081</v>
      </c>
      <c r="H19" s="1708">
        <f t="shared" si="4"/>
        <v>88500</v>
      </c>
      <c r="I19" s="468"/>
      <c r="J19" s="1708">
        <f>SUM(J17:J18)</f>
        <v>31923</v>
      </c>
      <c r="K19" s="1708">
        <f>SUM(K17:K18)</f>
        <v>0</v>
      </c>
      <c r="L19" s="347"/>
    </row>
    <row r="20" spans="1:12" ht="16.5" thickTop="1" thickBot="1" x14ac:dyDescent="0.25">
      <c r="A20" s="2145" t="s">
        <v>1754</v>
      </c>
      <c r="B20" s="2146"/>
      <c r="C20" s="1766">
        <f>C8-C17</f>
        <v>87569</v>
      </c>
      <c r="D20" s="1766">
        <f t="shared" ref="D20:K20" si="5">D8-D17</f>
        <v>-50098</v>
      </c>
      <c r="E20" s="1766">
        <f t="shared" si="5"/>
        <v>7978</v>
      </c>
      <c r="F20" s="1766">
        <f t="shared" si="5"/>
        <v>-37172</v>
      </c>
      <c r="G20" s="1766">
        <f t="shared" si="5"/>
        <v>6297</v>
      </c>
      <c r="H20" s="1766">
        <f t="shared" si="5"/>
        <v>22162</v>
      </c>
      <c r="I20" s="1766">
        <f t="shared" si="5"/>
        <v>0</v>
      </c>
      <c r="J20" s="1766">
        <f t="shared" si="5"/>
        <v>-25282</v>
      </c>
      <c r="K20" s="1766">
        <f t="shared" si="5"/>
        <v>0</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19000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19000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19000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19000</v>
      </c>
      <c r="J76" s="1723">
        <f t="shared" si="7"/>
        <v>0</v>
      </c>
      <c r="K76" s="1723">
        <f t="shared" si="7"/>
        <v>0</v>
      </c>
      <c r="L76" s="522"/>
    </row>
    <row r="77" spans="1:12" ht="14.25" thickTop="1" thickBot="1" x14ac:dyDescent="0.25">
      <c r="A77" s="2137" t="s">
        <v>1239</v>
      </c>
      <c r="B77" s="2138"/>
      <c r="C77" s="1723">
        <f t="shared" ref="C77:K77" si="8">C44-C76</f>
        <v>0</v>
      </c>
      <c r="D77" s="1723">
        <f t="shared" si="8"/>
        <v>19000</v>
      </c>
      <c r="E77" s="1723">
        <f t="shared" si="8"/>
        <v>0</v>
      </c>
      <c r="F77" s="1723">
        <f t="shared" si="8"/>
        <v>0</v>
      </c>
      <c r="G77" s="1723">
        <f t="shared" si="8"/>
        <v>0</v>
      </c>
      <c r="H77" s="1723">
        <f t="shared" si="8"/>
        <v>0</v>
      </c>
      <c r="I77" s="1723">
        <f t="shared" si="8"/>
        <v>-19000</v>
      </c>
      <c r="J77" s="1723">
        <f t="shared" si="8"/>
        <v>0</v>
      </c>
      <c r="K77" s="1723">
        <f t="shared" si="8"/>
        <v>0</v>
      </c>
      <c r="L77" s="347"/>
    </row>
    <row r="78" spans="1:12" ht="21.75" customHeight="1" thickTop="1" thickBot="1" x14ac:dyDescent="0.25">
      <c r="A78" s="2141" t="s">
        <v>618</v>
      </c>
      <c r="B78" s="2142"/>
      <c r="C78" s="1722">
        <f t="shared" ref="C78:K78" si="9">C20+C77</f>
        <v>87569</v>
      </c>
      <c r="D78" s="1722">
        <f t="shared" si="9"/>
        <v>-31098</v>
      </c>
      <c r="E78" s="1722">
        <f t="shared" si="9"/>
        <v>7978</v>
      </c>
      <c r="F78" s="1722">
        <f t="shared" si="9"/>
        <v>-37172</v>
      </c>
      <c r="G78" s="1722">
        <f t="shared" si="9"/>
        <v>6297</v>
      </c>
      <c r="H78" s="1722">
        <f t="shared" si="9"/>
        <v>22162</v>
      </c>
      <c r="I78" s="1722">
        <f t="shared" si="9"/>
        <v>-19000</v>
      </c>
      <c r="J78" s="1722">
        <f t="shared" si="9"/>
        <v>-25282</v>
      </c>
      <c r="K78" s="1722">
        <f t="shared" si="9"/>
        <v>0</v>
      </c>
      <c r="L78" s="531"/>
    </row>
    <row r="79" spans="1:12" ht="13.5" thickTop="1" x14ac:dyDescent="0.2">
      <c r="A79" s="1514" t="s">
        <v>2073</v>
      </c>
      <c r="B79" s="532"/>
      <c r="C79" s="467">
        <v>668530</v>
      </c>
      <c r="D79" s="467">
        <v>95904</v>
      </c>
      <c r="E79" s="467">
        <v>64706</v>
      </c>
      <c r="F79" s="467">
        <v>118675</v>
      </c>
      <c r="G79" s="467">
        <v>143371</v>
      </c>
      <c r="H79" s="467">
        <v>0</v>
      </c>
      <c r="I79" s="467">
        <v>54490</v>
      </c>
      <c r="J79" s="467">
        <v>77192</v>
      </c>
      <c r="K79" s="467">
        <v>9148</v>
      </c>
      <c r="L79" s="347"/>
    </row>
    <row r="80" spans="1:12" x14ac:dyDescent="0.2">
      <c r="A80" s="2147" t="s">
        <v>1898</v>
      </c>
      <c r="B80" s="2148"/>
      <c r="C80" s="467">
        <v>0</v>
      </c>
      <c r="D80" s="467">
        <v>0</v>
      </c>
      <c r="E80" s="467">
        <v>0</v>
      </c>
      <c r="F80" s="467">
        <v>0</v>
      </c>
      <c r="G80" s="467">
        <v>0</v>
      </c>
      <c r="H80" s="467">
        <v>0</v>
      </c>
      <c r="I80" s="467">
        <v>0</v>
      </c>
      <c r="J80" s="467">
        <v>0</v>
      </c>
      <c r="K80" s="467">
        <v>0</v>
      </c>
      <c r="L80" s="347"/>
    </row>
    <row r="81" spans="1:12" ht="13.5" thickBot="1" x14ac:dyDescent="0.25">
      <c r="A81" s="2139" t="s">
        <v>2074</v>
      </c>
      <c r="B81" s="2140"/>
      <c r="C81" s="1708">
        <f>(SUM(C78:C80))</f>
        <v>756099</v>
      </c>
      <c r="D81" s="1708">
        <f>SUM(D78:D80)</f>
        <v>64806</v>
      </c>
      <c r="E81" s="1708">
        <f t="shared" ref="E81:K81" si="10">SUM(E78:E80)</f>
        <v>72684</v>
      </c>
      <c r="F81" s="1708">
        <f t="shared" si="10"/>
        <v>81503</v>
      </c>
      <c r="G81" s="1708">
        <f t="shared" si="10"/>
        <v>149668</v>
      </c>
      <c r="H81" s="1708">
        <f t="shared" si="10"/>
        <v>22162</v>
      </c>
      <c r="I81" s="1708">
        <f t="shared" si="10"/>
        <v>35490</v>
      </c>
      <c r="J81" s="1708">
        <f t="shared" si="10"/>
        <v>51910</v>
      </c>
      <c r="K81" s="1708">
        <f t="shared" si="10"/>
        <v>9148</v>
      </c>
      <c r="L81" s="347"/>
    </row>
    <row r="82" spans="1:12" ht="0.75" customHeight="1" thickTop="1" thickBot="1" x14ac:dyDescent="0.25">
      <c r="A82" s="534" t="s">
        <v>361</v>
      </c>
      <c r="B82" s="535"/>
      <c r="C82" s="536">
        <f>(C81-C79)</f>
        <v>87569</v>
      </c>
      <c r="D82" s="536">
        <f t="shared" ref="D82:K82" si="11">(D81-D79)</f>
        <v>-31098</v>
      </c>
      <c r="E82" s="536">
        <f t="shared" si="11"/>
        <v>7978</v>
      </c>
      <c r="F82" s="536">
        <f t="shared" si="11"/>
        <v>-37172</v>
      </c>
      <c r="G82" s="536">
        <f t="shared" si="11"/>
        <v>6297</v>
      </c>
      <c r="H82" s="536">
        <f t="shared" si="11"/>
        <v>22162</v>
      </c>
      <c r="I82" s="536">
        <f t="shared" si="11"/>
        <v>-19000</v>
      </c>
      <c r="J82" s="536">
        <f t="shared" si="11"/>
        <v>-25282</v>
      </c>
      <c r="K82" s="536">
        <f t="shared" si="11"/>
        <v>0</v>
      </c>
    </row>
    <row r="83" spans="1:12" ht="14.25" hidden="1" thickTop="1" thickBot="1" x14ac:dyDescent="0.25">
      <c r="A83" s="537" t="s">
        <v>362</v>
      </c>
      <c r="B83" s="464"/>
      <c r="C83" s="538">
        <f>C82/C81</f>
        <v>0.11581684409052254</v>
      </c>
      <c r="D83" s="538">
        <f t="shared" ref="D83:K83" si="12">D82/D81</f>
        <v>-0.47986297565040276</v>
      </c>
      <c r="E83" s="538">
        <f t="shared" si="12"/>
        <v>0.10976280887127841</v>
      </c>
      <c r="F83" s="538">
        <f t="shared" si="12"/>
        <v>-0.45608137123786857</v>
      </c>
      <c r="G83" s="538">
        <f t="shared" si="12"/>
        <v>4.2073121843012533E-2</v>
      </c>
      <c r="H83" s="538">
        <f t="shared" si="12"/>
        <v>1</v>
      </c>
      <c r="I83" s="538">
        <f t="shared" si="12"/>
        <v>-0.53536207382361234</v>
      </c>
      <c r="J83" s="538">
        <f t="shared" si="12"/>
        <v>-0.48703525332305914</v>
      </c>
      <c r="K83" s="538">
        <f t="shared" si="12"/>
        <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41" sqref="L4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526030</v>
      </c>
      <c r="D5" s="480">
        <v>79560</v>
      </c>
      <c r="E5" s="480">
        <v>195529</v>
      </c>
      <c r="F5" s="546">
        <v>31831</v>
      </c>
      <c r="G5" s="466">
        <v>26545</v>
      </c>
      <c r="H5" s="466">
        <v>0</v>
      </c>
      <c r="I5" s="466">
        <v>0</v>
      </c>
      <c r="J5" s="466">
        <v>6636</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5343</v>
      </c>
      <c r="D7" s="466">
        <v>0</v>
      </c>
      <c r="E7" s="468"/>
      <c r="F7" s="467">
        <v>0</v>
      </c>
      <c r="G7" s="467">
        <v>0</v>
      </c>
      <c r="H7" s="467">
        <v>0</v>
      </c>
      <c r="I7" s="468"/>
      <c r="J7" s="468"/>
      <c r="K7" s="468"/>
    </row>
    <row r="8" spans="1:12" x14ac:dyDescent="0.2">
      <c r="A8" s="463" t="s">
        <v>433</v>
      </c>
      <c r="B8" s="470">
        <v>1150</v>
      </c>
      <c r="C8" s="475"/>
      <c r="D8" s="475"/>
      <c r="E8" s="476"/>
      <c r="F8" s="476"/>
      <c r="G8" s="480">
        <v>13272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531373</v>
      </c>
      <c r="D12" s="1727">
        <f t="shared" si="0"/>
        <v>79560</v>
      </c>
      <c r="E12" s="1727">
        <f t="shared" si="0"/>
        <v>195529</v>
      </c>
      <c r="F12" s="1727">
        <f t="shared" si="0"/>
        <v>31831</v>
      </c>
      <c r="G12" s="1727">
        <f t="shared" si="0"/>
        <v>39817</v>
      </c>
      <c r="H12" s="1727">
        <f t="shared" si="0"/>
        <v>0</v>
      </c>
      <c r="I12" s="1727">
        <f t="shared" si="0"/>
        <v>0</v>
      </c>
      <c r="J12" s="1727">
        <f t="shared" si="0"/>
        <v>6636</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153</v>
      </c>
      <c r="D14" s="466">
        <v>23</v>
      </c>
      <c r="E14" s="466">
        <v>56</v>
      </c>
      <c r="F14" s="466">
        <v>9</v>
      </c>
      <c r="G14" s="466">
        <v>11</v>
      </c>
      <c r="H14" s="466">
        <v>0</v>
      </c>
      <c r="I14" s="466">
        <v>0</v>
      </c>
      <c r="J14" s="467">
        <v>2</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59637</v>
      </c>
      <c r="D16" s="466">
        <v>0</v>
      </c>
      <c r="E16" s="466">
        <v>0</v>
      </c>
      <c r="F16" s="466">
        <v>0</v>
      </c>
      <c r="G16" s="466">
        <v>15120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59790</v>
      </c>
      <c r="D18" s="1730">
        <f t="shared" ref="D18:K18" si="1">SUM(D14:D17)</f>
        <v>23</v>
      </c>
      <c r="E18" s="1730">
        <f t="shared" si="1"/>
        <v>56</v>
      </c>
      <c r="F18" s="1730">
        <f t="shared" si="1"/>
        <v>9</v>
      </c>
      <c r="G18" s="1730">
        <f t="shared" si="1"/>
        <v>15131</v>
      </c>
      <c r="H18" s="1730">
        <f t="shared" si="1"/>
        <v>0</v>
      </c>
      <c r="I18" s="1730">
        <f t="shared" si="1"/>
        <v>0</v>
      </c>
      <c r="J18" s="1730">
        <f t="shared" si="1"/>
        <v>2</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3923</v>
      </c>
      <c r="D65" s="466">
        <v>1462</v>
      </c>
      <c r="E65" s="466">
        <v>86</v>
      </c>
      <c r="F65" s="467">
        <v>409</v>
      </c>
      <c r="G65" s="466">
        <v>17</v>
      </c>
      <c r="H65" s="466">
        <v>0</v>
      </c>
      <c r="I65" s="466">
        <v>0</v>
      </c>
      <c r="J65" s="467">
        <v>3</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3923</v>
      </c>
      <c r="D67" s="1708">
        <f t="shared" ref="D67:K67" si="2">SUM(D65:D66)</f>
        <v>1462</v>
      </c>
      <c r="E67" s="1708">
        <f t="shared" si="2"/>
        <v>86</v>
      </c>
      <c r="F67" s="1708">
        <f t="shared" si="2"/>
        <v>409</v>
      </c>
      <c r="G67" s="1708">
        <f t="shared" si="2"/>
        <v>17</v>
      </c>
      <c r="H67" s="1708">
        <f t="shared" si="2"/>
        <v>0</v>
      </c>
      <c r="I67" s="1708">
        <f t="shared" si="2"/>
        <v>0</v>
      </c>
      <c r="J67" s="1708">
        <f t="shared" si="2"/>
        <v>3</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2285</v>
      </c>
      <c r="D73" s="468"/>
      <c r="E73" s="468"/>
      <c r="F73" s="468"/>
      <c r="G73" s="468"/>
      <c r="H73" s="468"/>
      <c r="I73" s="468"/>
      <c r="J73" s="468"/>
      <c r="K73" s="468"/>
    </row>
    <row r="74" spans="1:11" ht="12.75" customHeight="1" x14ac:dyDescent="0.2">
      <c r="A74" s="463" t="s">
        <v>25</v>
      </c>
      <c r="B74" s="470">
        <v>1690</v>
      </c>
      <c r="C74" s="549">
        <v>17587</v>
      </c>
      <c r="D74" s="468"/>
      <c r="E74" s="468"/>
      <c r="F74" s="468"/>
      <c r="G74" s="468"/>
      <c r="H74" s="468"/>
      <c r="I74" s="468"/>
      <c r="J74" s="468"/>
      <c r="K74" s="468"/>
    </row>
    <row r="75" spans="1:11" ht="12.75" customHeight="1" thickBot="1" x14ac:dyDescent="0.25">
      <c r="A75" s="1728" t="s">
        <v>569</v>
      </c>
      <c r="B75" s="1729"/>
      <c r="C75" s="1708">
        <f>SUM(C69:C74)</f>
        <v>19872</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76</v>
      </c>
      <c r="D81" s="466">
        <v>0</v>
      </c>
      <c r="E81" s="468"/>
      <c r="F81" s="468"/>
      <c r="G81" s="468"/>
      <c r="H81" s="468"/>
      <c r="I81" s="468"/>
      <c r="J81" s="468"/>
      <c r="K81" s="468"/>
    </row>
    <row r="82" spans="1:11" ht="12.75" customHeight="1" thickBot="1" x14ac:dyDescent="0.25">
      <c r="A82" s="1728" t="s">
        <v>259</v>
      </c>
      <c r="B82" s="1729"/>
      <c r="C82" s="1727">
        <f>SUM(C77:C81)</f>
        <v>76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2680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2680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4140</v>
      </c>
      <c r="D95" s="549">
        <v>0</v>
      </c>
      <c r="E95" s="519"/>
      <c r="F95" s="519"/>
      <c r="G95" s="519"/>
      <c r="H95" s="519"/>
      <c r="I95" s="519"/>
      <c r="J95" s="519"/>
      <c r="K95" s="519"/>
    </row>
    <row r="96" spans="1:11" ht="12.75" customHeight="1" x14ac:dyDescent="0.2">
      <c r="A96" s="463" t="s">
        <v>409</v>
      </c>
      <c r="B96" s="470">
        <v>1920</v>
      </c>
      <c r="C96" s="549">
        <v>1</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35117</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110662</v>
      </c>
      <c r="I103" s="468"/>
      <c r="J103" s="508"/>
      <c r="K103" s="508"/>
    </row>
    <row r="104" spans="1:12" ht="12.75" customHeight="1" x14ac:dyDescent="0.2">
      <c r="A104" s="463" t="s">
        <v>885</v>
      </c>
      <c r="B104" s="470">
        <v>1991</v>
      </c>
      <c r="C104" s="487">
        <v>4603</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2988</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11732</v>
      </c>
      <c r="D108" s="1727">
        <f t="shared" ref="D108:K108" si="3">SUM(D95:D107)</f>
        <v>35117</v>
      </c>
      <c r="E108" s="1727">
        <f t="shared" si="3"/>
        <v>0</v>
      </c>
      <c r="F108" s="1727">
        <f t="shared" si="3"/>
        <v>0</v>
      </c>
      <c r="G108" s="1727">
        <f t="shared" si="3"/>
        <v>0</v>
      </c>
      <c r="H108" s="1727">
        <f t="shared" si="3"/>
        <v>110662</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629446</v>
      </c>
      <c r="D109" s="1735">
        <f t="shared" si="4"/>
        <v>116162</v>
      </c>
      <c r="E109" s="1735">
        <f t="shared" si="4"/>
        <v>195671</v>
      </c>
      <c r="F109" s="1735">
        <f t="shared" si="4"/>
        <v>32249</v>
      </c>
      <c r="G109" s="1735">
        <f t="shared" si="4"/>
        <v>54965</v>
      </c>
      <c r="H109" s="1735">
        <f t="shared" si="4"/>
        <v>110662</v>
      </c>
      <c r="I109" s="1735">
        <f t="shared" si="4"/>
        <v>0</v>
      </c>
      <c r="J109" s="1735">
        <f t="shared" si="4"/>
        <v>6641</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1812627</v>
      </c>
      <c r="D117" s="480">
        <v>147342</v>
      </c>
      <c r="E117" s="466">
        <v>0</v>
      </c>
      <c r="F117" s="480">
        <v>86490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1812627</v>
      </c>
      <c r="D121" s="1727">
        <f t="shared" si="5"/>
        <v>147342</v>
      </c>
      <c r="E121" s="1727">
        <f t="shared" si="5"/>
        <v>0</v>
      </c>
      <c r="F121" s="1727">
        <f t="shared" si="5"/>
        <v>86490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18806</v>
      </c>
      <c r="D124" s="559"/>
      <c r="E124" s="468"/>
      <c r="F124" s="546">
        <v>0</v>
      </c>
      <c r="G124" s="468"/>
      <c r="H124" s="468"/>
      <c r="I124" s="468"/>
      <c r="J124" s="468"/>
      <c r="K124" s="468"/>
    </row>
    <row r="125" spans="1:11" ht="12.75" customHeight="1" x14ac:dyDescent="0.2">
      <c r="A125" s="463" t="s">
        <v>1521</v>
      </c>
      <c r="B125" s="560">
        <v>3105</v>
      </c>
      <c r="C125" s="466">
        <v>22922</v>
      </c>
      <c r="D125" s="559"/>
      <c r="E125" s="468"/>
      <c r="F125" s="466">
        <v>0</v>
      </c>
      <c r="G125" s="468"/>
      <c r="H125" s="468"/>
      <c r="I125" s="468"/>
      <c r="J125" s="468"/>
      <c r="K125" s="468"/>
    </row>
    <row r="126" spans="1:11" ht="12.75" customHeight="1" x14ac:dyDescent="0.2">
      <c r="A126" s="463" t="s">
        <v>922</v>
      </c>
      <c r="B126" s="560">
        <v>3110</v>
      </c>
      <c r="C126" s="549">
        <v>34435</v>
      </c>
      <c r="D126" s="466">
        <v>0</v>
      </c>
      <c r="E126" s="468"/>
      <c r="F126" s="466">
        <v>0</v>
      </c>
      <c r="G126" s="468"/>
      <c r="H126" s="468"/>
      <c r="I126" s="468"/>
      <c r="J126" s="468"/>
      <c r="K126" s="468"/>
    </row>
    <row r="127" spans="1:11" ht="12.75" customHeight="1" x14ac:dyDescent="0.2">
      <c r="A127" s="463" t="s">
        <v>107</v>
      </c>
      <c r="B127" s="560">
        <v>3120</v>
      </c>
      <c r="C127" s="466">
        <v>3925</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781</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80869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3244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49949</v>
      </c>
      <c r="G151" s="467">
        <v>0</v>
      </c>
      <c r="H151" s="468"/>
      <c r="I151" s="468"/>
      <c r="J151" s="468"/>
      <c r="K151" s="468"/>
    </row>
    <row r="152" spans="1:11" ht="12.75" customHeight="1" x14ac:dyDescent="0.2">
      <c r="A152" s="463" t="s">
        <v>1117</v>
      </c>
      <c r="B152" s="560">
        <v>3510</v>
      </c>
      <c r="C152" s="549">
        <v>0</v>
      </c>
      <c r="D152" s="466">
        <v>0</v>
      </c>
      <c r="E152" s="559"/>
      <c r="F152" s="466">
        <v>41820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91769</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750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84863</v>
      </c>
      <c r="D172" s="1742">
        <f t="shared" si="6"/>
        <v>0</v>
      </c>
      <c r="E172" s="1742">
        <f t="shared" si="6"/>
        <v>0</v>
      </c>
      <c r="F172" s="1742">
        <f t="shared" si="6"/>
        <v>91769</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1897490</v>
      </c>
      <c r="D173" s="1735">
        <f>SUM(D121,D172)</f>
        <v>147342</v>
      </c>
      <c r="E173" s="1735">
        <f>SUM(E121,E172)</f>
        <v>0</v>
      </c>
      <c r="F173" s="1735">
        <f t="shared" ref="F173:K173" si="7">SUM(F121,F172)</f>
        <v>178259</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1" t="s">
        <v>818</v>
      </c>
      <c r="B184" s="2172"/>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1906</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124489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52446</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176935</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188104</v>
      </c>
      <c r="D203" s="466">
        <v>0</v>
      </c>
      <c r="E203" s="468"/>
      <c r="F203" s="466">
        <v>0</v>
      </c>
      <c r="G203" s="466">
        <v>10312</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188104</v>
      </c>
      <c r="D211" s="1727">
        <f>SUM(D203:D210)</f>
        <v>0</v>
      </c>
      <c r="E211" s="468"/>
      <c r="F211" s="1727">
        <f>SUM(F203:F210)</f>
        <v>0</v>
      </c>
      <c r="G211" s="1727">
        <f>SUM(G203:G210)</f>
        <v>10312</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10000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51560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51560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70752</v>
      </c>
      <c r="D261" s="590">
        <v>0</v>
      </c>
      <c r="E261" s="469"/>
      <c r="F261" s="590">
        <v>26643</v>
      </c>
      <c r="G261" s="590">
        <v>3101</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13121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8167</v>
      </c>
      <c r="D270" s="574">
        <v>0</v>
      </c>
      <c r="E270" s="468"/>
      <c r="F270" s="574">
        <v>0</v>
      </c>
      <c r="G270" s="574">
        <v>0</v>
      </c>
      <c r="H270" s="468"/>
      <c r="I270" s="468"/>
      <c r="J270" s="468"/>
      <c r="K270" s="468"/>
    </row>
    <row r="271" spans="1:11" ht="12.75" customHeight="1" thickTop="1" thickBot="1" x14ac:dyDescent="0.25">
      <c r="A271" s="463" t="s">
        <v>395</v>
      </c>
      <c r="B271" s="470">
        <v>4992</v>
      </c>
      <c r="C271" s="573">
        <v>18839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4999</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542477</v>
      </c>
      <c r="D273" s="1735">
        <f t="shared" si="10"/>
        <v>0</v>
      </c>
      <c r="E273" s="1735">
        <f t="shared" si="10"/>
        <v>0</v>
      </c>
      <c r="F273" s="1735">
        <f t="shared" si="10"/>
        <v>26643</v>
      </c>
      <c r="G273" s="1735">
        <f t="shared" si="10"/>
        <v>13413</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542477</v>
      </c>
      <c r="D274" s="1735">
        <f>SUM(D178,D184,D273)</f>
        <v>0</v>
      </c>
      <c r="E274" s="1735">
        <f>SUM(E178,E273)</f>
        <v>0</v>
      </c>
      <c r="F274" s="1735">
        <f t="shared" ref="F274:K274" si="11">SUM(F178,F184,F273)</f>
        <v>26643</v>
      </c>
      <c r="G274" s="1735">
        <f t="shared" si="11"/>
        <v>13413</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3069413</v>
      </c>
      <c r="D275" s="1735">
        <f t="shared" si="12"/>
        <v>263504</v>
      </c>
      <c r="E275" s="1735">
        <f t="shared" si="12"/>
        <v>195671</v>
      </c>
      <c r="F275" s="1735">
        <f t="shared" si="12"/>
        <v>237151</v>
      </c>
      <c r="G275" s="1735">
        <f t="shared" si="12"/>
        <v>68378</v>
      </c>
      <c r="H275" s="1735">
        <f t="shared" si="12"/>
        <v>110662</v>
      </c>
      <c r="I275" s="1735">
        <f t="shared" si="12"/>
        <v>0</v>
      </c>
      <c r="J275" s="1735">
        <f t="shared" si="12"/>
        <v>6641</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30" zoomScaleNormal="130" workbookViewId="0">
      <pane ySplit="2" topLeftCell="A3" activePane="bottomLeft" state="frozen"/>
      <selection activeCell="L41" sqref="L4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7"/>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3" t="s">
        <v>315</v>
      </c>
      <c r="B3" s="2184"/>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919381</v>
      </c>
      <c r="D5" s="466">
        <v>245653</v>
      </c>
      <c r="E5" s="466">
        <v>21401</v>
      </c>
      <c r="F5" s="466">
        <v>6612</v>
      </c>
      <c r="G5" s="466">
        <v>0</v>
      </c>
      <c r="H5" s="466">
        <v>0</v>
      </c>
      <c r="I5" s="467">
        <v>0</v>
      </c>
      <c r="J5" s="467">
        <v>0</v>
      </c>
      <c r="K5" s="1691">
        <f>SUM(C5:J5)</f>
        <v>1193047</v>
      </c>
      <c r="L5" s="466">
        <v>1152961</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51814</v>
      </c>
      <c r="D7" s="467">
        <v>11962</v>
      </c>
      <c r="E7" s="467">
        <v>0</v>
      </c>
      <c r="F7" s="467">
        <v>1434</v>
      </c>
      <c r="G7" s="467">
        <v>0</v>
      </c>
      <c r="H7" s="467">
        <v>0</v>
      </c>
      <c r="I7" s="467">
        <v>0</v>
      </c>
      <c r="J7" s="467">
        <v>0</v>
      </c>
      <c r="K7" s="1691">
        <f t="shared" ref="K7:K32" si="0">SUM(C7:J7)</f>
        <v>65210</v>
      </c>
      <c r="L7" s="466">
        <v>70758</v>
      </c>
    </row>
    <row r="8" spans="1:14" x14ac:dyDescent="0.2">
      <c r="A8" s="1524" t="s">
        <v>166</v>
      </c>
      <c r="B8" s="613">
        <v>1200</v>
      </c>
      <c r="C8" s="466">
        <v>172725</v>
      </c>
      <c r="D8" s="466">
        <v>37615</v>
      </c>
      <c r="E8" s="466">
        <v>0</v>
      </c>
      <c r="F8" s="466">
        <v>0</v>
      </c>
      <c r="G8" s="466">
        <v>0</v>
      </c>
      <c r="H8" s="466">
        <v>0</v>
      </c>
      <c r="I8" s="467">
        <v>0</v>
      </c>
      <c r="J8" s="467">
        <v>0</v>
      </c>
      <c r="K8" s="1691">
        <f t="shared" si="0"/>
        <v>210340</v>
      </c>
      <c r="L8" s="466">
        <v>326449</v>
      </c>
    </row>
    <row r="9" spans="1:14" x14ac:dyDescent="0.2">
      <c r="A9" s="1524" t="s">
        <v>745</v>
      </c>
      <c r="B9" s="613" t="s">
        <v>1025</v>
      </c>
      <c r="C9" s="467">
        <v>69901</v>
      </c>
      <c r="D9" s="467">
        <v>13634</v>
      </c>
      <c r="E9" s="467">
        <v>0</v>
      </c>
      <c r="F9" s="467">
        <v>291</v>
      </c>
      <c r="G9" s="467">
        <v>0</v>
      </c>
      <c r="H9" s="467">
        <v>0</v>
      </c>
      <c r="I9" s="467">
        <v>0</v>
      </c>
      <c r="J9" s="467">
        <v>0</v>
      </c>
      <c r="K9" s="1691">
        <f t="shared" si="0"/>
        <v>83826</v>
      </c>
      <c r="L9" s="466">
        <v>82165</v>
      </c>
    </row>
    <row r="10" spans="1:14" x14ac:dyDescent="0.2">
      <c r="A10" s="1524" t="s">
        <v>746</v>
      </c>
      <c r="B10" s="613">
        <v>1250</v>
      </c>
      <c r="C10" s="466">
        <v>218802</v>
      </c>
      <c r="D10" s="466">
        <v>32603</v>
      </c>
      <c r="E10" s="466">
        <v>0</v>
      </c>
      <c r="F10" s="466">
        <v>1653</v>
      </c>
      <c r="G10" s="466">
        <v>0</v>
      </c>
      <c r="H10" s="466">
        <v>0</v>
      </c>
      <c r="I10" s="467">
        <v>0</v>
      </c>
      <c r="J10" s="467">
        <v>0</v>
      </c>
      <c r="K10" s="1691">
        <f t="shared" si="0"/>
        <v>253058</v>
      </c>
      <c r="L10" s="466">
        <v>330305</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26764</v>
      </c>
      <c r="D14" s="466">
        <v>3998</v>
      </c>
      <c r="E14" s="466">
        <v>1123</v>
      </c>
      <c r="F14" s="466">
        <v>658</v>
      </c>
      <c r="G14" s="466">
        <v>0</v>
      </c>
      <c r="H14" s="466">
        <v>0</v>
      </c>
      <c r="I14" s="467">
        <v>0</v>
      </c>
      <c r="J14" s="467">
        <v>0</v>
      </c>
      <c r="K14" s="1691">
        <f t="shared" si="0"/>
        <v>32543</v>
      </c>
      <c r="L14" s="466">
        <v>24829</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53235</v>
      </c>
      <c r="I22" s="615"/>
      <c r="J22" s="476"/>
      <c r="K22" s="1691">
        <f t="shared" si="0"/>
        <v>53235</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1459387</v>
      </c>
      <c r="D33" s="1690">
        <f t="shared" ref="D33:L33" si="1">SUM(D5:D32)</f>
        <v>345465</v>
      </c>
      <c r="E33" s="1690">
        <f t="shared" si="1"/>
        <v>22524</v>
      </c>
      <c r="F33" s="1690">
        <f t="shared" si="1"/>
        <v>10648</v>
      </c>
      <c r="G33" s="1690">
        <f t="shared" si="1"/>
        <v>0</v>
      </c>
      <c r="H33" s="1690">
        <f t="shared" si="1"/>
        <v>53235</v>
      </c>
      <c r="I33" s="1690">
        <f t="shared" si="1"/>
        <v>0</v>
      </c>
      <c r="J33" s="1690">
        <f t="shared" si="1"/>
        <v>0</v>
      </c>
      <c r="K33" s="1690">
        <f t="shared" si="1"/>
        <v>1891259</v>
      </c>
      <c r="L33" s="1690">
        <f t="shared" si="1"/>
        <v>1987467</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9689</v>
      </c>
      <c r="D37" s="466">
        <v>1963</v>
      </c>
      <c r="E37" s="466">
        <v>0</v>
      </c>
      <c r="F37" s="466">
        <v>1505</v>
      </c>
      <c r="G37" s="466">
        <v>0</v>
      </c>
      <c r="H37" s="466">
        <v>0</v>
      </c>
      <c r="I37" s="467">
        <v>0</v>
      </c>
      <c r="J37" s="467">
        <v>0</v>
      </c>
      <c r="K37" s="1691">
        <f t="shared" si="2"/>
        <v>13157</v>
      </c>
      <c r="L37" s="466">
        <v>54365</v>
      </c>
    </row>
    <row r="38" spans="1:14" x14ac:dyDescent="0.2">
      <c r="A38" s="1524" t="s">
        <v>207</v>
      </c>
      <c r="B38" s="613">
        <v>2130</v>
      </c>
      <c r="C38" s="466">
        <v>175</v>
      </c>
      <c r="D38" s="466">
        <v>13</v>
      </c>
      <c r="E38" s="466">
        <v>25</v>
      </c>
      <c r="F38" s="466">
        <v>331</v>
      </c>
      <c r="G38" s="466">
        <v>0</v>
      </c>
      <c r="H38" s="466">
        <v>0</v>
      </c>
      <c r="I38" s="467">
        <v>0</v>
      </c>
      <c r="J38" s="467">
        <v>0</v>
      </c>
      <c r="K38" s="1691">
        <f t="shared" si="2"/>
        <v>544</v>
      </c>
      <c r="L38" s="466">
        <v>600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39800</v>
      </c>
      <c r="D40" s="466">
        <v>11252</v>
      </c>
      <c r="E40" s="466">
        <v>0</v>
      </c>
      <c r="F40" s="466">
        <v>88</v>
      </c>
      <c r="G40" s="466">
        <v>0</v>
      </c>
      <c r="H40" s="466">
        <v>0</v>
      </c>
      <c r="I40" s="467">
        <v>0</v>
      </c>
      <c r="J40" s="467">
        <v>0</v>
      </c>
      <c r="K40" s="1691">
        <f t="shared" si="2"/>
        <v>51140</v>
      </c>
      <c r="L40" s="466">
        <v>47922</v>
      </c>
    </row>
    <row r="41" spans="1:14" x14ac:dyDescent="0.2">
      <c r="A41" s="1524" t="s">
        <v>1768</v>
      </c>
      <c r="B41" s="613">
        <v>2190</v>
      </c>
      <c r="C41" s="466">
        <v>14428</v>
      </c>
      <c r="D41" s="466">
        <v>1064</v>
      </c>
      <c r="E41" s="466">
        <v>0</v>
      </c>
      <c r="F41" s="466">
        <v>0</v>
      </c>
      <c r="G41" s="466">
        <v>0</v>
      </c>
      <c r="H41" s="466">
        <v>0</v>
      </c>
      <c r="I41" s="467">
        <v>0</v>
      </c>
      <c r="J41" s="467">
        <v>0</v>
      </c>
      <c r="K41" s="1691">
        <f t="shared" si="2"/>
        <v>15492</v>
      </c>
      <c r="L41" s="466">
        <v>10600</v>
      </c>
    </row>
    <row r="42" spans="1:14" ht="12.75" customHeight="1" thickBot="1" x14ac:dyDescent="0.25">
      <c r="A42" s="1688" t="s">
        <v>581</v>
      </c>
      <c r="B42" s="1689" t="s">
        <v>740</v>
      </c>
      <c r="C42" s="1690">
        <f>SUM(C36:C41)</f>
        <v>64092</v>
      </c>
      <c r="D42" s="1690">
        <f t="shared" ref="D42:L42" si="3">SUM(D36:D41)</f>
        <v>14292</v>
      </c>
      <c r="E42" s="1690">
        <f t="shared" si="3"/>
        <v>25</v>
      </c>
      <c r="F42" s="1690">
        <f t="shared" si="3"/>
        <v>1924</v>
      </c>
      <c r="G42" s="1690">
        <f t="shared" si="3"/>
        <v>0</v>
      </c>
      <c r="H42" s="1690">
        <f t="shared" si="3"/>
        <v>0</v>
      </c>
      <c r="I42" s="1690">
        <f t="shared" si="3"/>
        <v>0</v>
      </c>
      <c r="J42" s="1690">
        <f t="shared" si="3"/>
        <v>0</v>
      </c>
      <c r="K42" s="1690">
        <f t="shared" si="3"/>
        <v>80333</v>
      </c>
      <c r="L42" s="1690">
        <f t="shared" si="3"/>
        <v>113487</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14600</v>
      </c>
      <c r="D44" s="480">
        <v>2757</v>
      </c>
      <c r="E44" s="480">
        <v>7497</v>
      </c>
      <c r="F44" s="480">
        <v>3560</v>
      </c>
      <c r="G44" s="480">
        <v>0</v>
      </c>
      <c r="H44" s="480">
        <v>0</v>
      </c>
      <c r="I44" s="467">
        <v>0</v>
      </c>
      <c r="J44" s="467">
        <v>0</v>
      </c>
      <c r="K44" s="1692">
        <f>SUM(C44:J44)</f>
        <v>28414</v>
      </c>
      <c r="L44" s="480">
        <v>10000</v>
      </c>
    </row>
    <row r="45" spans="1:14" x14ac:dyDescent="0.2">
      <c r="A45" s="1524" t="s">
        <v>869</v>
      </c>
      <c r="B45" s="613">
        <v>2220</v>
      </c>
      <c r="C45" s="467">
        <v>53511</v>
      </c>
      <c r="D45" s="466">
        <v>13345</v>
      </c>
      <c r="E45" s="466">
        <v>0</v>
      </c>
      <c r="F45" s="466">
        <v>46020</v>
      </c>
      <c r="G45" s="466">
        <v>0</v>
      </c>
      <c r="H45" s="466">
        <v>0</v>
      </c>
      <c r="I45" s="467">
        <v>0</v>
      </c>
      <c r="J45" s="467">
        <v>0</v>
      </c>
      <c r="K45" s="1692">
        <f>SUM(C45:J45)</f>
        <v>112876</v>
      </c>
      <c r="L45" s="466">
        <v>101981</v>
      </c>
    </row>
    <row r="46" spans="1:14" x14ac:dyDescent="0.2">
      <c r="A46" s="1524" t="s">
        <v>870</v>
      </c>
      <c r="B46" s="613">
        <v>2230</v>
      </c>
      <c r="C46" s="467">
        <v>0</v>
      </c>
      <c r="D46" s="466">
        <v>0</v>
      </c>
      <c r="E46" s="466">
        <v>0</v>
      </c>
      <c r="F46" s="466">
        <v>11990</v>
      </c>
      <c r="G46" s="466">
        <v>0</v>
      </c>
      <c r="H46" s="466">
        <v>0</v>
      </c>
      <c r="I46" s="467">
        <v>0</v>
      </c>
      <c r="J46" s="467">
        <v>0</v>
      </c>
      <c r="K46" s="1692">
        <f>SUM(C46:J46)</f>
        <v>11990</v>
      </c>
      <c r="L46" s="466">
        <v>5000</v>
      </c>
    </row>
    <row r="47" spans="1:14" ht="12.75" customHeight="1" thickBot="1" x14ac:dyDescent="0.25">
      <c r="A47" s="1688" t="s">
        <v>582</v>
      </c>
      <c r="B47" s="1689" t="s">
        <v>32</v>
      </c>
      <c r="C47" s="1690">
        <f>SUM(C44:C46)</f>
        <v>68111</v>
      </c>
      <c r="D47" s="1690">
        <f t="shared" ref="D47:K47" si="4">SUM(D44:D46)</f>
        <v>16102</v>
      </c>
      <c r="E47" s="1690">
        <f t="shared" si="4"/>
        <v>7497</v>
      </c>
      <c r="F47" s="1690">
        <f t="shared" si="4"/>
        <v>61570</v>
      </c>
      <c r="G47" s="1690">
        <f t="shared" si="4"/>
        <v>0</v>
      </c>
      <c r="H47" s="1690">
        <f t="shared" si="4"/>
        <v>0</v>
      </c>
      <c r="I47" s="1690">
        <f t="shared" si="4"/>
        <v>0</v>
      </c>
      <c r="J47" s="1690">
        <f t="shared" si="4"/>
        <v>0</v>
      </c>
      <c r="K47" s="1690">
        <f t="shared" si="4"/>
        <v>153280</v>
      </c>
      <c r="L47" s="1690">
        <f>SUM(L44:L46)</f>
        <v>116981</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74358</v>
      </c>
      <c r="F49" s="480">
        <v>10690</v>
      </c>
      <c r="G49" s="480">
        <v>5000</v>
      </c>
      <c r="H49" s="480">
        <v>10315</v>
      </c>
      <c r="I49" s="467">
        <v>0</v>
      </c>
      <c r="J49" s="467">
        <v>0</v>
      </c>
      <c r="K49" s="1692">
        <f>SUM(C49:J49)</f>
        <v>100363</v>
      </c>
      <c r="L49" s="466">
        <v>79050</v>
      </c>
    </row>
    <row r="50" spans="1:14" x14ac:dyDescent="0.2">
      <c r="A50" s="1524" t="s">
        <v>872</v>
      </c>
      <c r="B50" s="613">
        <v>2320</v>
      </c>
      <c r="C50" s="466">
        <v>145352</v>
      </c>
      <c r="D50" s="466">
        <v>26960</v>
      </c>
      <c r="E50" s="466">
        <v>0</v>
      </c>
      <c r="F50" s="466">
        <v>257</v>
      </c>
      <c r="G50" s="466">
        <v>0</v>
      </c>
      <c r="H50" s="466">
        <v>6437</v>
      </c>
      <c r="I50" s="467">
        <v>0</v>
      </c>
      <c r="J50" s="467">
        <v>0</v>
      </c>
      <c r="K50" s="1692">
        <f>SUM(C50:J50)</f>
        <v>179006</v>
      </c>
      <c r="L50" s="466">
        <v>175118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145352</v>
      </c>
      <c r="D53" s="1690">
        <f t="shared" ref="D53:L53" si="5">SUM(D49:D52)</f>
        <v>26960</v>
      </c>
      <c r="E53" s="1690">
        <f t="shared" si="5"/>
        <v>74358</v>
      </c>
      <c r="F53" s="1690">
        <f t="shared" si="5"/>
        <v>10947</v>
      </c>
      <c r="G53" s="1690">
        <f t="shared" si="5"/>
        <v>5000</v>
      </c>
      <c r="H53" s="1690">
        <f t="shared" si="5"/>
        <v>16752</v>
      </c>
      <c r="I53" s="1690">
        <f t="shared" si="5"/>
        <v>0</v>
      </c>
      <c r="J53" s="1690">
        <f t="shared" si="5"/>
        <v>0</v>
      </c>
      <c r="K53" s="1690">
        <f t="shared" si="5"/>
        <v>279369</v>
      </c>
      <c r="L53" s="1690">
        <f t="shared" si="5"/>
        <v>254168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158311</v>
      </c>
      <c r="D55" s="480">
        <v>29283</v>
      </c>
      <c r="E55" s="480">
        <v>1985</v>
      </c>
      <c r="F55" s="480">
        <v>1897</v>
      </c>
      <c r="G55" s="480">
        <v>0</v>
      </c>
      <c r="H55" s="480">
        <v>0</v>
      </c>
      <c r="I55" s="467">
        <v>0</v>
      </c>
      <c r="J55" s="467">
        <v>0</v>
      </c>
      <c r="K55" s="1692">
        <f>SUM(C55:J55)</f>
        <v>191476</v>
      </c>
      <c r="L55" s="480">
        <v>169858</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158311</v>
      </c>
      <c r="D57" s="1694">
        <f t="shared" ref="D57:K57" si="6">SUM(D55:D56)</f>
        <v>29283</v>
      </c>
      <c r="E57" s="1694">
        <f t="shared" si="6"/>
        <v>1985</v>
      </c>
      <c r="F57" s="1694">
        <f t="shared" si="6"/>
        <v>1897</v>
      </c>
      <c r="G57" s="1694">
        <f t="shared" si="6"/>
        <v>0</v>
      </c>
      <c r="H57" s="1694">
        <f t="shared" si="6"/>
        <v>0</v>
      </c>
      <c r="I57" s="1694">
        <f t="shared" si="6"/>
        <v>0</v>
      </c>
      <c r="J57" s="1694">
        <f t="shared" si="6"/>
        <v>0</v>
      </c>
      <c r="K57" s="1694">
        <f t="shared" si="6"/>
        <v>191476</v>
      </c>
      <c r="L57" s="1690">
        <f>SUM(L55:L56)</f>
        <v>169858</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49820</v>
      </c>
      <c r="D60" s="466">
        <v>9529</v>
      </c>
      <c r="E60" s="466">
        <v>13168</v>
      </c>
      <c r="F60" s="466">
        <v>5602</v>
      </c>
      <c r="G60" s="466">
        <v>0</v>
      </c>
      <c r="H60" s="466">
        <v>0</v>
      </c>
      <c r="I60" s="467">
        <v>0</v>
      </c>
      <c r="J60" s="467">
        <v>0</v>
      </c>
      <c r="K60" s="1692">
        <f t="shared" si="7"/>
        <v>78119</v>
      </c>
      <c r="L60" s="466">
        <v>74603</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44054</v>
      </c>
      <c r="D63" s="466">
        <v>3097</v>
      </c>
      <c r="E63" s="466">
        <v>888</v>
      </c>
      <c r="F63" s="466">
        <v>98315</v>
      </c>
      <c r="G63" s="466">
        <v>19790</v>
      </c>
      <c r="H63" s="466">
        <v>0</v>
      </c>
      <c r="I63" s="467">
        <v>0</v>
      </c>
      <c r="J63" s="467">
        <v>0</v>
      </c>
      <c r="K63" s="1692">
        <f t="shared" si="7"/>
        <v>166144</v>
      </c>
      <c r="L63" s="466">
        <v>156446</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93874</v>
      </c>
      <c r="D65" s="1690">
        <f t="shared" ref="D65:L65" si="8">SUM(D59:D64)</f>
        <v>12626</v>
      </c>
      <c r="E65" s="1690">
        <f t="shared" si="8"/>
        <v>14056</v>
      </c>
      <c r="F65" s="1690">
        <f t="shared" si="8"/>
        <v>103917</v>
      </c>
      <c r="G65" s="1690">
        <f t="shared" si="8"/>
        <v>19790</v>
      </c>
      <c r="H65" s="1690">
        <f t="shared" si="8"/>
        <v>0</v>
      </c>
      <c r="I65" s="1690">
        <f t="shared" si="8"/>
        <v>0</v>
      </c>
      <c r="J65" s="1690">
        <f t="shared" si="8"/>
        <v>0</v>
      </c>
      <c r="K65" s="1690">
        <f t="shared" si="8"/>
        <v>244263</v>
      </c>
      <c r="L65" s="1690">
        <f t="shared" si="8"/>
        <v>231049</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529740</v>
      </c>
      <c r="D74" s="1697">
        <f t="shared" ref="D74:K74" si="10">SUM(D42,D47,D53,D57,D65,D72,D73)</f>
        <v>99263</v>
      </c>
      <c r="E74" s="1697">
        <f t="shared" si="10"/>
        <v>97921</v>
      </c>
      <c r="F74" s="1697">
        <f t="shared" si="10"/>
        <v>180255</v>
      </c>
      <c r="G74" s="1697">
        <f t="shared" si="10"/>
        <v>24790</v>
      </c>
      <c r="H74" s="1697">
        <f t="shared" si="10"/>
        <v>16752</v>
      </c>
      <c r="I74" s="1697">
        <f t="shared" si="10"/>
        <v>0</v>
      </c>
      <c r="J74" s="1697">
        <f t="shared" si="10"/>
        <v>0</v>
      </c>
      <c r="K74" s="1697">
        <f t="shared" si="10"/>
        <v>948721</v>
      </c>
      <c r="L74" s="1697">
        <f>SUM(L42,L47,L53,L57,L65,L72,L73)</f>
        <v>885543</v>
      </c>
    </row>
    <row r="75" spans="1:14" s="259" customFormat="1" ht="15.75" customHeight="1" thickTop="1" thickBot="1" x14ac:dyDescent="0.25">
      <c r="A75" s="1630" t="s">
        <v>49</v>
      </c>
      <c r="B75" s="1631" t="s">
        <v>596</v>
      </c>
      <c r="C75" s="571">
        <v>0</v>
      </c>
      <c r="D75" s="571">
        <v>0</v>
      </c>
      <c r="E75" s="571">
        <v>524</v>
      </c>
      <c r="F75" s="571">
        <v>0</v>
      </c>
      <c r="G75" s="571">
        <v>0</v>
      </c>
      <c r="H75" s="571">
        <v>0</v>
      </c>
      <c r="I75" s="529">
        <v>0</v>
      </c>
      <c r="J75" s="529">
        <v>0</v>
      </c>
      <c r="K75" s="1690">
        <f>SUM(C75:J75)</f>
        <v>524</v>
      </c>
      <c r="L75" s="574">
        <v>1000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3678</v>
      </c>
      <c r="F78" s="615"/>
      <c r="G78" s="615"/>
      <c r="H78" s="633">
        <v>0</v>
      </c>
      <c r="I78" s="476"/>
      <c r="J78" s="476"/>
      <c r="K78" s="1691">
        <f t="shared" ref="K78:K83" si="11">SUM(C78:J78)</f>
        <v>3678</v>
      </c>
      <c r="L78" s="480">
        <v>3678</v>
      </c>
    </row>
    <row r="79" spans="1:14" x14ac:dyDescent="0.2">
      <c r="A79" s="1524" t="s">
        <v>322</v>
      </c>
      <c r="B79" s="613">
        <v>4120</v>
      </c>
      <c r="C79" s="615"/>
      <c r="D79" s="615"/>
      <c r="E79" s="466">
        <v>54308</v>
      </c>
      <c r="F79" s="615"/>
      <c r="G79" s="615"/>
      <c r="H79" s="466">
        <v>52723</v>
      </c>
      <c r="I79" s="476"/>
      <c r="J79" s="476"/>
      <c r="K79" s="1691">
        <f t="shared" si="11"/>
        <v>107031</v>
      </c>
      <c r="L79" s="466">
        <v>124509</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57986</v>
      </c>
      <c r="F84" s="615"/>
      <c r="G84" s="615"/>
      <c r="H84" s="1690">
        <f>SUM(H78:H83)</f>
        <v>52723</v>
      </c>
      <c r="I84" s="476"/>
      <c r="J84" s="476"/>
      <c r="K84" s="1690">
        <f>SUM(K78:K83)</f>
        <v>110709</v>
      </c>
      <c r="L84" s="1690">
        <f>SUM(L78:L83)</f>
        <v>128187</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30631</v>
      </c>
      <c r="I86" s="476"/>
      <c r="J86" s="476"/>
      <c r="K86" s="1697">
        <f t="shared" ref="K86:K98" si="12">H86</f>
        <v>30631</v>
      </c>
      <c r="L86" s="528">
        <v>84000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30631</v>
      </c>
      <c r="I92" s="476"/>
      <c r="J92" s="476"/>
      <c r="K92" s="1697">
        <f t="shared" si="12"/>
        <v>30631</v>
      </c>
      <c r="L92" s="1690">
        <f>SUM(L85:L91)</f>
        <v>84000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57986</v>
      </c>
      <c r="F102" s="615"/>
      <c r="G102" s="615"/>
      <c r="H102" s="1697">
        <f>SUM(H84,H92,H100,H101)</f>
        <v>83354</v>
      </c>
      <c r="I102" s="476"/>
      <c r="J102" s="476"/>
      <c r="K102" s="1697">
        <f>SUM(K84,K92,K100,K101)</f>
        <v>141340</v>
      </c>
      <c r="L102" s="1697">
        <f>SUM(L84,L92,L100,L101)</f>
        <v>212187</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15871</v>
      </c>
      <c r="M113" s="612"/>
      <c r="N113" s="612"/>
    </row>
    <row r="114" spans="1:14" ht="12.75" customHeight="1" thickTop="1" thickBot="1" x14ac:dyDescent="0.25">
      <c r="A114" s="1688" t="s">
        <v>50</v>
      </c>
      <c r="B114" s="1702"/>
      <c r="C114" s="1690">
        <f>SUM(C33,C74,C75,C102,C112,C113)</f>
        <v>1989127</v>
      </c>
      <c r="D114" s="1690">
        <f t="shared" ref="D114:K114" si="13">SUM(D33,D74,D75,D102,D112,D113)</f>
        <v>444728</v>
      </c>
      <c r="E114" s="1690">
        <f t="shared" si="13"/>
        <v>178955</v>
      </c>
      <c r="F114" s="1690">
        <f t="shared" si="13"/>
        <v>190903</v>
      </c>
      <c r="G114" s="1690">
        <f t="shared" si="13"/>
        <v>24790</v>
      </c>
      <c r="H114" s="1690">
        <f>SUM(H33,H74,H75,H102,H112,H113)</f>
        <v>153341</v>
      </c>
      <c r="I114" s="1690">
        <f t="shared" si="13"/>
        <v>0</v>
      </c>
      <c r="J114" s="1690">
        <f t="shared" si="13"/>
        <v>0</v>
      </c>
      <c r="K114" s="1690">
        <f t="shared" si="13"/>
        <v>2981844</v>
      </c>
      <c r="L114" s="1690">
        <f>SUM(L33,L74,L75,L102,L112,L113)</f>
        <v>3102068</v>
      </c>
    </row>
    <row r="115" spans="1:14" ht="13.5" thickTop="1" x14ac:dyDescent="0.2">
      <c r="A115" s="2175" t="s">
        <v>1053</v>
      </c>
      <c r="B115" s="2176"/>
      <c r="C115" s="617"/>
      <c r="D115" s="617"/>
      <c r="E115" s="617"/>
      <c r="F115" s="617"/>
      <c r="G115" s="617"/>
      <c r="H115" s="617"/>
      <c r="I115" s="617"/>
      <c r="J115" s="617"/>
      <c r="K115" s="1704">
        <f>'Revenues 9-14'!C275-'Expenditures 15-22'!K114</f>
        <v>87569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0" t="s">
        <v>314</v>
      </c>
      <c r="B117" s="2181"/>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80936</v>
      </c>
      <c r="D124" s="466">
        <v>17794</v>
      </c>
      <c r="E124" s="466">
        <v>72641</v>
      </c>
      <c r="F124" s="466">
        <v>89638</v>
      </c>
      <c r="G124" s="466">
        <v>52593</v>
      </c>
      <c r="H124" s="466">
        <v>0</v>
      </c>
      <c r="I124" s="467">
        <v>0</v>
      </c>
      <c r="J124" s="467">
        <v>0</v>
      </c>
      <c r="K124" s="1690">
        <f>SUM(C124:J124)</f>
        <v>313602</v>
      </c>
      <c r="L124" s="466">
        <v>250223</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80936</v>
      </c>
      <c r="D127" s="1690">
        <f t="shared" ref="D127:L127" si="14">SUM(D122:D126)</f>
        <v>17794</v>
      </c>
      <c r="E127" s="1690">
        <f t="shared" si="14"/>
        <v>72641</v>
      </c>
      <c r="F127" s="1690">
        <f t="shared" si="14"/>
        <v>89638</v>
      </c>
      <c r="G127" s="1690">
        <f t="shared" si="14"/>
        <v>52593</v>
      </c>
      <c r="H127" s="1690">
        <f t="shared" si="14"/>
        <v>0</v>
      </c>
      <c r="I127" s="1690">
        <f t="shared" si="14"/>
        <v>0</v>
      </c>
      <c r="J127" s="1690">
        <f t="shared" si="14"/>
        <v>0</v>
      </c>
      <c r="K127" s="1690">
        <f t="shared" si="14"/>
        <v>313602</v>
      </c>
      <c r="L127" s="1690">
        <f t="shared" si="14"/>
        <v>250223</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80936</v>
      </c>
      <c r="D129" s="1697">
        <f t="shared" ref="D129:L129" si="15">SUM(D120,D127,D128)</f>
        <v>17794</v>
      </c>
      <c r="E129" s="1697">
        <f t="shared" si="15"/>
        <v>72641</v>
      </c>
      <c r="F129" s="1697">
        <f t="shared" si="15"/>
        <v>89638</v>
      </c>
      <c r="G129" s="1697">
        <f t="shared" si="15"/>
        <v>52593</v>
      </c>
      <c r="H129" s="1697">
        <f t="shared" si="15"/>
        <v>0</v>
      </c>
      <c r="I129" s="1697">
        <f t="shared" si="15"/>
        <v>0</v>
      </c>
      <c r="J129" s="1697">
        <f t="shared" si="15"/>
        <v>0</v>
      </c>
      <c r="K129" s="1697">
        <f t="shared" si="15"/>
        <v>313602</v>
      </c>
      <c r="L129" s="1697">
        <f t="shared" si="15"/>
        <v>250223</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2" t="s">
        <v>641</v>
      </c>
      <c r="B151" s="2172"/>
      <c r="C151" s="1690">
        <f>SUM(C129,C130,C139,C149,C150)</f>
        <v>80936</v>
      </c>
      <c r="D151" s="1690">
        <f t="shared" ref="D151:K151" si="16">SUM(D129,D130,D139,D149,D150)</f>
        <v>17794</v>
      </c>
      <c r="E151" s="1690">
        <f t="shared" si="16"/>
        <v>72641</v>
      </c>
      <c r="F151" s="1690">
        <f t="shared" si="16"/>
        <v>89638</v>
      </c>
      <c r="G151" s="1690">
        <f t="shared" si="16"/>
        <v>52593</v>
      </c>
      <c r="H151" s="1690">
        <f t="shared" si="16"/>
        <v>0</v>
      </c>
      <c r="I151" s="1690">
        <f t="shared" si="16"/>
        <v>0</v>
      </c>
      <c r="J151" s="1690">
        <f t="shared" si="16"/>
        <v>0</v>
      </c>
      <c r="K151" s="1690">
        <f t="shared" si="16"/>
        <v>313602</v>
      </c>
      <c r="L151" s="1690">
        <f>SUM(L129,L130,L139,L149,L150)</f>
        <v>250223</v>
      </c>
    </row>
    <row r="152" spans="1:14" ht="12.75" customHeight="1" thickTop="1" x14ac:dyDescent="0.2">
      <c r="A152" s="2195" t="s">
        <v>1240</v>
      </c>
      <c r="B152" s="2196"/>
      <c r="C152" s="617"/>
      <c r="D152" s="617"/>
      <c r="E152" s="617"/>
      <c r="F152" s="617"/>
      <c r="G152" s="617"/>
      <c r="H152" s="617"/>
      <c r="I152" s="617"/>
      <c r="J152" s="615"/>
      <c r="K152" s="1704">
        <f>'Revenues 9-14'!D275-'Expenditures 15-22'!K151</f>
        <v>-50098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0" t="s">
        <v>642</v>
      </c>
      <c r="B154" s="2182"/>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17693</v>
      </c>
      <c r="I169" s="615"/>
      <c r="J169" s="615"/>
      <c r="K169" s="1691">
        <f>SUM(C169:H169)</f>
        <v>17693</v>
      </c>
      <c r="L169" s="655">
        <v>32000</v>
      </c>
    </row>
    <row r="170" spans="1:14" ht="33.75" customHeight="1" x14ac:dyDescent="0.2">
      <c r="A170" s="668" t="s">
        <v>1769</v>
      </c>
      <c r="B170" s="670" t="s">
        <v>31</v>
      </c>
      <c r="C170" s="615"/>
      <c r="D170" s="615"/>
      <c r="E170" s="615"/>
      <c r="F170" s="615"/>
      <c r="G170" s="615"/>
      <c r="H170" s="567">
        <v>170000</v>
      </c>
      <c r="I170" s="615"/>
      <c r="J170" s="615"/>
      <c r="K170" s="1691">
        <f>SUM(C170:J170)</f>
        <v>170000</v>
      </c>
      <c r="L170" s="567">
        <v>170000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187693</v>
      </c>
      <c r="I172" s="637"/>
      <c r="J172" s="615"/>
      <c r="K172" s="1697">
        <f>SUM(K168,K169,K170,K171)</f>
        <v>187693</v>
      </c>
      <c r="L172" s="1697">
        <f>SUM(L168,L169,L170,L171)</f>
        <v>202000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187693</v>
      </c>
      <c r="I174" s="637"/>
      <c r="J174" s="615"/>
      <c r="K174" s="1697">
        <f>SUM(K160,K172,K173)</f>
        <v>187693</v>
      </c>
      <c r="L174" s="1697">
        <f>SUM(L160,L172,L173)</f>
        <v>202000</v>
      </c>
    </row>
    <row r="175" spans="1:14" ht="13.5" thickTop="1" x14ac:dyDescent="0.2">
      <c r="A175" s="2175" t="s">
        <v>1053</v>
      </c>
      <c r="B175" s="2176"/>
      <c r="C175" s="615"/>
      <c r="D175" s="615"/>
      <c r="E175" s="615"/>
      <c r="F175" s="615"/>
      <c r="G175" s="615"/>
      <c r="H175" s="617"/>
      <c r="I175" s="615"/>
      <c r="J175" s="615"/>
      <c r="K175" s="1704">
        <f>'Revenues 9-14'!E275-'Expenditures 15-22'!K174</f>
        <v>7978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2500</v>
      </c>
      <c r="D182" s="467">
        <v>449</v>
      </c>
      <c r="E182" s="467">
        <v>115718</v>
      </c>
      <c r="F182" s="467">
        <v>0</v>
      </c>
      <c r="G182" s="467">
        <v>139000</v>
      </c>
      <c r="H182" s="466">
        <v>0</v>
      </c>
      <c r="I182" s="467">
        <v>0</v>
      </c>
      <c r="J182" s="467">
        <v>0</v>
      </c>
      <c r="K182" s="1691">
        <f>SUM(C182:J182)</f>
        <v>257667</v>
      </c>
      <c r="L182" s="466">
        <v>131400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2500</v>
      </c>
      <c r="D184" s="1697">
        <f t="shared" ref="D184:J184" si="17">SUM(D180,D182,D183)</f>
        <v>449</v>
      </c>
      <c r="E184" s="1697">
        <f t="shared" si="17"/>
        <v>115718</v>
      </c>
      <c r="F184" s="1697">
        <f t="shared" si="17"/>
        <v>0</v>
      </c>
      <c r="G184" s="1697">
        <f t="shared" si="17"/>
        <v>139000</v>
      </c>
      <c r="H184" s="1697">
        <f t="shared" si="17"/>
        <v>0</v>
      </c>
      <c r="I184" s="1697">
        <f t="shared" si="17"/>
        <v>0</v>
      </c>
      <c r="J184" s="1697">
        <f t="shared" si="17"/>
        <v>0</v>
      </c>
      <c r="K184" s="1697">
        <f>SUM(K180,K182,K183)</f>
        <v>257667</v>
      </c>
      <c r="L184" s="1697">
        <f>SUM(L180, L182:L183)</f>
        <v>131400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16656</v>
      </c>
      <c r="F189" s="615"/>
      <c r="G189" s="615"/>
      <c r="H189" s="466">
        <v>0</v>
      </c>
      <c r="I189" s="476"/>
      <c r="J189" s="615"/>
      <c r="K189" s="1691">
        <f t="shared" si="18"/>
        <v>16656</v>
      </c>
      <c r="L189" s="466">
        <v>42000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16656</v>
      </c>
      <c r="F194" s="615"/>
      <c r="G194" s="615"/>
      <c r="H194" s="1690">
        <f>SUM(H188:H193)</f>
        <v>0</v>
      </c>
      <c r="I194" s="476"/>
      <c r="J194" s="615"/>
      <c r="K194" s="1690">
        <f>SUM(K188:K193)</f>
        <v>16656</v>
      </c>
      <c r="L194" s="1690">
        <f>SUM(L188:L193)</f>
        <v>42000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16656</v>
      </c>
      <c r="F196" s="615"/>
      <c r="G196" s="615"/>
      <c r="H196" s="1697">
        <f>SUM(H194,H195)</f>
        <v>0</v>
      </c>
      <c r="I196" s="476"/>
      <c r="J196" s="615"/>
      <c r="K196" s="1697">
        <f>SUM(K194,K195)</f>
        <v>16656</v>
      </c>
      <c r="L196" s="1697">
        <f>SUM(L194,L195)</f>
        <v>42000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2500</v>
      </c>
      <c r="D210" s="1690">
        <f>SUM(D184,D185)</f>
        <v>449</v>
      </c>
      <c r="E210" s="1690">
        <f>SUM(E184,E185,E196)</f>
        <v>132374</v>
      </c>
      <c r="F210" s="1690">
        <f>SUM(F184,F185)</f>
        <v>0</v>
      </c>
      <c r="G210" s="1690">
        <f>SUM(G184,G185)</f>
        <v>139000</v>
      </c>
      <c r="H210" s="1690">
        <f>SUM(H184,H185,H196,H208,H209)</f>
        <v>0</v>
      </c>
      <c r="I210" s="1690">
        <f>SUM(I184,I185)</f>
        <v>0</v>
      </c>
      <c r="J210" s="1690">
        <f>SUM(J184,J185)</f>
        <v>0</v>
      </c>
      <c r="K210" s="1691">
        <f>SUM(K184,K185,K196,K208,K209)</f>
        <v>274323</v>
      </c>
      <c r="L210" s="1690">
        <f>SUM(L184,L185,L196,L208,L209)</f>
        <v>173400</v>
      </c>
    </row>
    <row r="211" spans="1:14" ht="13.5" thickTop="1" x14ac:dyDescent="0.2">
      <c r="A211" s="2175" t="s">
        <v>1053</v>
      </c>
      <c r="B211" s="2176"/>
      <c r="C211" s="617"/>
      <c r="D211" s="617"/>
      <c r="E211" s="617"/>
      <c r="F211" s="617"/>
      <c r="G211" s="617"/>
      <c r="H211" s="617"/>
      <c r="I211" s="615"/>
      <c r="J211" s="615"/>
      <c r="K211" s="1704">
        <f>'Revenues 9-14'!F275-'Expenditures 15-22'!K210</f>
        <v>-37172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7" t="s">
        <v>1022</v>
      </c>
      <c r="B213" s="2198"/>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13181</v>
      </c>
      <c r="E215" s="615"/>
      <c r="F215" s="615"/>
      <c r="G215" s="615"/>
      <c r="H215" s="615"/>
      <c r="I215" s="615"/>
      <c r="J215" s="615"/>
      <c r="K215" s="1691">
        <f>D215</f>
        <v>13181</v>
      </c>
      <c r="L215" s="466">
        <v>14229</v>
      </c>
    </row>
    <row r="216" spans="1:14" x14ac:dyDescent="0.2">
      <c r="A216" s="1524" t="s">
        <v>165</v>
      </c>
      <c r="B216" s="613" t="s">
        <v>1024</v>
      </c>
      <c r="C216" s="615"/>
      <c r="D216" s="467">
        <v>3023</v>
      </c>
      <c r="E216" s="615"/>
      <c r="F216" s="615"/>
      <c r="G216" s="615"/>
      <c r="H216" s="615"/>
      <c r="I216" s="615"/>
      <c r="J216" s="615"/>
      <c r="K216" s="1691">
        <f t="shared" ref="K216:K228" si="19">D216</f>
        <v>3023</v>
      </c>
      <c r="L216" s="466">
        <v>2544</v>
      </c>
    </row>
    <row r="217" spans="1:14" x14ac:dyDescent="0.2">
      <c r="A217" s="1524" t="s">
        <v>166</v>
      </c>
      <c r="B217" s="613">
        <v>1200</v>
      </c>
      <c r="C217" s="615"/>
      <c r="D217" s="466">
        <v>2492</v>
      </c>
      <c r="E217" s="615"/>
      <c r="F217" s="615"/>
      <c r="G217" s="615"/>
      <c r="H217" s="615"/>
      <c r="I217" s="615"/>
      <c r="J217" s="615"/>
      <c r="K217" s="1691">
        <f t="shared" si="19"/>
        <v>2492</v>
      </c>
      <c r="L217" s="466">
        <v>7420</v>
      </c>
    </row>
    <row r="218" spans="1:14" x14ac:dyDescent="0.2">
      <c r="A218" s="1524" t="s">
        <v>296</v>
      </c>
      <c r="B218" s="613" t="s">
        <v>1025</v>
      </c>
      <c r="C218" s="615"/>
      <c r="D218" s="467">
        <v>2933</v>
      </c>
      <c r="E218" s="615"/>
      <c r="F218" s="615"/>
      <c r="G218" s="615"/>
      <c r="H218" s="615"/>
      <c r="I218" s="615"/>
      <c r="J218" s="615"/>
      <c r="K218" s="1691">
        <f t="shared" si="19"/>
        <v>2933</v>
      </c>
      <c r="L218" s="466">
        <v>5110</v>
      </c>
    </row>
    <row r="219" spans="1:14" x14ac:dyDescent="0.2">
      <c r="A219" s="1524" t="s">
        <v>297</v>
      </c>
      <c r="B219" s="613">
        <v>1250</v>
      </c>
      <c r="C219" s="615"/>
      <c r="D219" s="466">
        <v>13615</v>
      </c>
      <c r="E219" s="615"/>
      <c r="F219" s="615"/>
      <c r="G219" s="615"/>
      <c r="H219" s="615"/>
      <c r="I219" s="615"/>
      <c r="J219" s="615"/>
      <c r="K219" s="1691">
        <f t="shared" si="19"/>
        <v>13615</v>
      </c>
      <c r="L219" s="466">
        <v>26597</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626</v>
      </c>
      <c r="E223" s="615"/>
      <c r="F223" s="615"/>
      <c r="G223" s="615"/>
      <c r="H223" s="615"/>
      <c r="I223" s="615"/>
      <c r="J223" s="615"/>
      <c r="K223" s="1691">
        <f t="shared" si="19"/>
        <v>626</v>
      </c>
      <c r="L223" s="466">
        <v>2163</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35870</v>
      </c>
      <c r="E229" s="615"/>
      <c r="F229" s="615"/>
      <c r="G229" s="615"/>
      <c r="H229" s="615"/>
      <c r="I229" s="615"/>
      <c r="J229" s="615"/>
      <c r="K229" s="1690">
        <f>SUM(K215:K228)</f>
        <v>35870</v>
      </c>
      <c r="L229" s="1690">
        <f>SUM(L215:L228)</f>
        <v>58063</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138</v>
      </c>
      <c r="E233" s="615"/>
      <c r="F233" s="615"/>
      <c r="G233" s="615"/>
      <c r="H233" s="615"/>
      <c r="I233" s="615"/>
      <c r="J233" s="615"/>
      <c r="K233" s="1691">
        <f t="shared" si="20"/>
        <v>138</v>
      </c>
      <c r="L233" s="466">
        <v>553</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501</v>
      </c>
      <c r="E236" s="615"/>
      <c r="F236" s="615"/>
      <c r="G236" s="615"/>
      <c r="H236" s="615"/>
      <c r="I236" s="615"/>
      <c r="J236" s="615"/>
      <c r="K236" s="1691">
        <f t="shared" si="20"/>
        <v>501</v>
      </c>
      <c r="L236" s="466">
        <v>569</v>
      </c>
    </row>
    <row r="237" spans="1:12" x14ac:dyDescent="0.2">
      <c r="A237" s="1524" t="s">
        <v>167</v>
      </c>
      <c r="B237" s="613">
        <v>2190</v>
      </c>
      <c r="C237" s="615"/>
      <c r="D237" s="466">
        <v>41</v>
      </c>
      <c r="E237" s="615"/>
      <c r="F237" s="615"/>
      <c r="G237" s="615"/>
      <c r="H237" s="615"/>
      <c r="I237" s="615"/>
      <c r="J237" s="615"/>
      <c r="K237" s="1691">
        <f t="shared" si="20"/>
        <v>41</v>
      </c>
      <c r="L237" s="466">
        <v>970</v>
      </c>
    </row>
    <row r="238" spans="1:12" ht="12.75" customHeight="1" thickBot="1" x14ac:dyDescent="0.25">
      <c r="A238" s="1688" t="s">
        <v>581</v>
      </c>
      <c r="B238" s="1695" t="s">
        <v>740</v>
      </c>
      <c r="C238" s="615"/>
      <c r="D238" s="1690">
        <f>SUM(D232:D237)</f>
        <v>680</v>
      </c>
      <c r="E238" s="615"/>
      <c r="F238" s="615"/>
      <c r="G238" s="615"/>
      <c r="H238" s="615"/>
      <c r="I238" s="615"/>
      <c r="J238" s="615"/>
      <c r="K238" s="1690">
        <f>SUM(K232:K237)</f>
        <v>680</v>
      </c>
      <c r="L238" s="1690">
        <f>SUM(L232:L237)</f>
        <v>2092</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162</v>
      </c>
      <c r="E240" s="615"/>
      <c r="F240" s="615"/>
      <c r="G240" s="615"/>
      <c r="H240" s="615"/>
      <c r="I240" s="615"/>
      <c r="J240" s="615"/>
      <c r="K240" s="1692">
        <f>D240</f>
        <v>162</v>
      </c>
      <c r="L240" s="480">
        <v>51</v>
      </c>
    </row>
    <row r="241" spans="1:12" x14ac:dyDescent="0.2">
      <c r="A241" s="1524" t="s">
        <v>869</v>
      </c>
      <c r="B241" s="613">
        <v>2220</v>
      </c>
      <c r="C241" s="615"/>
      <c r="D241" s="466">
        <v>742</v>
      </c>
      <c r="E241" s="615"/>
      <c r="F241" s="615"/>
      <c r="G241" s="615"/>
      <c r="H241" s="615"/>
      <c r="I241" s="615"/>
      <c r="J241" s="615"/>
      <c r="K241" s="1692">
        <f>D241</f>
        <v>742</v>
      </c>
      <c r="L241" s="466">
        <v>763</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904</v>
      </c>
      <c r="E243" s="615"/>
      <c r="F243" s="615"/>
      <c r="G243" s="615"/>
      <c r="H243" s="615"/>
      <c r="I243" s="615"/>
      <c r="J243" s="615"/>
      <c r="K243" s="1690">
        <f>SUM(K240:K242)</f>
        <v>904</v>
      </c>
      <c r="L243" s="1690">
        <f>SUM(L240:L242)</f>
        <v>814</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3227</v>
      </c>
      <c r="E246" s="615"/>
      <c r="F246" s="615"/>
      <c r="G246" s="615"/>
      <c r="H246" s="615"/>
      <c r="I246" s="615"/>
      <c r="J246" s="615"/>
      <c r="K246" s="1692">
        <f t="shared" ref="K246:K256" si="21">D246</f>
        <v>3227</v>
      </c>
      <c r="L246" s="466">
        <v>2912</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3227</v>
      </c>
      <c r="E257" s="615"/>
      <c r="F257" s="615"/>
      <c r="G257" s="615"/>
      <c r="H257" s="615"/>
      <c r="I257" s="615"/>
      <c r="J257" s="615"/>
      <c r="K257" s="1690">
        <f>SUM(K245:K256)</f>
        <v>3227</v>
      </c>
      <c r="L257" s="1690">
        <f>SUM(L245:L256)</f>
        <v>2912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7243</v>
      </c>
      <c r="E259" s="615"/>
      <c r="F259" s="615"/>
      <c r="G259" s="615"/>
      <c r="H259" s="615"/>
      <c r="I259" s="615"/>
      <c r="J259" s="615"/>
      <c r="K259" s="1692">
        <f>D259</f>
        <v>7243</v>
      </c>
      <c r="L259" s="480">
        <v>8522</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7243</v>
      </c>
      <c r="E261" s="615"/>
      <c r="F261" s="615"/>
      <c r="G261" s="615"/>
      <c r="H261" s="615"/>
      <c r="I261" s="615"/>
      <c r="J261" s="615"/>
      <c r="K261" s="1690">
        <f>SUM(K259:K260)</f>
        <v>7243</v>
      </c>
      <c r="L261" s="1690">
        <f>SUM(L259:L260)</f>
        <v>8522</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4501</v>
      </c>
      <c r="E264" s="615"/>
      <c r="F264" s="615"/>
      <c r="G264" s="615"/>
      <c r="H264" s="615"/>
      <c r="I264" s="615"/>
      <c r="J264" s="615"/>
      <c r="K264" s="1692">
        <f t="shared" ref="K264:K269" si="22">D264</f>
        <v>4501</v>
      </c>
      <c r="L264" s="466">
        <v>7534</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7151</v>
      </c>
      <c r="E266" s="615"/>
      <c r="F266" s="615"/>
      <c r="G266" s="615"/>
      <c r="H266" s="615"/>
      <c r="I266" s="615"/>
      <c r="J266" s="615"/>
      <c r="K266" s="1692">
        <f t="shared" si="22"/>
        <v>7151</v>
      </c>
      <c r="L266" s="466">
        <v>12122</v>
      </c>
    </row>
    <row r="267" spans="1:14" x14ac:dyDescent="0.2">
      <c r="A267" s="1524" t="s">
        <v>1010</v>
      </c>
      <c r="B267" s="613">
        <v>2550</v>
      </c>
      <c r="C267" s="615"/>
      <c r="D267" s="466">
        <v>34</v>
      </c>
      <c r="E267" s="615"/>
      <c r="F267" s="615"/>
      <c r="G267" s="615"/>
      <c r="H267" s="615"/>
      <c r="I267" s="615"/>
      <c r="J267" s="615"/>
      <c r="K267" s="1692">
        <f t="shared" si="22"/>
        <v>34</v>
      </c>
      <c r="L267" s="466">
        <v>35</v>
      </c>
    </row>
    <row r="268" spans="1:14" x14ac:dyDescent="0.2">
      <c r="A268" s="1524" t="s">
        <v>102</v>
      </c>
      <c r="B268" s="613">
        <v>2560</v>
      </c>
      <c r="C268" s="615"/>
      <c r="D268" s="466">
        <v>2471</v>
      </c>
      <c r="E268" s="615"/>
      <c r="F268" s="615"/>
      <c r="G268" s="615"/>
      <c r="H268" s="615"/>
      <c r="I268" s="615"/>
      <c r="J268" s="615"/>
      <c r="K268" s="1692">
        <f t="shared" si="22"/>
        <v>2471</v>
      </c>
      <c r="L268" s="466">
        <v>6015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14157</v>
      </c>
      <c r="E270" s="615"/>
      <c r="F270" s="615"/>
      <c r="G270" s="615"/>
      <c r="H270" s="615"/>
      <c r="I270" s="615"/>
      <c r="J270" s="615"/>
      <c r="K270" s="1690">
        <f>SUM(K263:K269)</f>
        <v>14157</v>
      </c>
      <c r="L270" s="1690">
        <f>SUM(L263:L269)</f>
        <v>25706</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26211</v>
      </c>
      <c r="E279" s="615"/>
      <c r="F279" s="615"/>
      <c r="G279" s="615"/>
      <c r="H279" s="615"/>
      <c r="I279" s="615"/>
      <c r="J279" s="615"/>
      <c r="K279" s="1697">
        <f>SUM(K238,K243,K257,K261,K270,K277,K278)</f>
        <v>26211</v>
      </c>
      <c r="L279" s="1697">
        <f>SUM(L238,L243,L257,L261,L270,L277,L278)</f>
        <v>40046</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3" t="s">
        <v>526</v>
      </c>
      <c r="B295" s="2194"/>
      <c r="C295" s="615"/>
      <c r="D295" s="1690">
        <f>SUM(D229,D279,D280,D285)</f>
        <v>62081</v>
      </c>
      <c r="E295" s="615"/>
      <c r="F295" s="615"/>
      <c r="G295" s="615"/>
      <c r="H295" s="1690">
        <f>H293</f>
        <v>0</v>
      </c>
      <c r="I295" s="615"/>
      <c r="J295" s="615"/>
      <c r="K295" s="1690">
        <f>SUM(K229,K279,K280,K285,K293,K294)</f>
        <v>62081</v>
      </c>
      <c r="L295" s="1690">
        <f>SUM(L229,L279,L280,L285,L293,L294)</f>
        <v>98109</v>
      </c>
    </row>
    <row r="296" spans="1:14" ht="13.5" thickTop="1" x14ac:dyDescent="0.2">
      <c r="A296" s="2175" t="s">
        <v>1053</v>
      </c>
      <c r="B296" s="2176"/>
      <c r="C296" s="615"/>
      <c r="D296" s="617"/>
      <c r="E296" s="615"/>
      <c r="F296" s="615"/>
      <c r="G296" s="615"/>
      <c r="H296" s="686"/>
      <c r="I296" s="615"/>
      <c r="J296" s="615"/>
      <c r="K296" s="1704">
        <f>'Revenues 9-14'!G275-'Expenditures 15-22'!K295</f>
        <v>6297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5" t="s">
        <v>145</v>
      </c>
      <c r="B298" s="2179"/>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88500</v>
      </c>
      <c r="H301" s="466">
        <v>0</v>
      </c>
      <c r="I301" s="467">
        <v>0</v>
      </c>
      <c r="J301" s="467">
        <v>0</v>
      </c>
      <c r="K301" s="1691">
        <f>SUM(C301:J301)</f>
        <v>88500</v>
      </c>
      <c r="L301" s="467">
        <v>108000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88500</v>
      </c>
      <c r="H303" s="1697">
        <f t="shared" si="23"/>
        <v>0</v>
      </c>
      <c r="I303" s="1697">
        <f t="shared" si="23"/>
        <v>0</v>
      </c>
      <c r="J303" s="1697">
        <f t="shared" si="23"/>
        <v>0</v>
      </c>
      <c r="K303" s="1697">
        <f t="shared" si="23"/>
        <v>88500</v>
      </c>
      <c r="L303" s="1697">
        <f t="shared" si="23"/>
        <v>108000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0" t="s">
        <v>295</v>
      </c>
      <c r="B312" s="2191"/>
      <c r="C312" s="1690">
        <f>SUM(C303)</f>
        <v>0</v>
      </c>
      <c r="D312" s="1690">
        <f>SUM(D303)</f>
        <v>0</v>
      </c>
      <c r="E312" s="1690">
        <f>SUM(E303,E310)</f>
        <v>0</v>
      </c>
      <c r="F312" s="1690">
        <f>SUM(F303)</f>
        <v>0</v>
      </c>
      <c r="G312" s="1690">
        <f>SUM(G303)</f>
        <v>88500</v>
      </c>
      <c r="H312" s="1690">
        <f>SUM(H303,H310)</f>
        <v>0</v>
      </c>
      <c r="I312" s="1690">
        <f>SUM(I303)</f>
        <v>0</v>
      </c>
      <c r="J312" s="1690">
        <f>SUM(J303)</f>
        <v>0</v>
      </c>
      <c r="K312" s="1690">
        <f>SUM(K303,K310,K311)</f>
        <v>88500</v>
      </c>
      <c r="L312" s="1690">
        <f>SUM(L303,L310,L311)</f>
        <v>108000</v>
      </c>
      <c r="M312" s="664"/>
      <c r="N312" s="664"/>
    </row>
    <row r="313" spans="1:14" ht="13.5" thickTop="1" x14ac:dyDescent="0.2">
      <c r="A313" s="2186" t="s">
        <v>1053</v>
      </c>
      <c r="B313" s="2187"/>
      <c r="C313" s="625"/>
      <c r="D313" s="625"/>
      <c r="E313" s="625"/>
      <c r="F313" s="625"/>
      <c r="G313" s="625"/>
      <c r="H313" s="625"/>
      <c r="I313" s="625"/>
      <c r="J313" s="625"/>
      <c r="K313" s="1705">
        <f>'Revenues 9-14'!H275-'Expenditures 15-22'!K312</f>
        <v>22162</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9" t="s">
        <v>151</v>
      </c>
      <c r="B315" s="2200"/>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1" t="s">
        <v>954</v>
      </c>
      <c r="B317" s="2200"/>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9671</v>
      </c>
      <c r="F320" s="467">
        <v>0</v>
      </c>
      <c r="G320" s="467">
        <v>0</v>
      </c>
      <c r="H320" s="467">
        <v>0</v>
      </c>
      <c r="I320" s="467">
        <v>0</v>
      </c>
      <c r="J320" s="467">
        <v>0</v>
      </c>
      <c r="K320" s="1691">
        <f t="shared" ref="K320:K327" si="24">SUM(C320:J320)</f>
        <v>9671</v>
      </c>
      <c r="L320" s="467">
        <v>9671</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17033</v>
      </c>
      <c r="F322" s="467">
        <v>0</v>
      </c>
      <c r="G322" s="467">
        <v>0</v>
      </c>
      <c r="H322" s="467">
        <v>0</v>
      </c>
      <c r="I322" s="467">
        <v>0</v>
      </c>
      <c r="J322" s="467">
        <v>0</v>
      </c>
      <c r="K322" s="1691">
        <f t="shared" si="24"/>
        <v>17033</v>
      </c>
      <c r="L322" s="467">
        <v>17033</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1</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5219</v>
      </c>
      <c r="F327" s="467">
        <v>0</v>
      </c>
      <c r="G327" s="467">
        <v>0</v>
      </c>
      <c r="H327" s="467">
        <v>0</v>
      </c>
      <c r="I327" s="467">
        <v>0</v>
      </c>
      <c r="J327" s="467">
        <v>0</v>
      </c>
      <c r="K327" s="1691">
        <f t="shared" si="24"/>
        <v>5219</v>
      </c>
      <c r="L327" s="467">
        <v>5000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31923</v>
      </c>
      <c r="F330" s="1690">
        <f t="shared" si="25"/>
        <v>0</v>
      </c>
      <c r="G330" s="1690">
        <f t="shared" si="25"/>
        <v>0</v>
      </c>
      <c r="H330" s="1690">
        <f t="shared" si="25"/>
        <v>0</v>
      </c>
      <c r="I330" s="1690">
        <f t="shared" si="25"/>
        <v>0</v>
      </c>
      <c r="J330" s="1690">
        <f t="shared" si="25"/>
        <v>0</v>
      </c>
      <c r="K330" s="1690">
        <f>SUM(K319:K329)</f>
        <v>31923</v>
      </c>
      <c r="L330" s="1690">
        <f>SUM(L319:L329)</f>
        <v>31705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31923</v>
      </c>
      <c r="F342" s="1690">
        <f>SUM(F330)</f>
        <v>0</v>
      </c>
      <c r="G342" s="1690">
        <f>SUM(G330)</f>
        <v>0</v>
      </c>
      <c r="H342" s="1690">
        <f>SUM(H330,H334,H340)</f>
        <v>0</v>
      </c>
      <c r="I342" s="1690">
        <f>SUM(I330)</f>
        <v>0</v>
      </c>
      <c r="J342" s="1690">
        <f>SUM(J330)</f>
        <v>0</v>
      </c>
      <c r="K342" s="1690">
        <f>SUM(K330,K334,K340)</f>
        <v>31923</v>
      </c>
      <c r="L342" s="1697">
        <f>SUM(L330,L340,L341)</f>
        <v>31705</v>
      </c>
    </row>
    <row r="343" spans="1:14" ht="12.75" customHeight="1" thickTop="1" x14ac:dyDescent="0.2">
      <c r="A343" s="2188" t="s">
        <v>1053</v>
      </c>
      <c r="B343" s="2189"/>
      <c r="C343" s="615"/>
      <c r="D343" s="615"/>
      <c r="E343" s="615"/>
      <c r="F343" s="615"/>
      <c r="G343" s="615"/>
      <c r="H343" s="615"/>
      <c r="I343" s="615"/>
      <c r="J343" s="615"/>
      <c r="K343" s="1704">
        <f>'Revenues 9-14'!J275-'Expenditures 15-22'!K342</f>
        <v>-25282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8" t="s">
        <v>1023</v>
      </c>
      <c r="B345" s="2179"/>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5" t="s">
        <v>1053</v>
      </c>
      <c r="B368" s="2176"/>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elements/1.1/"/>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2018-10-12T14:52:41Z</cp:lastPrinted>
  <dcterms:created xsi:type="dcterms:W3CDTF">2003-10-29T19:06:34Z</dcterms:created>
  <dcterms:modified xsi:type="dcterms:W3CDTF">2018-10-23T20:11:11Z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