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18" sheetId="183"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8">' SEFA'!$B$1:$M$46</definedName>
    <definedName name="_xlnm.Print_Area" localSheetId="27">'SEFA NOTES'!$A$1:$F$55</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 18'!$A$14:$M$97</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 18'!$1:$11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 i="12" l="1"/>
  <c r="J34" i="8"/>
  <c r="J33" i="8"/>
  <c r="J32" i="8"/>
  <c r="J31" i="8"/>
  <c r="F16" i="183" l="1"/>
  <c r="I101" i="183" l="1"/>
  <c r="I99" i="183"/>
  <c r="J93" i="183"/>
  <c r="J101" i="183" s="1"/>
  <c r="H93" i="183"/>
  <c r="H101" i="183" s="1"/>
  <c r="G93" i="183"/>
  <c r="G101" i="183" s="1"/>
  <c r="L101" i="183" s="1"/>
  <c r="E93" i="183"/>
  <c r="E101" i="183" s="1"/>
  <c r="L91" i="183"/>
  <c r="F91" i="183"/>
  <c r="F93" i="183" s="1"/>
  <c r="L90" i="183"/>
  <c r="J85" i="183"/>
  <c r="H85" i="183"/>
  <c r="G85" i="183"/>
  <c r="F85" i="183"/>
  <c r="E85" i="183"/>
  <c r="L84" i="183"/>
  <c r="L85" i="183" s="1"/>
  <c r="J78" i="183"/>
  <c r="H78" i="183"/>
  <c r="G78" i="183"/>
  <c r="E78" i="183"/>
  <c r="L75" i="183"/>
  <c r="L74" i="183"/>
  <c r="L69" i="183"/>
  <c r="L68" i="183"/>
  <c r="L60" i="183"/>
  <c r="L59" i="183"/>
  <c r="F59" i="183"/>
  <c r="L57" i="183"/>
  <c r="L56" i="183"/>
  <c r="L54" i="183"/>
  <c r="L52" i="183"/>
  <c r="L51" i="183"/>
  <c r="L49" i="183"/>
  <c r="L47" i="183"/>
  <c r="L45" i="183"/>
  <c r="L44" i="183"/>
  <c r="F44" i="183"/>
  <c r="F78" i="183" s="1"/>
  <c r="J38" i="183"/>
  <c r="J99" i="183" s="1"/>
  <c r="G38" i="183"/>
  <c r="G99" i="183" s="1"/>
  <c r="E38" i="183"/>
  <c r="E99" i="183" s="1"/>
  <c r="L37" i="183"/>
  <c r="L36" i="183"/>
  <c r="L34" i="183"/>
  <c r="L33" i="183"/>
  <c r="L30" i="183"/>
  <c r="L28" i="183"/>
  <c r="L26" i="183"/>
  <c r="L25" i="183"/>
  <c r="F25" i="183"/>
  <c r="L23" i="183"/>
  <c r="L22" i="183"/>
  <c r="L20" i="183"/>
  <c r="L19" i="183"/>
  <c r="H17" i="183"/>
  <c r="L16" i="183"/>
  <c r="H9" i="183"/>
  <c r="G9" i="183"/>
  <c r="H8" i="183"/>
  <c r="L93" i="183" l="1"/>
  <c r="L78" i="183"/>
  <c r="G95" i="183"/>
  <c r="E103" i="183"/>
  <c r="G103" i="183"/>
  <c r="F101" i="183"/>
  <c r="J103" i="183"/>
  <c r="F38" i="183"/>
  <c r="F99" i="183" s="1"/>
  <c r="E95" i="183"/>
  <c r="H38" i="183"/>
  <c r="H99" i="183" s="1"/>
  <c r="H103" i="183" s="1"/>
  <c r="L17" i="183"/>
  <c r="L38" i="183" s="1"/>
  <c r="J95" i="183"/>
  <c r="B1007" i="106"/>
  <c r="B7775" i="106"/>
  <c r="D7775" i="106" s="1"/>
  <c r="B276" i="106"/>
  <c r="B273" i="106"/>
  <c r="D273" i="106" s="1"/>
  <c r="B6297" i="106"/>
  <c r="D6297" i="106" s="1"/>
  <c r="B3435" i="106"/>
  <c r="D3435" i="106" s="1"/>
  <c r="B7208" i="106"/>
  <c r="D7208" i="106" s="1"/>
  <c r="B6265" i="106"/>
  <c r="D6265" i="106" s="1"/>
  <c r="B6260" i="106"/>
  <c r="D6260" i="106" s="1"/>
  <c r="B6233" i="106"/>
  <c r="D6233" i="106" s="1"/>
  <c r="B6232" i="106"/>
  <c r="D6232" i="106" s="1"/>
  <c r="B6231" i="106"/>
  <c r="D6231" i="106" s="1"/>
  <c r="B6336" i="106"/>
  <c r="D6336" i="106" s="1"/>
  <c r="B6326" i="106"/>
  <c r="D6326" i="106" s="1"/>
  <c r="B5927" i="106"/>
  <c r="D5927" i="106" s="1"/>
  <c r="B5917" i="106"/>
  <c r="D5917" i="106" s="1"/>
  <c r="B5916" i="106"/>
  <c r="D5916" i="106" s="1"/>
  <c r="B5919" i="106"/>
  <c r="D5919" i="106" s="1"/>
  <c r="B3322" i="106"/>
  <c r="D3322" i="106" s="1"/>
  <c r="B653" i="106"/>
  <c r="B652" i="106"/>
  <c r="D652" i="106" s="1"/>
  <c r="B651" i="106"/>
  <c r="D651" i="106" s="1"/>
  <c r="B2772" i="106"/>
  <c r="D2772" i="106" s="1"/>
  <c r="B2908" i="106"/>
  <c r="D2908" i="106" s="1"/>
  <c r="B2887" i="106"/>
  <c r="D2887" i="106" s="1"/>
  <c r="B6119" i="106"/>
  <c r="D6119" i="106" s="1"/>
  <c r="B6105" i="106"/>
  <c r="D6105" i="106" s="1"/>
  <c r="B6087" i="106"/>
  <c r="D6087" i="106" s="1"/>
  <c r="B7111" i="106"/>
  <c r="D7111" i="106" s="1"/>
  <c r="B7109" i="106"/>
  <c r="D7109" i="106" s="1"/>
  <c r="B7108" i="106"/>
  <c r="D7108" i="106" s="1"/>
  <c r="B1552" i="106"/>
  <c r="D1552" i="106" s="1"/>
  <c r="B1546" i="106"/>
  <c r="D1546" i="106" s="1"/>
  <c r="B1540" i="106"/>
  <c r="D1540" i="106" s="1"/>
  <c r="B1534" i="106"/>
  <c r="D1534" i="106" s="1"/>
  <c r="B1549" i="106"/>
  <c r="D1549" i="106" s="1"/>
  <c r="F303" i="29"/>
  <c r="E303" i="29"/>
  <c r="B1535" i="106" s="1"/>
  <c r="D1535" i="106" s="1"/>
  <c r="B6822" i="106"/>
  <c r="D6822" i="106" s="1"/>
  <c r="B6814" i="106"/>
  <c r="D6814" i="106" s="1"/>
  <c r="B6806" i="106"/>
  <c r="D6806" i="106" s="1"/>
  <c r="B6798" i="106"/>
  <c r="D6798" i="106" s="1"/>
  <c r="B6790" i="106"/>
  <c r="D6790" i="106" s="1"/>
  <c r="B6758" i="106"/>
  <c r="D6758" i="106" s="1"/>
  <c r="B6750" i="106"/>
  <c r="D6750" i="106" s="1"/>
  <c r="B6742" i="106"/>
  <c r="D6742" i="106" s="1"/>
  <c r="B6734" i="106"/>
  <c r="D6734" i="106" s="1"/>
  <c r="B6725" i="106"/>
  <c r="D6725" i="106" s="1"/>
  <c r="B6679" i="106"/>
  <c r="D6679" i="106" s="1"/>
  <c r="B6671" i="106"/>
  <c r="D6671" i="106" s="1"/>
  <c r="B6663" i="106"/>
  <c r="D6663" i="106" s="1"/>
  <c r="B6619" i="106"/>
  <c r="D6619" i="106" s="1"/>
  <c r="B4814" i="106"/>
  <c r="D4814" i="106" s="1"/>
  <c r="B4811" i="106"/>
  <c r="D4811" i="106" s="1"/>
  <c r="B5907" i="106"/>
  <c r="D5907" i="106" s="1"/>
  <c r="B4328" i="106"/>
  <c r="D4328" i="106" s="1"/>
  <c r="B6393" i="106"/>
  <c r="D6393" i="106" s="1"/>
  <c r="B4920" i="106"/>
  <c r="D4920" i="106" s="1"/>
  <c r="B6376" i="106"/>
  <c r="D6376" i="106" s="1"/>
  <c r="H121" i="5"/>
  <c r="B5893" i="106" s="1"/>
  <c r="D5893" i="106" s="1"/>
  <c r="B5885" i="106"/>
  <c r="D5885" i="106" s="1"/>
  <c r="B7637" i="106"/>
  <c r="B5884" i="106"/>
  <c r="D5884" i="106" s="1"/>
  <c r="B6325" i="106"/>
  <c r="D6325" i="106" s="1"/>
  <c r="B5882" i="106"/>
  <c r="D5882" i="106" s="1"/>
  <c r="B5880" i="106"/>
  <c r="D5880" i="106" s="1"/>
  <c r="B9" i="7"/>
  <c r="B5874" i="106"/>
  <c r="D5874" i="106" s="1"/>
  <c r="B2663" i="106"/>
  <c r="D2663" i="106" s="1"/>
  <c r="B7665" i="106"/>
  <c r="D7665" i="106" s="1"/>
  <c r="B6245" i="106"/>
  <c r="D6245" i="106" s="1"/>
  <c r="B7659" i="106"/>
  <c r="D7659" i="106" s="1"/>
  <c r="B3295" i="106"/>
  <c r="D3295" i="106" s="1"/>
  <c r="B6295" i="106"/>
  <c r="D6295" i="106" s="1"/>
  <c r="B3534" i="106"/>
  <c r="D3534" i="106" s="1"/>
  <c r="B620" i="106"/>
  <c r="D620" i="106" s="1"/>
  <c r="B619" i="106"/>
  <c r="D619" i="106" s="1"/>
  <c r="B7753" i="106"/>
  <c r="D7753" i="106" s="1"/>
  <c r="B208" i="106"/>
  <c r="D208" i="106" s="1"/>
  <c r="B206" i="106"/>
  <c r="D206" i="106" s="1"/>
  <c r="B6174" i="106"/>
  <c r="D6174" i="106" s="1"/>
  <c r="B6165" i="106"/>
  <c r="D6165" i="106" s="1"/>
  <c r="B202" i="106"/>
  <c r="D202" i="106" s="1"/>
  <c r="B6118" i="106"/>
  <c r="D6118" i="106" s="1"/>
  <c r="B198" i="106"/>
  <c r="D198" i="106" s="1"/>
  <c r="B6104" i="106"/>
  <c r="D6104" i="106" s="1"/>
  <c r="D39" i="36"/>
  <c r="K290" i="29"/>
  <c r="B2845" i="106" s="1"/>
  <c r="D2845" i="106" s="1"/>
  <c r="B1449" i="106"/>
  <c r="D1449" i="106" s="1"/>
  <c r="B1445" i="106"/>
  <c r="D1445" i="106" s="1"/>
  <c r="K276" i="29"/>
  <c r="B1506" i="106" s="1"/>
  <c r="D1506" i="106" s="1"/>
  <c r="B1440" i="106"/>
  <c r="D1440" i="106" s="1"/>
  <c r="K274" i="29"/>
  <c r="B1503" i="106" s="1"/>
  <c r="D1503" i="106" s="1"/>
  <c r="K269" i="29"/>
  <c r="B1498" i="106" s="1"/>
  <c r="D1498" i="106" s="1"/>
  <c r="B1433" i="106"/>
  <c r="D1433" i="106" s="1"/>
  <c r="K263" i="29"/>
  <c r="K259" i="29"/>
  <c r="B1489" i="106" s="1"/>
  <c r="D1489" i="106" s="1"/>
  <c r="B7097" i="106"/>
  <c r="D7097" i="106" s="1"/>
  <c r="B7087" i="106"/>
  <c r="D7087" i="106" s="1"/>
  <c r="K250" i="29"/>
  <c r="B7086" i="106" s="1"/>
  <c r="D7086" i="106" s="1"/>
  <c r="B7083" i="106"/>
  <c r="D7083" i="106" s="1"/>
  <c r="K248" i="29"/>
  <c r="B7082" i="106" s="1"/>
  <c r="D7082" i="106" s="1"/>
  <c r="K241" i="29"/>
  <c r="B1483" i="106" s="1"/>
  <c r="D1483" i="106" s="1"/>
  <c r="B1416" i="106"/>
  <c r="D1416" i="106" s="1"/>
  <c r="K236" i="29"/>
  <c r="B1479" i="106" s="1"/>
  <c r="D1479" i="106" s="1"/>
  <c r="L243" i="29"/>
  <c r="K228" i="29"/>
  <c r="B3392" i="106" s="1"/>
  <c r="D3392" i="106" s="1"/>
  <c r="K227" i="29"/>
  <c r="B1466" i="106" s="1"/>
  <c r="D1466" i="106" s="1"/>
  <c r="B7079" i="106"/>
  <c r="D7079" i="106" s="1"/>
  <c r="B1396" i="106"/>
  <c r="D1396" i="106" s="1"/>
  <c r="K220" i="29"/>
  <c r="B7078" i="106" s="1"/>
  <c r="D7078" i="106" s="1"/>
  <c r="B3064" i="106"/>
  <c r="D3064" i="106" s="1"/>
  <c r="K218" i="29"/>
  <c r="K217" i="29"/>
  <c r="B3391" i="106" s="1"/>
  <c r="D3391" i="106" s="1"/>
  <c r="B4361" i="106"/>
  <c r="D4361" i="106" s="1"/>
  <c r="B4192" i="106"/>
  <c r="D4192" i="106" s="1"/>
  <c r="B4421" i="106"/>
  <c r="D4421" i="106" s="1"/>
  <c r="B5860" i="106"/>
  <c r="D5860" i="106" s="1"/>
  <c r="B5858" i="106"/>
  <c r="D5858" i="106" s="1"/>
  <c r="B7769" i="106"/>
  <c r="D7769" i="106" s="1"/>
  <c r="B6829" i="106"/>
  <c r="D6829" i="106" s="1"/>
  <c r="B6821" i="106"/>
  <c r="D6821" i="106" s="1"/>
  <c r="B6765" i="106"/>
  <c r="D6765" i="106" s="1"/>
  <c r="B6749" i="106"/>
  <c r="D6749" i="106" s="1"/>
  <c r="B6708" i="106"/>
  <c r="D6708" i="106" s="1"/>
  <c r="B6700" i="106"/>
  <c r="D6700" i="106" s="1"/>
  <c r="B6654" i="106"/>
  <c r="D6654" i="106" s="1"/>
  <c r="B6646" i="106"/>
  <c r="D6646" i="106" s="1"/>
  <c r="B6638" i="106"/>
  <c r="D6638" i="106" s="1"/>
  <c r="B5844" i="106"/>
  <c r="D5844" i="106" s="1"/>
  <c r="B4343" i="106"/>
  <c r="D4343" i="106" s="1"/>
  <c r="F134" i="34"/>
  <c r="B5799" i="106"/>
  <c r="D5799" i="106" s="1"/>
  <c r="B4335" i="106"/>
  <c r="D4335" i="106" s="1"/>
  <c r="B5798" i="106"/>
  <c r="D5798" i="106" s="1"/>
  <c r="B6413" i="106"/>
  <c r="D6413" i="106" s="1"/>
  <c r="B5791" i="106"/>
  <c r="D5791" i="106" s="1"/>
  <c r="B5790" i="106"/>
  <c r="D5790" i="106" s="1"/>
  <c r="B6408" i="106"/>
  <c r="D6408" i="106" s="1"/>
  <c r="B6407" i="106"/>
  <c r="D6407" i="106" s="1"/>
  <c r="B4382" i="106"/>
  <c r="D4382" i="106" s="1"/>
  <c r="B4378" i="106"/>
  <c r="D4378" i="106" s="1"/>
  <c r="B5779" i="106"/>
  <c r="D5779" i="106" s="1"/>
  <c r="B6392" i="106"/>
  <c r="D6392" i="106" s="1"/>
  <c r="B4919" i="106"/>
  <c r="D4919" i="106" s="1"/>
  <c r="B6387" i="106"/>
  <c r="D6387" i="106" s="1"/>
  <c r="B5763" i="106"/>
  <c r="D5763" i="106" s="1"/>
  <c r="B5757" i="106"/>
  <c r="D5757" i="106" s="1"/>
  <c r="B4356" i="106"/>
  <c r="D4356" i="106" s="1"/>
  <c r="B5755" i="106"/>
  <c r="D5755" i="106" s="1"/>
  <c r="G144" i="5"/>
  <c r="B5756" i="106" s="1"/>
  <c r="D5756" i="106" s="1"/>
  <c r="B4230" i="106"/>
  <c r="D4230" i="106" s="1"/>
  <c r="B5749" i="106"/>
  <c r="D5749" i="106" s="1"/>
  <c r="B4886" i="106"/>
  <c r="D4886" i="106" s="1"/>
  <c r="B5743" i="106"/>
  <c r="D5743" i="106" s="1"/>
  <c r="B5738" i="106"/>
  <c r="D5738" i="106" s="1"/>
  <c r="B7636" i="106"/>
  <c r="B6349" i="106"/>
  <c r="D6349" i="106" s="1"/>
  <c r="B6344" i="106"/>
  <c r="D6344" i="106" s="1"/>
  <c r="B5734" i="106"/>
  <c r="D5734" i="106" s="1"/>
  <c r="B5731" i="106"/>
  <c r="D5731" i="106" s="1"/>
  <c r="B5729" i="106"/>
  <c r="D5729" i="106" s="1"/>
  <c r="B5728" i="106"/>
  <c r="D5728" i="106" s="1"/>
  <c r="G12" i="5"/>
  <c r="B5725" i="106" s="1"/>
  <c r="D5725" i="106" s="1"/>
  <c r="B5726" i="106"/>
  <c r="D5726" i="106" s="1"/>
  <c r="B2614" i="106"/>
  <c r="D2614" i="106" s="1"/>
  <c r="B3533" i="106"/>
  <c r="D3533" i="106" s="1"/>
  <c r="B2766" i="106"/>
  <c r="D2766" i="106" s="1"/>
  <c r="B3492" i="106"/>
  <c r="D3492" i="106" s="1"/>
  <c r="B6164" i="106"/>
  <c r="D6164" i="106" s="1"/>
  <c r="B6155" i="106"/>
  <c r="B6146" i="106"/>
  <c r="D6146" i="106" s="1"/>
  <c r="B6137" i="106"/>
  <c r="D6137" i="106" s="1"/>
  <c r="B6129" i="106"/>
  <c r="D6129" i="106" s="1"/>
  <c r="B6094" i="106"/>
  <c r="D6094" i="106" s="1"/>
  <c r="B173" i="106"/>
  <c r="D173" i="106" s="1"/>
  <c r="B177" i="106"/>
  <c r="D177" i="106" s="1"/>
  <c r="B3422" i="106"/>
  <c r="D3422" i="106" s="1"/>
  <c r="B7069" i="106"/>
  <c r="D7069" i="106" s="1"/>
  <c r="K205" i="29"/>
  <c r="B7068" i="106" s="1"/>
  <c r="D7068" i="106" s="1"/>
  <c r="B1373" i="106"/>
  <c r="D1373" i="106" s="1"/>
  <c r="B2829" i="106"/>
  <c r="D2829" i="106" s="1"/>
  <c r="K192" i="29"/>
  <c r="B3011" i="106" s="1"/>
  <c r="D3011" i="106" s="1"/>
  <c r="B2998" i="106"/>
  <c r="D2998" i="106" s="1"/>
  <c r="B2992" i="106"/>
  <c r="D2992" i="106" s="1"/>
  <c r="B2997" i="106"/>
  <c r="D2997" i="106" s="1"/>
  <c r="B2995" i="106"/>
  <c r="D2995" i="106" s="1"/>
  <c r="B2826" i="106"/>
  <c r="D2826" i="106" s="1"/>
  <c r="B2825" i="106"/>
  <c r="D2825" i="106" s="1"/>
  <c r="B2822" i="106"/>
  <c r="D2822" i="106" s="1"/>
  <c r="B2821" i="106"/>
  <c r="D2821" i="106" s="1"/>
  <c r="B1369" i="106"/>
  <c r="D1369" i="106" s="1"/>
  <c r="B1357" i="106"/>
  <c r="D1357" i="106" s="1"/>
  <c r="B1350" i="106"/>
  <c r="D1350" i="106" s="1"/>
  <c r="B1366" i="106"/>
  <c r="D1366" i="106" s="1"/>
  <c r="B1360" i="106"/>
  <c r="D1360" i="106" s="1"/>
  <c r="B1354" i="106"/>
  <c r="D1354" i="106" s="1"/>
  <c r="B1347" i="106"/>
  <c r="D1347" i="106" s="1"/>
  <c r="F184" i="29"/>
  <c r="B1358" i="106" s="1"/>
  <c r="D1358" i="106" s="1"/>
  <c r="B4083" i="106"/>
  <c r="D4083" i="106" s="1"/>
  <c r="B4420" i="106"/>
  <c r="D4420" i="106" s="1"/>
  <c r="B5710" i="106"/>
  <c r="D5710" i="106" s="1"/>
  <c r="B6828" i="106"/>
  <c r="D6828" i="106" s="1"/>
  <c r="B6820" i="106"/>
  <c r="D6820" i="106" s="1"/>
  <c r="B6812" i="106"/>
  <c r="D6812" i="106" s="1"/>
  <c r="B6764" i="106"/>
  <c r="D6764" i="106" s="1"/>
  <c r="B6756" i="106"/>
  <c r="D6756" i="106" s="1"/>
  <c r="B6748" i="106"/>
  <c r="D6748" i="106" s="1"/>
  <c r="B6699" i="106"/>
  <c r="D6699" i="106" s="1"/>
  <c r="B6692" i="106"/>
  <c r="D6692" i="106" s="1"/>
  <c r="B6685" i="106"/>
  <c r="D6685" i="106" s="1"/>
  <c r="B6645" i="106"/>
  <c r="D6645" i="106" s="1"/>
  <c r="B6629" i="106"/>
  <c r="D6629" i="106" s="1"/>
  <c r="B6624" i="106"/>
  <c r="D6624" i="106" s="1"/>
  <c r="B5695" i="106"/>
  <c r="D5695" i="106" s="1"/>
  <c r="B5692" i="106"/>
  <c r="D5692" i="106" s="1"/>
  <c r="B5691" i="106"/>
  <c r="D5691" i="106" s="1"/>
  <c r="B4338" i="106"/>
  <c r="D4338" i="106" s="1"/>
  <c r="B5671" i="106"/>
  <c r="D5671" i="106" s="1"/>
  <c r="B4401" i="106"/>
  <c r="D4401" i="106" s="1"/>
  <c r="B4237" i="106"/>
  <c r="D4237" i="106" s="1"/>
  <c r="B5659" i="106"/>
  <c r="D5659" i="106" s="1"/>
  <c r="B4808" i="106"/>
  <c r="D4808" i="106" s="1"/>
  <c r="B4804" i="106"/>
  <c r="D4804" i="106" s="1"/>
  <c r="B4918" i="106"/>
  <c r="D4918" i="106" s="1"/>
  <c r="B6386" i="106"/>
  <c r="D6386" i="106" s="1"/>
  <c r="B4316" i="106"/>
  <c r="D4316" i="106" s="1"/>
  <c r="B5617" i="106"/>
  <c r="D5617" i="106" s="1"/>
  <c r="B5609" i="106"/>
  <c r="D5609" i="106" s="1"/>
  <c r="B5606" i="106"/>
  <c r="D5606" i="106" s="1"/>
  <c r="B5604" i="106"/>
  <c r="D5604" i="106" s="1"/>
  <c r="B5602" i="106"/>
  <c r="D5602" i="106" s="1"/>
  <c r="B5601" i="106"/>
  <c r="D5601" i="106" s="1"/>
  <c r="F121" i="5"/>
  <c r="B5599" i="106" s="1"/>
  <c r="D5599" i="106" s="1"/>
  <c r="B5591" i="106"/>
  <c r="D5591" i="106" s="1"/>
  <c r="B5590" i="106"/>
  <c r="D5590" i="106" s="1"/>
  <c r="B5589" i="106"/>
  <c r="D5589" i="106" s="1"/>
  <c r="B6333" i="106"/>
  <c r="D6333" i="106" s="1"/>
  <c r="B5585" i="106"/>
  <c r="D5585" i="106" s="1"/>
  <c r="B5584" i="106"/>
  <c r="D5584" i="106" s="1"/>
  <c r="B5578" i="106"/>
  <c r="B5577" i="106"/>
  <c r="D5577" i="106" s="1"/>
  <c r="B5576" i="106"/>
  <c r="D5576" i="106" s="1"/>
  <c r="B6314" i="106"/>
  <c r="D6314" i="106" s="1"/>
  <c r="B5571" i="106"/>
  <c r="D5571" i="106" s="1"/>
  <c r="B5570" i="106"/>
  <c r="D5570" i="106" s="1"/>
  <c r="F22" i="34"/>
  <c r="F85" i="34"/>
  <c r="B5564" i="106"/>
  <c r="D5564" i="106" s="1"/>
  <c r="B5558" i="106"/>
  <c r="D5558" i="106" s="1"/>
  <c r="B5556" i="106"/>
  <c r="D5556" i="106" s="1"/>
  <c r="B5553" i="106"/>
  <c r="D5553" i="106" s="1"/>
  <c r="B2602" i="106"/>
  <c r="D2602" i="106" s="1"/>
  <c r="F76" i="4"/>
  <c r="B3254" i="106" s="1"/>
  <c r="D3254" i="106" s="1"/>
  <c r="B3251" i="106"/>
  <c r="D3251" i="106" s="1"/>
  <c r="B6293" i="106"/>
  <c r="D6293" i="106" s="1"/>
  <c r="B3532" i="106"/>
  <c r="D3532" i="106" s="1"/>
  <c r="B2762" i="106"/>
  <c r="D2762" i="106" s="1"/>
  <c r="B7751" i="106"/>
  <c r="D7751" i="106" s="1"/>
  <c r="B166" i="106"/>
  <c r="D166" i="106" s="1"/>
  <c r="B164" i="106"/>
  <c r="D164" i="106" s="1"/>
  <c r="B6136" i="106"/>
  <c r="D6136" i="106" s="1"/>
  <c r="B6128" i="106"/>
  <c r="D6128" i="106" s="1"/>
  <c r="B156" i="106"/>
  <c r="D156" i="106" s="1"/>
  <c r="B6116" i="106"/>
  <c r="D6116" i="106" s="1"/>
  <c r="B6084" i="106"/>
  <c r="D6084" i="106" s="1"/>
  <c r="B145" i="106"/>
  <c r="D145" i="106" s="1"/>
  <c r="B153" i="106"/>
  <c r="D153" i="106" s="1"/>
  <c r="D37" i="36"/>
  <c r="B3417" i="106"/>
  <c r="D3417" i="106" s="1"/>
  <c r="B1312" i="106"/>
  <c r="D1312" i="106" s="1"/>
  <c r="B2813" i="106"/>
  <c r="D2813" i="106" s="1"/>
  <c r="K165" i="29"/>
  <c r="B2818" i="106" s="1"/>
  <c r="D2818" i="106" s="1"/>
  <c r="B6739" i="106"/>
  <c r="D6739" i="106" s="1"/>
  <c r="B6731" i="106"/>
  <c r="D6731" i="106" s="1"/>
  <c r="B6722" i="106"/>
  <c r="D6722" i="106" s="1"/>
  <c r="B6390" i="106"/>
  <c r="D6390" i="106" s="1"/>
  <c r="B4917" i="106"/>
  <c r="D4917" i="106" s="1"/>
  <c r="B6375" i="106"/>
  <c r="D6375" i="106" s="1"/>
  <c r="B6368" i="106"/>
  <c r="D6368" i="106" s="1"/>
  <c r="B7045" i="106"/>
  <c r="D7045" i="106" s="1"/>
  <c r="B5524" i="106"/>
  <c r="D5524" i="106" s="1"/>
  <c r="B7728" i="106"/>
  <c r="D7728" i="106" s="1"/>
  <c r="B6342" i="106"/>
  <c r="D6342" i="106" s="1"/>
  <c r="B5520" i="106"/>
  <c r="D5520" i="106" s="1"/>
  <c r="B5519" i="106"/>
  <c r="D5519" i="106" s="1"/>
  <c r="B5517" i="106"/>
  <c r="D5517" i="106" s="1"/>
  <c r="E12" i="5"/>
  <c r="B5513" i="106" s="1"/>
  <c r="D5513" i="106" s="1"/>
  <c r="B5" i="7"/>
  <c r="B2637" i="106"/>
  <c r="D2637" i="106" s="1"/>
  <c r="B501" i="106"/>
  <c r="D501" i="106" s="1"/>
  <c r="B500" i="106"/>
  <c r="D500" i="106" s="1"/>
  <c r="B3082" i="106"/>
  <c r="D3082" i="106" s="1"/>
  <c r="B134" i="106"/>
  <c r="D134" i="106" s="1"/>
  <c r="B6162" i="106"/>
  <c r="D6162" i="106" s="1"/>
  <c r="B6153" i="106"/>
  <c r="D6153" i="106" s="1"/>
  <c r="B6144" i="106"/>
  <c r="D6144" i="106" s="1"/>
  <c r="B129" i="106"/>
  <c r="D129" i="106" s="1"/>
  <c r="K148" i="29"/>
  <c r="B7050" i="106" s="1"/>
  <c r="D7050" i="106" s="1"/>
  <c r="B2808" i="106"/>
  <c r="D2808" i="106" s="1"/>
  <c r="K144" i="29"/>
  <c r="B2810" i="106" s="1"/>
  <c r="D2810" i="106" s="1"/>
  <c r="B2980" i="106"/>
  <c r="D2980" i="106" s="1"/>
  <c r="B4199" i="106"/>
  <c r="D4199" i="106" s="1"/>
  <c r="B7040" i="106"/>
  <c r="D7040" i="106" s="1"/>
  <c r="B7039" i="106"/>
  <c r="D7039" i="106" s="1"/>
  <c r="B2798" i="106"/>
  <c r="D2798" i="106" s="1"/>
  <c r="B2797" i="106"/>
  <c r="D2797" i="106" s="1"/>
  <c r="B7036" i="106"/>
  <c r="D7036" i="106" s="1"/>
  <c r="B1240" i="106"/>
  <c r="D1240" i="106" s="1"/>
  <c r="B1232" i="106"/>
  <c r="D1232" i="106" s="1"/>
  <c r="B1224" i="106"/>
  <c r="D1224" i="106" s="1"/>
  <c r="G127" i="29"/>
  <c r="B3486" i="106"/>
  <c r="D3486" i="106" s="1"/>
  <c r="B3485" i="106"/>
  <c r="D3485" i="106" s="1"/>
  <c r="B3484" i="106"/>
  <c r="D3484" i="106" s="1"/>
  <c r="B3483" i="106"/>
  <c r="D3483" i="106" s="1"/>
  <c r="B1253" i="106"/>
  <c r="D1253" i="106" s="1"/>
  <c r="B1245" i="106"/>
  <c r="D1245" i="106" s="1"/>
  <c r="B1237" i="106"/>
  <c r="D1237" i="106" s="1"/>
  <c r="B1229" i="106"/>
  <c r="D1229" i="106" s="1"/>
  <c r="B1252" i="106"/>
  <c r="D1252" i="106" s="1"/>
  <c r="B1244" i="106"/>
  <c r="D1244" i="106" s="1"/>
  <c r="B1236" i="106"/>
  <c r="D1236" i="106" s="1"/>
  <c r="B1228" i="106"/>
  <c r="D1228" i="106" s="1"/>
  <c r="B1251" i="106"/>
  <c r="D1251" i="106" s="1"/>
  <c r="E127" i="29"/>
  <c r="B1239" i="106" s="1"/>
  <c r="D1239" i="106" s="1"/>
  <c r="B4078" i="106"/>
  <c r="D4078" i="106" s="1"/>
  <c r="B4077" i="106"/>
  <c r="D4077" i="106" s="1"/>
  <c r="B4076" i="106"/>
  <c r="D4076" i="106" s="1"/>
  <c r="B4190" i="106"/>
  <c r="D4190" i="106" s="1"/>
  <c r="B5498" i="106"/>
  <c r="D5498" i="106" s="1"/>
  <c r="B5496" i="106"/>
  <c r="D5496" i="106" s="1"/>
  <c r="B6810" i="106"/>
  <c r="D6810" i="106" s="1"/>
  <c r="B6802" i="106"/>
  <c r="D6802" i="106" s="1"/>
  <c r="B6794" i="106"/>
  <c r="D6794" i="106" s="1"/>
  <c r="B6786" i="106"/>
  <c r="D6786" i="106" s="1"/>
  <c r="B6738" i="106"/>
  <c r="D6738" i="106" s="1"/>
  <c r="B6730" i="106"/>
  <c r="D6730" i="106" s="1"/>
  <c r="B6721" i="106"/>
  <c r="D6721" i="106" s="1"/>
  <c r="B6691" i="106"/>
  <c r="D6691" i="106" s="1"/>
  <c r="B6683" i="106"/>
  <c r="D6683" i="106" s="1"/>
  <c r="B6675" i="106"/>
  <c r="D6675" i="106" s="1"/>
  <c r="B6667" i="106"/>
  <c r="D6667" i="106" s="1"/>
  <c r="B6659" i="106"/>
  <c r="D6659" i="106" s="1"/>
  <c r="B6623" i="106"/>
  <c r="D6623" i="106" s="1"/>
  <c r="B6615" i="106"/>
  <c r="D6615" i="106" s="1"/>
  <c r="B5494" i="106"/>
  <c r="D5494" i="106" s="1"/>
  <c r="B4345" i="106"/>
  <c r="D4345" i="106" s="1"/>
  <c r="B5463" i="106"/>
  <c r="D5463" i="106" s="1"/>
  <c r="F32" i="34"/>
  <c r="B5458" i="106"/>
  <c r="D5458" i="106" s="1"/>
  <c r="B5439" i="106"/>
  <c r="D5439" i="106" s="1"/>
  <c r="B6411" i="106"/>
  <c r="D6411" i="106" s="1"/>
  <c r="B5438" i="106"/>
  <c r="D5438" i="106" s="1"/>
  <c r="B4400" i="106"/>
  <c r="D4400" i="106" s="1"/>
  <c r="B5426" i="106"/>
  <c r="D5426" i="106" s="1"/>
  <c r="B4806" i="106"/>
  <c r="D4806" i="106" s="1"/>
  <c r="B4802" i="106"/>
  <c r="D4802" i="106" s="1"/>
  <c r="F124" i="34"/>
  <c r="B4327" i="106"/>
  <c r="D4327" i="106" s="1"/>
  <c r="B6389" i="106"/>
  <c r="D6389" i="106" s="1"/>
  <c r="D154" i="5"/>
  <c r="B5394" i="106" s="1"/>
  <c r="D5394" i="106" s="1"/>
  <c r="B4313" i="106"/>
  <c r="D4313" i="106" s="1"/>
  <c r="B5387" i="106"/>
  <c r="D5387" i="106" s="1"/>
  <c r="B6363" i="106"/>
  <c r="D6363" i="106" s="1"/>
  <c r="B6360" i="106"/>
  <c r="D6360" i="106" s="1"/>
  <c r="B5375" i="106"/>
  <c r="D5375" i="106" s="1"/>
  <c r="B5374" i="106"/>
  <c r="D5374" i="106" s="1"/>
  <c r="B5361" i="106"/>
  <c r="D5361" i="106" s="1"/>
  <c r="B5359" i="106"/>
  <c r="D5359" i="106" s="1"/>
  <c r="B5353" i="106"/>
  <c r="D5353" i="106" s="1"/>
  <c r="B6341" i="106"/>
  <c r="D6341" i="106" s="1"/>
  <c r="B6331" i="106"/>
  <c r="D6331" i="106" s="1"/>
  <c r="B5352" i="106"/>
  <c r="D5352" i="106" s="1"/>
  <c r="B5346" i="106"/>
  <c r="D5346" i="106" s="1"/>
  <c r="B5345" i="106"/>
  <c r="D5345" i="106" s="1"/>
  <c r="B5344" i="106"/>
  <c r="D5344" i="106" s="1"/>
  <c r="B5337" i="106"/>
  <c r="D5337" i="106" s="1"/>
  <c r="B5336" i="106"/>
  <c r="D5336" i="106" s="1"/>
  <c r="B5335" i="106"/>
  <c r="D5335" i="106" s="1"/>
  <c r="B5333" i="106"/>
  <c r="D5333" i="106" s="1"/>
  <c r="B5332" i="106"/>
  <c r="D5332" i="106" s="1"/>
  <c r="B3236" i="106"/>
  <c r="D3236" i="106" s="1"/>
  <c r="B6253" i="106"/>
  <c r="D6253" i="106" s="1"/>
  <c r="B7686" i="106"/>
  <c r="D7686" i="106" s="1"/>
  <c r="B7684" i="106"/>
  <c r="D7684" i="106" s="1"/>
  <c r="B7676" i="106"/>
  <c r="D7676" i="106" s="1"/>
  <c r="B7674" i="106"/>
  <c r="D7674" i="106" s="1"/>
  <c r="B7672" i="106"/>
  <c r="D7672" i="106" s="1"/>
  <c r="B7658" i="106"/>
  <c r="D7658" i="106" s="1"/>
  <c r="B7655" i="106"/>
  <c r="D7655" i="106" s="1"/>
  <c r="B6291" i="106"/>
  <c r="D6291" i="106" s="1"/>
  <c r="B3531" i="106"/>
  <c r="D3531" i="106" s="1"/>
  <c r="B3080" i="106"/>
  <c r="D3080" i="106" s="1"/>
  <c r="B2758" i="106"/>
  <c r="D2758" i="106" s="1"/>
  <c r="B5013" i="106"/>
  <c r="D5013" i="106" s="1"/>
  <c r="B432" i="106"/>
  <c r="D432" i="106" s="1"/>
  <c r="B7749" i="106"/>
  <c r="D7749" i="106" s="1"/>
  <c r="B119" i="106"/>
  <c r="D119" i="106" s="1"/>
  <c r="B6152" i="106"/>
  <c r="D6152" i="106" s="1"/>
  <c r="B6143" i="106"/>
  <c r="D6143" i="106" s="1"/>
  <c r="B6134" i="106"/>
  <c r="D6134" i="106" s="1"/>
  <c r="B6126" i="106"/>
  <c r="D6126" i="106" s="1"/>
  <c r="B108" i="106"/>
  <c r="D108" i="106" s="1"/>
  <c r="B6082" i="106"/>
  <c r="D6082" i="106" s="1"/>
  <c r="B97" i="106"/>
  <c r="D97" i="106" s="1"/>
  <c r="B105" i="106"/>
  <c r="D105" i="106" s="1"/>
  <c r="B7774" i="106"/>
  <c r="D7774" i="106" s="1"/>
  <c r="B2563" i="106"/>
  <c r="D2563" i="106" s="1"/>
  <c r="B7016" i="106"/>
  <c r="D7016" i="106" s="1"/>
  <c r="K106" i="29"/>
  <c r="B1147" i="106" s="1"/>
  <c r="D1147" i="106" s="1"/>
  <c r="B2947" i="106"/>
  <c r="D2947" i="106" s="1"/>
  <c r="B7009" i="106"/>
  <c r="D7009" i="106" s="1"/>
  <c r="K94" i="29"/>
  <c r="B6999" i="106" s="1"/>
  <c r="D6999" i="106" s="1"/>
  <c r="K93" i="29"/>
  <c r="B6997" i="106" s="1"/>
  <c r="D6997" i="106" s="1"/>
  <c r="B6993" i="106"/>
  <c r="D6993" i="106" s="1"/>
  <c r="B6991" i="106"/>
  <c r="D6991" i="106" s="1"/>
  <c r="K85" i="29"/>
  <c r="B6982" i="106" s="1"/>
  <c r="D6982" i="106" s="1"/>
  <c r="K83" i="29"/>
  <c r="B2959" i="106"/>
  <c r="D2959" i="106" s="1"/>
  <c r="B2958" i="106"/>
  <c r="D2958" i="106" s="1"/>
  <c r="B2952" i="106"/>
  <c r="D2952" i="106" s="1"/>
  <c r="B2949" i="106"/>
  <c r="D2949" i="106" s="1"/>
  <c r="B2955" i="106"/>
  <c r="D2955" i="106" s="1"/>
  <c r="B6980" i="106"/>
  <c r="D6980" i="106" s="1"/>
  <c r="B930" i="106"/>
  <c r="D930" i="106" s="1"/>
  <c r="B872" i="106"/>
  <c r="D872" i="106" s="1"/>
  <c r="B814" i="106"/>
  <c r="D814" i="106" s="1"/>
  <c r="B756" i="106"/>
  <c r="D756" i="106" s="1"/>
  <c r="B6976" i="106"/>
  <c r="D6976" i="106" s="1"/>
  <c r="B928" i="106"/>
  <c r="D928" i="106" s="1"/>
  <c r="B870" i="106"/>
  <c r="D870" i="106" s="1"/>
  <c r="B812" i="106"/>
  <c r="D812" i="106" s="1"/>
  <c r="B754" i="106"/>
  <c r="D754" i="106" s="1"/>
  <c r="L72" i="29"/>
  <c r="B6972" i="106"/>
  <c r="D6972" i="106" s="1"/>
  <c r="B6971" i="106"/>
  <c r="D6971" i="106" s="1"/>
  <c r="B809" i="106"/>
  <c r="D809" i="106" s="1"/>
  <c r="B751" i="106"/>
  <c r="D751" i="106" s="1"/>
  <c r="B6970" i="106"/>
  <c r="D6970" i="106" s="1"/>
  <c r="B6969" i="106"/>
  <c r="D6969" i="106" s="1"/>
  <c r="B1039" i="106"/>
  <c r="D1039" i="106" s="1"/>
  <c r="B807" i="106"/>
  <c r="D807" i="106" s="1"/>
  <c r="B749" i="106"/>
  <c r="D749" i="106" s="1"/>
  <c r="B6968" i="106"/>
  <c r="D6968" i="106" s="1"/>
  <c r="B6967" i="106"/>
  <c r="D6967" i="106" s="1"/>
  <c r="B864" i="106"/>
  <c r="B748" i="106"/>
  <c r="D748" i="106" s="1"/>
  <c r="B6966" i="106"/>
  <c r="D6966" i="106" s="1"/>
  <c r="B6965" i="106"/>
  <c r="D6965" i="106" s="1"/>
  <c r="B805" i="106"/>
  <c r="D805" i="106" s="1"/>
  <c r="B747" i="106"/>
  <c r="D747" i="106" s="1"/>
  <c r="B6964" i="106"/>
  <c r="D6964" i="106" s="1"/>
  <c r="B6963" i="106"/>
  <c r="D6963" i="106" s="1"/>
  <c r="D72" i="29"/>
  <c r="B811" i="106" s="1"/>
  <c r="D811" i="106" s="1"/>
  <c r="B1033" i="106"/>
  <c r="D1033" i="106" s="1"/>
  <c r="B975" i="106"/>
  <c r="D975" i="106" s="1"/>
  <c r="B917" i="106"/>
  <c r="D917" i="106" s="1"/>
  <c r="B859" i="106"/>
  <c r="D859" i="106" s="1"/>
  <c r="B1032" i="106"/>
  <c r="D1032" i="106" s="1"/>
  <c r="B974" i="106"/>
  <c r="D974" i="106" s="1"/>
  <c r="B916" i="106"/>
  <c r="D916" i="106" s="1"/>
  <c r="B1031" i="106"/>
  <c r="D1031" i="106" s="1"/>
  <c r="B973" i="106"/>
  <c r="D973" i="106" s="1"/>
  <c r="B915" i="106"/>
  <c r="D915" i="106" s="1"/>
  <c r="B6954" i="106"/>
  <c r="D6954" i="106" s="1"/>
  <c r="B1030" i="106"/>
  <c r="D1030" i="106" s="1"/>
  <c r="B972" i="106"/>
  <c r="D972" i="106" s="1"/>
  <c r="B914" i="106"/>
  <c r="D914" i="106" s="1"/>
  <c r="B6952" i="106"/>
  <c r="D6952" i="106" s="1"/>
  <c r="B1029" i="106"/>
  <c r="D1029" i="106" s="1"/>
  <c r="B971" i="106"/>
  <c r="D971" i="106" s="1"/>
  <c r="B913" i="106"/>
  <c r="D913" i="106" s="1"/>
  <c r="I65" i="29"/>
  <c r="B6961" i="106" s="1"/>
  <c r="D6961" i="106" s="1"/>
  <c r="B970" i="106"/>
  <c r="D970" i="106" s="1"/>
  <c r="B912" i="106"/>
  <c r="D912" i="106" s="1"/>
  <c r="L57" i="29"/>
  <c r="B6947" i="106"/>
  <c r="D6947" i="106" s="1"/>
  <c r="B6946" i="106"/>
  <c r="D6946" i="106" s="1"/>
  <c r="B1026" i="106"/>
  <c r="D1026" i="106" s="1"/>
  <c r="B794" i="106"/>
  <c r="D794" i="106" s="1"/>
  <c r="B736" i="106"/>
  <c r="D736" i="106" s="1"/>
  <c r="B6945" i="106"/>
  <c r="D6945" i="106" s="1"/>
  <c r="I57" i="29"/>
  <c r="B6948" i="106" s="1"/>
  <c r="D6948" i="106" s="1"/>
  <c r="B6941" i="106"/>
  <c r="D6941" i="106" s="1"/>
  <c r="B6936" i="106"/>
  <c r="D6936" i="106" s="1"/>
  <c r="B6935" i="106"/>
  <c r="D6935" i="106" s="1"/>
  <c r="B6934" i="106"/>
  <c r="D6934" i="106" s="1"/>
  <c r="B2723" i="106"/>
  <c r="D2723" i="106" s="1"/>
  <c r="B2722" i="106"/>
  <c r="D2722" i="106" s="1"/>
  <c r="B2721" i="106"/>
  <c r="D2721" i="106" s="1"/>
  <c r="B2720" i="106"/>
  <c r="D2720" i="106" s="1"/>
  <c r="B2719" i="106"/>
  <c r="D2719" i="106" s="1"/>
  <c r="B1023" i="106"/>
  <c r="D1023" i="106" s="1"/>
  <c r="B965" i="106"/>
  <c r="D965" i="106" s="1"/>
  <c r="B907" i="106"/>
  <c r="D907" i="106" s="1"/>
  <c r="B849" i="106"/>
  <c r="D849" i="106" s="1"/>
  <c r="B791" i="106"/>
  <c r="D791" i="106" s="1"/>
  <c r="H53" i="29"/>
  <c r="B1024" i="106" s="1"/>
  <c r="D1024" i="106" s="1"/>
  <c r="B906" i="106"/>
  <c r="D906" i="106" s="1"/>
  <c r="E53" i="29"/>
  <c r="B850" i="106" s="1"/>
  <c r="D850" i="106" s="1"/>
  <c r="B6923" i="106"/>
  <c r="D6923" i="106" s="1"/>
  <c r="B6922" i="106"/>
  <c r="D6922" i="106" s="1"/>
  <c r="B1020" i="106"/>
  <c r="D1020" i="106" s="1"/>
  <c r="B788" i="106"/>
  <c r="D788" i="106" s="1"/>
  <c r="B730" i="106"/>
  <c r="D730" i="106" s="1"/>
  <c r="B6920" i="106"/>
  <c r="D6920" i="106" s="1"/>
  <c r="B1019" i="106"/>
  <c r="D1019" i="106" s="1"/>
  <c r="B6919" i="106"/>
  <c r="D6919" i="106" s="1"/>
  <c r="B6918" i="106"/>
  <c r="D6918" i="106" s="1"/>
  <c r="B728" i="106"/>
  <c r="D728" i="106" s="1"/>
  <c r="B1016" i="106"/>
  <c r="D1016" i="106" s="1"/>
  <c r="B958" i="106"/>
  <c r="D958" i="106" s="1"/>
  <c r="B900" i="106"/>
  <c r="D900" i="106" s="1"/>
  <c r="B6912" i="106"/>
  <c r="D6912" i="106" s="1"/>
  <c r="B1015" i="106"/>
  <c r="D1015" i="106" s="1"/>
  <c r="B957" i="106"/>
  <c r="D957" i="106" s="1"/>
  <c r="B899" i="106"/>
  <c r="D899" i="106" s="1"/>
  <c r="B841" i="106"/>
  <c r="D841" i="106" s="1"/>
  <c r="B1014" i="106"/>
  <c r="D1014" i="106" s="1"/>
  <c r="B956" i="106"/>
  <c r="D956" i="106" s="1"/>
  <c r="B898" i="106"/>
  <c r="D898" i="106" s="1"/>
  <c r="B6908" i="106"/>
  <c r="D6908" i="106" s="1"/>
  <c r="B1013" i="106"/>
  <c r="D1013" i="106" s="1"/>
  <c r="B955" i="106"/>
  <c r="D955" i="106" s="1"/>
  <c r="B897" i="106"/>
  <c r="D897" i="106" s="1"/>
  <c r="B1012" i="106"/>
  <c r="D1012" i="106" s="1"/>
  <c r="B954" i="106"/>
  <c r="D954" i="106" s="1"/>
  <c r="B896" i="106"/>
  <c r="D896" i="106" s="1"/>
  <c r="C42" i="29"/>
  <c r="B727" i="106" s="1"/>
  <c r="B6905" i="106"/>
  <c r="D6905" i="106" s="1"/>
  <c r="B6904" i="106"/>
  <c r="D6904" i="106" s="1"/>
  <c r="B1011" i="106"/>
  <c r="D1011" i="106" s="1"/>
  <c r="B953" i="106"/>
  <c r="D953" i="106" s="1"/>
  <c r="K32" i="29"/>
  <c r="F51" i="34" s="1"/>
  <c r="K31" i="29"/>
  <c r="B6884" i="106"/>
  <c r="D6884" i="106" s="1"/>
  <c r="K23" i="29"/>
  <c r="B6874" i="106"/>
  <c r="D6874" i="106" s="1"/>
  <c r="B3377" i="106"/>
  <c r="D3377" i="106" s="1"/>
  <c r="B3375" i="106"/>
  <c r="D3375" i="106" s="1"/>
  <c r="B3373" i="106"/>
  <c r="D3373" i="106" s="1"/>
  <c r="B6872" i="106"/>
  <c r="D6872" i="106" s="1"/>
  <c r="B1002" i="106"/>
  <c r="D1002" i="106" s="1"/>
  <c r="B944" i="106"/>
  <c r="D944" i="106" s="1"/>
  <c r="B886" i="106"/>
  <c r="D886" i="106" s="1"/>
  <c r="B6869" i="106"/>
  <c r="D6869" i="106" s="1"/>
  <c r="B7268" i="106"/>
  <c r="B7267" i="106"/>
  <c r="B7266" i="106"/>
  <c r="B996" i="106"/>
  <c r="D996" i="106" s="1"/>
  <c r="B938" i="106"/>
  <c r="D938" i="106" s="1"/>
  <c r="B880" i="106"/>
  <c r="D880" i="106" s="1"/>
  <c r="B1009" i="106"/>
  <c r="D1009" i="106" s="1"/>
  <c r="B951" i="106"/>
  <c r="D951" i="106" s="1"/>
  <c r="B893" i="106"/>
  <c r="D893" i="106" s="1"/>
  <c r="B6863" i="106"/>
  <c r="D6863" i="106" s="1"/>
  <c r="B1008" i="106"/>
  <c r="D1008" i="106" s="1"/>
  <c r="B950" i="106"/>
  <c r="D950" i="106" s="1"/>
  <c r="B892" i="106"/>
  <c r="D892" i="106" s="1"/>
  <c r="B834" i="106"/>
  <c r="D834" i="106" s="1"/>
  <c r="B949" i="106"/>
  <c r="D949" i="106" s="1"/>
  <c r="B891" i="106"/>
  <c r="D891" i="106" s="1"/>
  <c r="B833" i="106"/>
  <c r="D833" i="106" s="1"/>
  <c r="B775" i="106"/>
  <c r="D775" i="106" s="1"/>
  <c r="B1006" i="106"/>
  <c r="D1006" i="106" s="1"/>
  <c r="B948" i="106"/>
  <c r="D948" i="106" s="1"/>
  <c r="B890" i="106"/>
  <c r="D890" i="106" s="1"/>
  <c r="B832" i="106"/>
  <c r="D832" i="106" s="1"/>
  <c r="B7261" i="106"/>
  <c r="B7260" i="106"/>
  <c r="B7259" i="106"/>
  <c r="B3058" i="106"/>
  <c r="D3058" i="106" s="1"/>
  <c r="B3057" i="106"/>
  <c r="D3057" i="106" s="1"/>
  <c r="B3056" i="106"/>
  <c r="D3056" i="106" s="1"/>
  <c r="B7256" i="106"/>
  <c r="B7255" i="106"/>
  <c r="B7254" i="106"/>
  <c r="B7253" i="106"/>
  <c r="B3376" i="106"/>
  <c r="D3376" i="106" s="1"/>
  <c r="B3374" i="106"/>
  <c r="D3374" i="106" s="1"/>
  <c r="B3372" i="106"/>
  <c r="D3372" i="106" s="1"/>
  <c r="B3370" i="106"/>
  <c r="D3370" i="106" s="1"/>
  <c r="B6846" i="106"/>
  <c r="D6846" i="106" s="1"/>
  <c r="B7250" i="106"/>
  <c r="B7249" i="106"/>
  <c r="B7248" i="106"/>
  <c r="B6844" i="106"/>
  <c r="D6844" i="106" s="1"/>
  <c r="B995" i="106"/>
  <c r="D995" i="106" s="1"/>
  <c r="B937" i="106"/>
  <c r="D937" i="106" s="1"/>
  <c r="B4362" i="106"/>
  <c r="D4362" i="106" s="1"/>
  <c r="B4189" i="106"/>
  <c r="D4189" i="106" s="1"/>
  <c r="B4418" i="106"/>
  <c r="D4418" i="106" s="1"/>
  <c r="B5312" i="106"/>
  <c r="D5312" i="106" s="1"/>
  <c r="B6841" i="106"/>
  <c r="D6841" i="106" s="1"/>
  <c r="B7765" i="106"/>
  <c r="D7765" i="106" s="1"/>
  <c r="F162" i="34"/>
  <c r="B6793" i="106"/>
  <c r="D6793" i="106" s="1"/>
  <c r="B6785" i="106"/>
  <c r="D6785" i="106" s="1"/>
  <c r="B6777" i="106"/>
  <c r="D6777" i="106" s="1"/>
  <c r="B6769" i="106"/>
  <c r="D6769" i="106" s="1"/>
  <c r="B6712" i="106"/>
  <c r="D6712" i="106" s="1"/>
  <c r="B6704" i="106"/>
  <c r="D6704" i="106" s="1"/>
  <c r="B6696" i="106"/>
  <c r="D6696" i="106" s="1"/>
  <c r="B6674" i="106"/>
  <c r="D6674" i="106" s="1"/>
  <c r="B6658" i="106"/>
  <c r="D6658" i="106" s="1"/>
  <c r="F141" i="34"/>
  <c r="B6614" i="106"/>
  <c r="D6614" i="106" s="1"/>
  <c r="B5310" i="106"/>
  <c r="D5310" i="106" s="1"/>
  <c r="B4344" i="106"/>
  <c r="D4344" i="106" s="1"/>
  <c r="B5275" i="106"/>
  <c r="D5275" i="106" s="1"/>
  <c r="B5274" i="106"/>
  <c r="D5274" i="106" s="1"/>
  <c r="B4336" i="106"/>
  <c r="D4336" i="106" s="1"/>
  <c r="B4407" i="106"/>
  <c r="D4407" i="106" s="1"/>
  <c r="B5254" i="106"/>
  <c r="D5254" i="106" s="1"/>
  <c r="B4399" i="106"/>
  <c r="D4399" i="106" s="1"/>
  <c r="B4235" i="106"/>
  <c r="D4235" i="106" s="1"/>
  <c r="B5248" i="106"/>
  <c r="D5248" i="106" s="1"/>
  <c r="B5247" i="106"/>
  <c r="D5247" i="106" s="1"/>
  <c r="B5242" i="106"/>
  <c r="D5242" i="106" s="1"/>
  <c r="B5241" i="106"/>
  <c r="D5241" i="106" s="1"/>
  <c r="B5240" i="106"/>
  <c r="D5240" i="106" s="1"/>
  <c r="B5239" i="106"/>
  <c r="D5239" i="106" s="1"/>
  <c r="B6401" i="106"/>
  <c r="D6401" i="106" s="1"/>
  <c r="B5233" i="106"/>
  <c r="D5233" i="106" s="1"/>
  <c r="B4805" i="106"/>
  <c r="D4805" i="106" s="1"/>
  <c r="B4801" i="106"/>
  <c r="D4801" i="106" s="1"/>
  <c r="B5231" i="106"/>
  <c r="D5231" i="106" s="1"/>
  <c r="B5230" i="106"/>
  <c r="D5230" i="106" s="1"/>
  <c r="B4321" i="106"/>
  <c r="D4321" i="106" s="1"/>
  <c r="B6388" i="106"/>
  <c r="D6388" i="106" s="1"/>
  <c r="B4915" i="106"/>
  <c r="D4915" i="106" s="1"/>
  <c r="B5196" i="106"/>
  <c r="D5196" i="106" s="1"/>
  <c r="B5187" i="106"/>
  <c r="D5187" i="106" s="1"/>
  <c r="F112" i="34"/>
  <c r="B4314" i="106"/>
  <c r="D4314" i="106" s="1"/>
  <c r="B5171" i="106"/>
  <c r="D5171" i="106" s="1"/>
  <c r="B5168" i="106"/>
  <c r="D5168" i="106" s="1"/>
  <c r="B4351" i="106"/>
  <c r="D4351" i="106" s="1"/>
  <c r="B5167" i="106"/>
  <c r="D5167" i="106" s="1"/>
  <c r="B6362" i="106"/>
  <c r="D6362" i="106" s="1"/>
  <c r="B6359" i="106"/>
  <c r="D6359" i="106" s="1"/>
  <c r="B5153" i="106"/>
  <c r="D5153" i="106" s="1"/>
  <c r="B5152" i="106"/>
  <c r="D5152" i="106" s="1"/>
  <c r="B5137" i="106"/>
  <c r="D5137" i="106" s="1"/>
  <c r="B5134" i="106"/>
  <c r="D5134" i="106" s="1"/>
  <c r="B5133" i="106"/>
  <c r="D5133" i="106" s="1"/>
  <c r="B5124" i="106"/>
  <c r="D5124" i="106" s="1"/>
  <c r="B5123" i="106"/>
  <c r="D5123" i="106" s="1"/>
  <c r="B5122" i="106"/>
  <c r="D5122" i="106" s="1"/>
  <c r="B5119" i="106"/>
  <c r="D5119" i="106" s="1"/>
  <c r="B6339" i="106"/>
  <c r="D6339" i="106" s="1"/>
  <c r="B6330" i="106"/>
  <c r="D6330" i="106" s="1"/>
  <c r="B5116" i="106"/>
  <c r="D5116" i="106" s="1"/>
  <c r="B5115" i="106"/>
  <c r="D5115" i="106" s="1"/>
  <c r="B5110" i="106"/>
  <c r="D5110" i="106" s="1"/>
  <c r="B5109" i="106"/>
  <c r="D5109" i="106" s="1"/>
  <c r="B5108" i="106"/>
  <c r="D5108" i="106" s="1"/>
  <c r="B5107" i="106"/>
  <c r="D5107" i="106" s="1"/>
  <c r="B5101" i="106"/>
  <c r="D5101" i="106" s="1"/>
  <c r="B5100" i="106"/>
  <c r="D5100" i="106" s="1"/>
  <c r="B5099" i="106"/>
  <c r="D5099" i="106" s="1"/>
  <c r="B5098" i="106"/>
  <c r="D5098" i="106" s="1"/>
  <c r="B5097" i="106"/>
  <c r="D5097" i="106" s="1"/>
  <c r="B5092" i="106"/>
  <c r="D5092" i="106" s="1"/>
  <c r="B5091" i="106"/>
  <c r="D5091" i="106" s="1"/>
  <c r="B6031" i="106"/>
  <c r="D6031" i="106" s="1"/>
  <c r="B5089" i="106"/>
  <c r="D5089" i="106" s="1"/>
  <c r="B5084" i="106"/>
  <c r="D5084" i="106" s="1"/>
  <c r="B6310" i="106"/>
  <c r="D6310" i="106" s="1"/>
  <c r="B5083" i="106"/>
  <c r="D5083" i="106" s="1"/>
  <c r="B5082" i="106"/>
  <c r="D5082" i="106" s="1"/>
  <c r="B5081" i="106"/>
  <c r="D5081" i="106" s="1"/>
  <c r="B5078" i="106"/>
  <c r="D5078" i="106" s="1"/>
  <c r="B6308" i="106"/>
  <c r="D6308" i="106" s="1"/>
  <c r="B5077" i="106"/>
  <c r="D5077" i="106" s="1"/>
  <c r="B5076" i="106"/>
  <c r="D5076" i="106" s="1"/>
  <c r="B5072" i="106"/>
  <c r="D5072" i="106" s="1"/>
  <c r="B5070" i="106"/>
  <c r="D5070" i="106" s="1"/>
  <c r="B5069" i="106"/>
  <c r="D5069" i="106" s="1"/>
  <c r="B5068" i="106"/>
  <c r="D5068" i="106" s="1"/>
  <c r="B5026" i="106"/>
  <c r="D5026" i="106" s="1"/>
  <c r="B5061" i="106"/>
  <c r="D5061" i="106" s="1"/>
  <c r="B3230" i="106"/>
  <c r="D3230" i="106" s="1"/>
  <c r="B6252" i="106"/>
  <c r="D6252" i="106" s="1"/>
  <c r="B7685" i="106"/>
  <c r="D7685" i="106" s="1"/>
  <c r="B7677" i="106"/>
  <c r="D7677" i="106" s="1"/>
  <c r="B7675" i="106"/>
  <c r="D7675" i="106" s="1"/>
  <c r="B6248" i="106"/>
  <c r="D6248" i="106" s="1"/>
  <c r="B7673" i="106"/>
  <c r="D7673" i="106" s="1"/>
  <c r="B7663" i="106"/>
  <c r="D7663" i="106" s="1"/>
  <c r="B7660" i="106"/>
  <c r="D7660" i="106" s="1"/>
  <c r="B6243" i="106"/>
  <c r="D6243" i="106" s="1"/>
  <c r="B2794" i="106"/>
  <c r="D2794" i="106" s="1"/>
  <c r="B5022" i="106"/>
  <c r="D5022" i="106" s="1"/>
  <c r="B3228" i="106"/>
  <c r="D3228" i="106" s="1"/>
  <c r="B6290" i="106"/>
  <c r="D6290" i="106" s="1"/>
  <c r="B323" i="106"/>
  <c r="D323" i="106" s="1"/>
  <c r="B2757" i="106"/>
  <c r="D2757" i="106" s="1"/>
  <c r="B321" i="106"/>
  <c r="D321" i="106" s="1"/>
  <c r="B7748" i="106"/>
  <c r="D7748" i="106" s="1"/>
  <c r="B6214" i="106"/>
  <c r="D6214" i="106" s="1"/>
  <c r="B2911" i="106"/>
  <c r="D2911" i="106" s="1"/>
  <c r="B2535" i="106"/>
  <c r="D2535" i="106" s="1"/>
  <c r="B2477" i="106"/>
  <c r="D2477" i="106" s="1"/>
  <c r="B2475" i="106"/>
  <c r="D2475" i="106" s="1"/>
  <c r="B6182" i="106"/>
  <c r="D6182" i="106" s="1"/>
  <c r="B88" i="106"/>
  <c r="D88" i="106" s="1"/>
  <c r="B86" i="106"/>
  <c r="D86" i="106" s="1"/>
  <c r="B6169" i="106"/>
  <c r="D6169" i="106" s="1"/>
  <c r="B6160" i="106"/>
  <c r="D6160" i="106" s="1"/>
  <c r="B6125" i="106"/>
  <c r="D6125" i="106" s="1"/>
  <c r="B76" i="106"/>
  <c r="D76" i="106" s="1"/>
  <c r="B6113" i="106"/>
  <c r="D6113" i="106" s="1"/>
  <c r="B72" i="106"/>
  <c r="D72" i="106" s="1"/>
  <c r="B6099" i="106"/>
  <c r="D6099" i="106" s="1"/>
  <c r="B73" i="106"/>
  <c r="D73" i="106" s="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5" i="29"/>
  <c r="B3674" i="106" s="1"/>
  <c r="D3674" i="106" s="1"/>
  <c r="K354" i="29"/>
  <c r="K333" i="29"/>
  <c r="B7788" i="106" s="1"/>
  <c r="B7793" i="106"/>
  <c r="B7791" i="106"/>
  <c r="B7787" i="106"/>
  <c r="B7785" i="106"/>
  <c r="D7785" i="106" s="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c r="G132" i="181" s="1"/>
  <c r="F131" i="181"/>
  <c r="G131" i="181" s="1"/>
  <c r="E131" i="181"/>
  <c r="F130" i="181"/>
  <c r="G130" i="181" s="1"/>
  <c r="E130" i="181"/>
  <c r="F129" i="181"/>
  <c r="G129" i="181" s="1"/>
  <c r="E129" i="181"/>
  <c r="F128" i="181"/>
  <c r="G128" i="181" s="1"/>
  <c r="E128" i="181"/>
  <c r="E127" i="181"/>
  <c r="F127" i="181"/>
  <c r="G127" i="181" s="1"/>
  <c r="F126" i="181"/>
  <c r="G126" i="181" s="1"/>
  <c r="E126" i="181"/>
  <c r="F125" i="181"/>
  <c r="G125" i="181" s="1"/>
  <c r="E125" i="181"/>
  <c r="F124" i="181"/>
  <c r="G124" i="181" s="1"/>
  <c r="E124" i="181"/>
  <c r="E123" i="181"/>
  <c r="F123" i="18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c r="G114" i="181" s="1"/>
  <c r="F113" i="181"/>
  <c r="G113" i="181" s="1"/>
  <c r="E113" i="181"/>
  <c r="F112" i="181"/>
  <c r="G112" i="181" s="1"/>
  <c r="E112" i="181"/>
  <c r="F111" i="181"/>
  <c r="G111" i="181" s="1"/>
  <c r="E111" i="181"/>
  <c r="E110" i="181"/>
  <c r="F110" i="181"/>
  <c r="G110" i="181"/>
  <c r="F109" i="181"/>
  <c r="G109" i="181" s="1"/>
  <c r="E109" i="181"/>
  <c r="F108" i="181"/>
  <c r="G108" i="181" s="1"/>
  <c r="E108" i="181"/>
  <c r="F107" i="181"/>
  <c r="G107" i="181"/>
  <c r="E107" i="181"/>
  <c r="F106" i="181"/>
  <c r="G106" i="181" s="1"/>
  <c r="E106" i="181"/>
  <c r="F105" i="181"/>
  <c r="G105" i="181" s="1"/>
  <c r="E105" i="181"/>
  <c r="F104" i="181"/>
  <c r="G104" i="181" s="1"/>
  <c r="E104" i="181"/>
  <c r="F99" i="181"/>
  <c r="G99" i="181" s="1"/>
  <c r="E99" i="181"/>
  <c r="F103" i="181"/>
  <c r="G103" i="181" s="1"/>
  <c r="E103" i="181"/>
  <c r="E102" i="181"/>
  <c r="F102" i="181"/>
  <c r="G102" i="181" s="1"/>
  <c r="F101" i="181"/>
  <c r="G101" i="181" s="1"/>
  <c r="E101" i="181"/>
  <c r="E100" i="181"/>
  <c r="F100" i="181"/>
  <c r="G100" i="181" s="1"/>
  <c r="F98" i="181"/>
  <c r="G98" i="181" s="1"/>
  <c r="E98" i="181"/>
  <c r="E97" i="181"/>
  <c r="F97" i="181"/>
  <c r="G97" i="181" s="1"/>
  <c r="F96" i="181"/>
  <c r="G96" i="181" s="1"/>
  <c r="E96" i="181"/>
  <c r="E95" i="181"/>
  <c r="F95" i="181"/>
  <c r="G95" i="181" s="1"/>
  <c r="F93" i="181"/>
  <c r="G93" i="181" s="1"/>
  <c r="E93" i="181"/>
  <c r="F92" i="181"/>
  <c r="G92" i="181" s="1"/>
  <c r="E92" i="181"/>
  <c r="E91" i="181"/>
  <c r="F91" i="181"/>
  <c r="G91" i="181" s="1"/>
  <c r="F90" i="181"/>
  <c r="G90" i="181" s="1"/>
  <c r="E90" i="181"/>
  <c r="F89" i="181"/>
  <c r="G89" i="181" s="1"/>
  <c r="E89" i="181"/>
  <c r="E88" i="181"/>
  <c r="F88" i="181"/>
  <c r="G88" i="181" s="1"/>
  <c r="F87" i="181"/>
  <c r="G87" i="181" s="1"/>
  <c r="E87" i="181"/>
  <c r="E86" i="181"/>
  <c r="F86" i="181"/>
  <c r="G86" i="181" s="1"/>
  <c r="F84" i="181"/>
  <c r="G84" i="181" s="1"/>
  <c r="E84" i="181"/>
  <c r="F83" i="181"/>
  <c r="G83" i="18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c r="G75" i="181" s="1"/>
  <c r="F74" i="181"/>
  <c r="G74" i="181" s="1"/>
  <c r="E74" i="181"/>
  <c r="F73" i="181"/>
  <c r="G73" i="181" s="1"/>
  <c r="E73" i="181"/>
  <c r="F140" i="181"/>
  <c r="G140" i="181" s="1"/>
  <c r="E140" i="181"/>
  <c r="F94" i="181"/>
  <c r="G94" i="181" s="1"/>
  <c r="E94" i="181"/>
  <c r="F85" i="181"/>
  <c r="G85" i="181" s="1"/>
  <c r="E85" i="181"/>
  <c r="E72" i="181"/>
  <c r="F72" i="181"/>
  <c r="G72" i="181" s="1"/>
  <c r="F71" i="181"/>
  <c r="G71" i="181" s="1"/>
  <c r="E71" i="181"/>
  <c r="F70" i="181"/>
  <c r="G70" i="181" s="1"/>
  <c r="E70" i="181"/>
  <c r="F69" i="181"/>
  <c r="G69" i="181" s="1"/>
  <c r="E69" i="181"/>
  <c r="F68" i="181"/>
  <c r="G68" i="181"/>
  <c r="E68" i="181"/>
  <c r="F67" i="181"/>
  <c r="G67" i="181" s="1"/>
  <c r="E67" i="181"/>
  <c r="F66" i="181"/>
  <c r="G66" i="181" s="1"/>
  <c r="E66" i="181"/>
  <c r="E65" i="181"/>
  <c r="F65" i="181"/>
  <c r="G65" i="181" s="1"/>
  <c r="E64" i="181"/>
  <c r="F64" i="181"/>
  <c r="G64" i="181" s="1"/>
  <c r="F63" i="181"/>
  <c r="G63" i="181" s="1"/>
  <c r="E63" i="181"/>
  <c r="F62" i="181"/>
  <c r="G62" i="181" s="1"/>
  <c r="E62" i="181"/>
  <c r="F61" i="181"/>
  <c r="G61" i="181" s="1"/>
  <c r="E61" i="181"/>
  <c r="E60" i="181"/>
  <c r="F60" i="181"/>
  <c r="G60" i="181" s="1"/>
  <c r="F59" i="181"/>
  <c r="G59" i="181" s="1"/>
  <c r="E59" i="181"/>
  <c r="E58" i="181"/>
  <c r="F58" i="181"/>
  <c r="G58" i="181" s="1"/>
  <c r="F57" i="181"/>
  <c r="G57" i="181" s="1"/>
  <c r="E57" i="181"/>
  <c r="E56" i="181"/>
  <c r="F56" i="181"/>
  <c r="G56" i="181" s="1"/>
  <c r="F55" i="181"/>
  <c r="G55" i="181" s="1"/>
  <c r="E55" i="181"/>
  <c r="E54" i="181"/>
  <c r="F54" i="181"/>
  <c r="G54" i="181" s="1"/>
  <c r="F53" i="181"/>
  <c r="G53" i="181" s="1"/>
  <c r="E53" i="181"/>
  <c r="F52" i="181"/>
  <c r="G52" i="181" s="1"/>
  <c r="E52" i="181"/>
  <c r="F51" i="181"/>
  <c r="G51" i="181" s="1"/>
  <c r="E51" i="181"/>
  <c r="F50" i="181"/>
  <c r="G50" i="181" s="1"/>
  <c r="E50" i="181"/>
  <c r="F49" i="181"/>
  <c r="G49" i="181" s="1"/>
  <c r="E49" i="181"/>
  <c r="E48" i="181"/>
  <c r="F48" i="181"/>
  <c r="G48" i="181" s="1"/>
  <c r="F47" i="181"/>
  <c r="G47" i="181" s="1"/>
  <c r="E47" i="181"/>
  <c r="F46" i="181"/>
  <c r="G46" i="181" s="1"/>
  <c r="E46" i="181"/>
  <c r="F45" i="181"/>
  <c r="G45" i="181" s="1"/>
  <c r="E45" i="181"/>
  <c r="F44" i="181"/>
  <c r="G44" i="181" s="1"/>
  <c r="E44" i="181"/>
  <c r="E43" i="181"/>
  <c r="F43" i="181"/>
  <c r="G43" i="181" s="1"/>
  <c r="E42" i="181"/>
  <c r="F42" i="18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c r="G33" i="181" s="1"/>
  <c r="E32" i="181"/>
  <c r="F32" i="181" s="1"/>
  <c r="G32" i="181" s="1"/>
  <c r="F31" i="181"/>
  <c r="G31" i="181" s="1"/>
  <c r="E31" i="181"/>
  <c r="F30" i="181"/>
  <c r="G30" i="181" s="1"/>
  <c r="E30" i="181"/>
  <c r="E29" i="181"/>
  <c r="F29" i="181"/>
  <c r="G29" i="181" s="1"/>
  <c r="F28" i="181"/>
  <c r="G28" i="181"/>
  <c r="E28" i="181"/>
  <c r="E27" i="181"/>
  <c r="F27" i="181"/>
  <c r="G27" i="181" s="1"/>
  <c r="F26" i="181"/>
  <c r="G26" i="181" s="1"/>
  <c r="E26" i="181"/>
  <c r="E25" i="181"/>
  <c r="F25" i="181"/>
  <c r="G25" i="181" s="1"/>
  <c r="F24" i="181"/>
  <c r="G24" i="181" s="1"/>
  <c r="E24" i="181"/>
  <c r="F23" i="181"/>
  <c r="G23" i="181" s="1"/>
  <c r="E23" i="181"/>
  <c r="F22" i="181"/>
  <c r="G22" i="181" s="1"/>
  <c r="E22" i="181"/>
  <c r="F21" i="181"/>
  <c r="G21" i="181" s="1"/>
  <c r="E21" i="181"/>
  <c r="F20" i="181"/>
  <c r="G20" i="181" s="1"/>
  <c r="E20" i="181"/>
  <c r="E19" i="181"/>
  <c r="F19" i="181"/>
  <c r="G19" i="181" s="1"/>
  <c r="F18" i="181"/>
  <c r="G18" i="181" s="1"/>
  <c r="E18" i="181"/>
  <c r="D141" i="181"/>
  <c r="E17" i="181"/>
  <c r="E16" i="181"/>
  <c r="F16" i="181" s="1"/>
  <c r="G16" i="181" s="1"/>
  <c r="F17" i="181"/>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A7" i="169"/>
  <c r="B1" i="177" s="1"/>
  <c r="B4" i="177"/>
  <c r="B4" i="176"/>
  <c r="B4" i="175"/>
  <c r="G43" i="174"/>
  <c r="D47" i="174" s="1"/>
  <c r="B4" i="174"/>
  <c r="E34" i="173"/>
  <c r="A4" i="173"/>
  <c r="D47" i="171"/>
  <c r="A5" i="171"/>
  <c r="C110" i="170"/>
  <c r="C112" i="170" s="1"/>
  <c r="C115" i="170"/>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71"/>
  <c r="B1" i="179"/>
  <c r="B1" i="175"/>
  <c r="A1" i="170"/>
  <c r="A1" i="173"/>
  <c r="B1" i="174"/>
  <c r="B1" i="176"/>
  <c r="B7773" i="106"/>
  <c r="B61" i="106"/>
  <c r="B52" i="106"/>
  <c r="B51" i="106"/>
  <c r="B49" i="106"/>
  <c r="B48" i="106"/>
  <c r="B47" i="106"/>
  <c r="B46" i="106"/>
  <c r="B45" i="106"/>
  <c r="B44" i="106"/>
  <c r="B43" i="106"/>
  <c r="B42" i="106"/>
  <c r="B41" i="106"/>
  <c r="B50" i="106"/>
  <c r="B7766" i="106"/>
  <c r="D7766" i="106" s="1"/>
  <c r="J85" i="28"/>
  <c r="B7758" i="106" s="1"/>
  <c r="D7758" i="106" s="1"/>
  <c r="J88" i="28"/>
  <c r="K6" i="29"/>
  <c r="B7763" i="106" s="1"/>
  <c r="D7763" i="106" s="1"/>
  <c r="B7762" i="106"/>
  <c r="K12" i="12"/>
  <c r="K23" i="12"/>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B104" i="106"/>
  <c r="D104" i="106" s="1"/>
  <c r="D106" i="106"/>
  <c r="D107" i="106"/>
  <c r="D110" i="106"/>
  <c r="D111" i="106"/>
  <c r="D112" i="106"/>
  <c r="D113" i="106"/>
  <c r="D114" i="106"/>
  <c r="D115" i="106"/>
  <c r="D116" i="106"/>
  <c r="B117" i="106"/>
  <c r="D117" i="106" s="1"/>
  <c r="D118" i="106"/>
  <c r="D120" i="106"/>
  <c r="D121" i="106"/>
  <c r="D125" i="106"/>
  <c r="B126" i="106"/>
  <c r="D126" i="106" s="1"/>
  <c r="D127" i="106"/>
  <c r="D128" i="106"/>
  <c r="B130" i="106"/>
  <c r="D130" i="106" s="1"/>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B184" i="106"/>
  <c r="D184" i="106" s="1"/>
  <c r="B185" i="106"/>
  <c r="D185" i="106" s="1"/>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6"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D727" i="106"/>
  <c r="B729" i="106"/>
  <c r="D729" i="106" s="1"/>
  <c r="B732" i="106"/>
  <c r="D732" i="106" s="1"/>
  <c r="B733" i="106"/>
  <c r="D733" i="106" s="1"/>
  <c r="B738" i="106"/>
  <c r="D738" i="106" s="1"/>
  <c r="B739" i="106"/>
  <c r="D739" i="106" s="1"/>
  <c r="B740" i="106"/>
  <c r="D740" i="106" s="1"/>
  <c r="B741" i="106"/>
  <c r="D741" i="106" s="1"/>
  <c r="B742" i="106"/>
  <c r="D742" i="106" s="1"/>
  <c r="B743" i="106"/>
  <c r="D743" i="106" s="1"/>
  <c r="D744" i="106"/>
  <c r="C65" i="29"/>
  <c r="B745" i="106" s="1"/>
  <c r="D745" i="106" s="1"/>
  <c r="D750" i="106"/>
  <c r="D752" i="106"/>
  <c r="D758" i="106"/>
  <c r="D759" i="106"/>
  <c r="D760" i="106"/>
  <c r="D761" i="106"/>
  <c r="D762" i="106"/>
  <c r="B763" i="106"/>
  <c r="D763" i="106" s="1"/>
  <c r="B764" i="106"/>
  <c r="D764" i="106" s="1"/>
  <c r="D765" i="106"/>
  <c r="D766" i="106"/>
  <c r="D767" i="106"/>
  <c r="D768" i="106"/>
  <c r="D769" i="106"/>
  <c r="B770" i="106"/>
  <c r="D770" i="106" s="1"/>
  <c r="D771" i="106"/>
  <c r="D772" i="106"/>
  <c r="D773" i="106"/>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7" i="106"/>
  <c r="D787" i="106" s="1"/>
  <c r="B796" i="106"/>
  <c r="D796" i="106" s="1"/>
  <c r="B797" i="106"/>
  <c r="D797" i="106" s="1"/>
  <c r="B798" i="106"/>
  <c r="D798" i="106" s="1"/>
  <c r="B799" i="106"/>
  <c r="D799" i="106" s="1"/>
  <c r="B800" i="106"/>
  <c r="D800" i="106" s="1"/>
  <c r="B801" i="106"/>
  <c r="D801" i="106" s="1"/>
  <c r="D802" i="106"/>
  <c r="D65" i="29"/>
  <c r="B803" i="106" s="1"/>
  <c r="D803" i="106" s="1"/>
  <c r="B806" i="106"/>
  <c r="D806" i="106" s="1"/>
  <c r="D808" i="106"/>
  <c r="D810" i="106"/>
  <c r="D816" i="106"/>
  <c r="D817" i="106"/>
  <c r="D818" i="106"/>
  <c r="D819" i="106"/>
  <c r="D820" i="106"/>
  <c r="D823" i="106"/>
  <c r="D824" i="106"/>
  <c r="D825" i="106"/>
  <c r="D826" i="106"/>
  <c r="D827" i="106"/>
  <c r="D829" i="106"/>
  <c r="D830" i="106"/>
  <c r="D831" i="106"/>
  <c r="B837" i="106"/>
  <c r="D837" i="106" s="1"/>
  <c r="B844" i="106"/>
  <c r="D844" i="106" s="1"/>
  <c r="B845" i="106"/>
  <c r="D845" i="106" s="1"/>
  <c r="B846" i="106"/>
  <c r="D846" i="106" s="1"/>
  <c r="E47" i="29"/>
  <c r="B851" i="106"/>
  <c r="D851" i="106" s="1"/>
  <c r="B852" i="106"/>
  <c r="D852" i="106" s="1"/>
  <c r="E57" i="29"/>
  <c r="B853" i="106" s="1"/>
  <c r="D853" i="106" s="1"/>
  <c r="D860" i="106"/>
  <c r="B863" i="106"/>
  <c r="D863" i="106" s="1"/>
  <c r="D864" i="106"/>
  <c r="B865" i="106"/>
  <c r="D865" i="106" s="1"/>
  <c r="D866" i="106"/>
  <c r="B867" i="106"/>
  <c r="D867" i="106" s="1"/>
  <c r="D868" i="106"/>
  <c r="D874" i="106"/>
  <c r="D875" i="106"/>
  <c r="D876" i="106"/>
  <c r="D877" i="106"/>
  <c r="D878" i="106"/>
  <c r="D881" i="106"/>
  <c r="D882" i="106"/>
  <c r="D883" i="106"/>
  <c r="D884" i="106"/>
  <c r="D885" i="106"/>
  <c r="D887" i="106"/>
  <c r="D888" i="106"/>
  <c r="D889" i="106"/>
  <c r="B902" i="106"/>
  <c r="D902" i="106" s="1"/>
  <c r="B903" i="106"/>
  <c r="D903" i="106" s="1"/>
  <c r="B904" i="106"/>
  <c r="D904" i="106" s="1"/>
  <c r="F47" i="29"/>
  <c r="B905" i="106" s="1"/>
  <c r="D905" i="106" s="1"/>
  <c r="B909" i="106"/>
  <c r="D909" i="106" s="1"/>
  <c r="B910" i="106"/>
  <c r="D910" i="106" s="1"/>
  <c r="F57" i="29"/>
  <c r="B911" i="106" s="1"/>
  <c r="D911" i="106" s="1"/>
  <c r="D918" i="106"/>
  <c r="B920" i="106"/>
  <c r="D920" i="106" s="1"/>
  <c r="B921" i="106"/>
  <c r="D921" i="106" s="1"/>
  <c r="B922" i="106"/>
  <c r="D922" i="106" s="1"/>
  <c r="B923" i="106"/>
  <c r="D923" i="106" s="1"/>
  <c r="D924" i="106"/>
  <c r="B925" i="106"/>
  <c r="D925" i="106" s="1"/>
  <c r="D926" i="106"/>
  <c r="F72" i="29"/>
  <c r="B927" i="106" s="1"/>
  <c r="D927" i="106" s="1"/>
  <c r="D932" i="106"/>
  <c r="D933" i="106"/>
  <c r="D934" i="106"/>
  <c r="D935" i="106"/>
  <c r="D936" i="106"/>
  <c r="D939" i="106"/>
  <c r="D940" i="106"/>
  <c r="D941" i="106"/>
  <c r="D942" i="106"/>
  <c r="D943" i="106"/>
  <c r="D945" i="106"/>
  <c r="D946" i="106"/>
  <c r="D947" i="106"/>
  <c r="B960" i="106"/>
  <c r="D960" i="106" s="1"/>
  <c r="B967" i="106"/>
  <c r="D967" i="106" s="1"/>
  <c r="B968" i="106"/>
  <c r="D968" i="106" s="1"/>
  <c r="G57" i="29"/>
  <c r="B969" i="106" s="1"/>
  <c r="D969" i="106" s="1"/>
  <c r="D976" i="106"/>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D997" i="106"/>
  <c r="D998" i="106"/>
  <c r="D999" i="106"/>
  <c r="D1000" i="106"/>
  <c r="D1001" i="106"/>
  <c r="D1003" i="106"/>
  <c r="D1004" i="106"/>
  <c r="D1005" i="106"/>
  <c r="D1007" i="106"/>
  <c r="D1034" i="106"/>
  <c r="D1040" i="106"/>
  <c r="D1042" i="106"/>
  <c r="B1044" i="106"/>
  <c r="D1044" i="106" s="1"/>
  <c r="B1046" i="106"/>
  <c r="D1046" i="106" s="1"/>
  <c r="B1048" i="106"/>
  <c r="D1048" i="106" s="1"/>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79" i="29"/>
  <c r="B2974" i="106" s="1"/>
  <c r="D2974" i="106" s="1"/>
  <c r="B2978" i="106"/>
  <c r="D2978" i="106" s="1"/>
  <c r="K95" i="29"/>
  <c r="B7001" i="106" s="1"/>
  <c r="D7001" i="106" s="1"/>
  <c r="K96" i="29"/>
  <c r="B7003" i="106" s="1"/>
  <c r="D7003" i="106" s="1"/>
  <c r="K97" i="29"/>
  <c r="B7005" i="106" s="1"/>
  <c r="D7005" i="106" s="1"/>
  <c r="K105" i="29"/>
  <c r="B1146" i="106" s="1"/>
  <c r="D1146" i="106" s="1"/>
  <c r="D1148" i="106"/>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B1257" i="106"/>
  <c r="D1257" i="106" s="1"/>
  <c r="B1260" i="106"/>
  <c r="D1260" i="106" s="1"/>
  <c r="B1261" i="106"/>
  <c r="D1261" i="106" s="1"/>
  <c r="B1262" i="106"/>
  <c r="D1262" i="106" s="1"/>
  <c r="D1263" i="106"/>
  <c r="H127" i="29"/>
  <c r="B1264" i="106" s="1"/>
  <c r="D1264" i="106" s="1"/>
  <c r="B1265" i="106"/>
  <c r="D1265" i="106" s="1"/>
  <c r="B1268" i="106"/>
  <c r="D1268" i="106" s="1"/>
  <c r="D1271" i="106"/>
  <c r="D1278" i="106"/>
  <c r="K135" i="29"/>
  <c r="B2987" i="106" s="1"/>
  <c r="D2987" i="106" s="1"/>
  <c r="K136" i="29"/>
  <c r="B2988" i="106" s="1"/>
  <c r="D2988" i="106" s="1"/>
  <c r="K142" i="29"/>
  <c r="B1283" i="106" s="1"/>
  <c r="D1283" i="106" s="1"/>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5" i="106"/>
  <c r="D1315" i="106" s="1"/>
  <c r="B1316" i="106"/>
  <c r="D1316" i="106" s="1"/>
  <c r="D1319" i="106"/>
  <c r="D1320" i="106"/>
  <c r="D1321" i="106"/>
  <c r="D1322" i="106"/>
  <c r="B1323" i="106"/>
  <c r="D1323" i="106" s="1"/>
  <c r="K163" i="29"/>
  <c r="B1324" i="106" s="1"/>
  <c r="D1324" i="106" s="1"/>
  <c r="K170" i="29"/>
  <c r="F61" i="34" s="1"/>
  <c r="K171" i="29"/>
  <c r="B1330" i="106" s="1"/>
  <c r="D1330" i="106" s="1"/>
  <c r="D1334" i="106"/>
  <c r="B1335" i="106"/>
  <c r="D1335" i="106" s="1"/>
  <c r="D1336" i="106"/>
  <c r="D1337" i="106"/>
  <c r="B1338" i="106"/>
  <c r="D1338" i="106" s="1"/>
  <c r="C184" i="29"/>
  <c r="C210" i="29" s="1"/>
  <c r="B1340" i="106" s="1"/>
  <c r="D1340" i="106" s="1"/>
  <c r="D1342" i="106"/>
  <c r="D1343" i="106"/>
  <c r="D1348" i="106"/>
  <c r="D1349" i="106"/>
  <c r="D1355" i="106"/>
  <c r="D1356" i="106"/>
  <c r="D1361" i="106"/>
  <c r="D1362" i="106"/>
  <c r="B1363" i="106"/>
  <c r="D1363" i="106" s="1"/>
  <c r="D1367" i="106"/>
  <c r="D1368" i="106"/>
  <c r="H184" i="29"/>
  <c r="B1370" i="106"/>
  <c r="D1370" i="106" s="1"/>
  <c r="B1371" i="106"/>
  <c r="D1371" i="106" s="1"/>
  <c r="B1372" i="106"/>
  <c r="D1372" i="106" s="1"/>
  <c r="D1374" i="106"/>
  <c r="D1378" i="106"/>
  <c r="D1379" i="106"/>
  <c r="K189" i="29"/>
  <c r="B3008" i="106" s="1"/>
  <c r="D3008" i="106" s="1"/>
  <c r="K193" i="29"/>
  <c r="B3012" i="106" s="1"/>
  <c r="D3012" i="106" s="1"/>
  <c r="K199" i="29"/>
  <c r="B1383" i="106" s="1"/>
  <c r="D1383" i="106" s="1"/>
  <c r="K200" i="29"/>
  <c r="B1384" i="106" s="1"/>
  <c r="D1384" i="106" s="1"/>
  <c r="D1386" i="106"/>
  <c r="K201" i="29"/>
  <c r="B2841" i="106" s="1"/>
  <c r="D2841" i="106" s="1"/>
  <c r="K207" i="29"/>
  <c r="B7070" i="106" s="1"/>
  <c r="D7070" i="106" s="1"/>
  <c r="D1390" i="106"/>
  <c r="D1391" i="106"/>
  <c r="D1392" i="106"/>
  <c r="D1393" i="106"/>
  <c r="D1394" i="106"/>
  <c r="D1395" i="106"/>
  <c r="D1397" i="106"/>
  <c r="D1398" i="106"/>
  <c r="D1399" i="106"/>
  <c r="D1400" i="106"/>
  <c r="D1401" i="106"/>
  <c r="D1403" i="106"/>
  <c r="D1404" i="106"/>
  <c r="D1405" i="106"/>
  <c r="B1406" i="106"/>
  <c r="D1406" i="106" s="1"/>
  <c r="B1407" i="106"/>
  <c r="D1407" i="106" s="1"/>
  <c r="B1408" i="106"/>
  <c r="D1408" i="106" s="1"/>
  <c r="B1411" i="106"/>
  <c r="D1411" i="106" s="1"/>
  <c r="B1412" i="106"/>
  <c r="D1412" i="106" s="1"/>
  <c r="B1413" i="106"/>
  <c r="D1413" i="106" s="1"/>
  <c r="B1419" i="106"/>
  <c r="D1419" i="106" s="1"/>
  <c r="B1420" i="106"/>
  <c r="D1420" i="106" s="1"/>
  <c r="D243" i="29"/>
  <c r="B1421" i="106" s="1"/>
  <c r="D1421" i="106" s="1"/>
  <c r="B1422" i="106"/>
  <c r="D1422" i="106" s="1"/>
  <c r="B1423" i="106"/>
  <c r="D1423" i="106" s="1"/>
  <c r="B1428" i="106"/>
  <c r="D1428" i="106" s="1"/>
  <c r="B1429" i="106"/>
  <c r="D1429" i="106" s="1"/>
  <c r="B1430" i="106"/>
  <c r="D1430" i="106" s="1"/>
  <c r="B1431" i="106"/>
  <c r="D1431" i="106" s="1"/>
  <c r="D1435" i="106"/>
  <c r="D1441" i="106"/>
  <c r="D1443" i="106"/>
  <c r="B1447" i="106"/>
  <c r="D1447" i="106" s="1"/>
  <c r="B1451" i="106"/>
  <c r="D1451" i="106" s="1"/>
  <c r="D1453" i="106"/>
  <c r="D1455" i="106"/>
  <c r="D1456" i="106"/>
  <c r="D1457" i="106"/>
  <c r="D1458" i="106"/>
  <c r="D1459" i="106"/>
  <c r="D1461" i="106"/>
  <c r="D1462" i="106"/>
  <c r="D1463" i="106"/>
  <c r="D1464" i="106"/>
  <c r="D1465" i="106"/>
  <c r="D1467" i="106"/>
  <c r="D1468" i="106"/>
  <c r="D1469" i="106"/>
  <c r="K221" i="29"/>
  <c r="K222" i="29"/>
  <c r="B1471" i="106" s="1"/>
  <c r="D1471" i="106" s="1"/>
  <c r="K223" i="29"/>
  <c r="B1472" i="106" s="1"/>
  <c r="D1472" i="106" s="1"/>
  <c r="K215" i="29"/>
  <c r="B3390" i="106" s="1"/>
  <c r="D3390" i="106" s="1"/>
  <c r="K232" i="29"/>
  <c r="B1475" i="106" s="1"/>
  <c r="D1475" i="106" s="1"/>
  <c r="K233" i="29"/>
  <c r="B1476" i="106" s="1"/>
  <c r="D1476" i="106" s="1"/>
  <c r="K234" i="29"/>
  <c r="B1477" i="106" s="1"/>
  <c r="D1477" i="106" s="1"/>
  <c r="K242" i="29"/>
  <c r="B1484" i="106" s="1"/>
  <c r="D1484" i="106" s="1"/>
  <c r="K245" i="29"/>
  <c r="B1486" i="106" s="1"/>
  <c r="D1486" i="106" s="1"/>
  <c r="K246" i="29"/>
  <c r="B1487" i="106" s="1"/>
  <c r="D1487" i="106" s="1"/>
  <c r="K251" i="29"/>
  <c r="B7088" i="106" s="1"/>
  <c r="D7088" i="106" s="1"/>
  <c r="K252" i="29"/>
  <c r="K253" i="29"/>
  <c r="B7092" i="106" s="1"/>
  <c r="D7092" i="106" s="1"/>
  <c r="K254" i="29"/>
  <c r="B7094" i="106" s="1"/>
  <c r="D7094" i="106" s="1"/>
  <c r="K264" i="29"/>
  <c r="B1493" i="106" s="1"/>
  <c r="D1493" i="106" s="1"/>
  <c r="K265" i="29"/>
  <c r="B1494" i="106" s="1"/>
  <c r="D1494" i="106" s="1"/>
  <c r="K266" i="29"/>
  <c r="B1495" i="106" s="1"/>
  <c r="D1495" i="106" s="1"/>
  <c r="D1499" i="106"/>
  <c r="D1505" i="106"/>
  <c r="D1507" i="106"/>
  <c r="K278" i="29"/>
  <c r="B1509" i="106" s="1"/>
  <c r="D1509" i="106" s="1"/>
  <c r="K280" i="29"/>
  <c r="B1511" i="106" s="1"/>
  <c r="D1511" i="106" s="1"/>
  <c r="K292" i="29"/>
  <c r="B1514" i="106" s="1"/>
  <c r="D1514" i="106" s="1"/>
  <c r="K291" i="29"/>
  <c r="B2846" i="106" s="1"/>
  <c r="D2846" i="106" s="1"/>
  <c r="D1516" i="106"/>
  <c r="K283" i="29"/>
  <c r="B3723" i="106" s="1"/>
  <c r="D3723" i="106" s="1"/>
  <c r="K284" i="29"/>
  <c r="B4166" i="106" s="1"/>
  <c r="D4166" i="106" s="1"/>
  <c r="B1519" i="106"/>
  <c r="D1519" i="106" s="1"/>
  <c r="D1520" i="106"/>
  <c r="D1521" i="106"/>
  <c r="B1522" i="106"/>
  <c r="D1522" i="106" s="1"/>
  <c r="C303" i="29"/>
  <c r="B1523" i="106" s="1"/>
  <c r="D1523" i="106" s="1"/>
  <c r="D1526" i="106"/>
  <c r="D1527" i="106"/>
  <c r="D1532" i="106"/>
  <c r="D1533" i="106"/>
  <c r="D1538" i="106"/>
  <c r="D1539" i="106"/>
  <c r="D1544" i="106"/>
  <c r="D1545" i="106"/>
  <c r="D1550" i="106"/>
  <c r="D1551" i="106"/>
  <c r="H303" i="29"/>
  <c r="B1553" i="106" s="1"/>
  <c r="D1553" i="106" s="1"/>
  <c r="D1556" i="106"/>
  <c r="D1557" i="106"/>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c r="D1782" i="106"/>
  <c r="B1783" i="106"/>
  <c r="D1783" i="106" s="1"/>
  <c r="B1784" i="106"/>
  <c r="D1784" i="106"/>
  <c r="B1785" i="106"/>
  <c r="D1785" i="106" s="1"/>
  <c r="B1786" i="106"/>
  <c r="D1786" i="106" s="1"/>
  <c r="D1787" i="106"/>
  <c r="B1788" i="106"/>
  <c r="D1788" i="106" s="1"/>
  <c r="D1789" i="106"/>
  <c r="D1790" i="106"/>
  <c r="C19" i="7"/>
  <c r="B1791" i="106" s="1"/>
  <c r="D1791" i="106" s="1"/>
  <c r="F4" i="7"/>
  <c r="B1792" i="106" s="1"/>
  <c r="D1792" i="106" s="1"/>
  <c r="F5" i="7"/>
  <c r="B1793" i="106"/>
  <c r="D1793" i="106" s="1"/>
  <c r="F6" i="7"/>
  <c r="B1794" i="106"/>
  <c r="D1794" i="106" s="1"/>
  <c r="F7" i="7"/>
  <c r="B1795" i="106" s="1"/>
  <c r="D1795" i="106" s="1"/>
  <c r="F8" i="7"/>
  <c r="B1796" i="106" s="1"/>
  <c r="D1796" i="106" s="1"/>
  <c r="F10" i="7"/>
  <c r="B1797" i="106" s="1"/>
  <c r="D1797" i="106" s="1"/>
  <c r="D1798" i="106"/>
  <c r="F9" i="7"/>
  <c r="B1799" i="106"/>
  <c r="D1799" i="106" s="1"/>
  <c r="F11" i="7"/>
  <c r="B1800" i="106"/>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c r="D1833" i="106" s="1"/>
  <c r="B1834" i="106"/>
  <c r="D1834" i="106" s="1"/>
  <c r="B1835" i="106"/>
  <c r="D1835" i="106" s="1"/>
  <c r="B1836" i="106"/>
  <c r="D1836" i="106" s="1"/>
  <c r="C21" i="8"/>
  <c r="B1837" i="106" s="1"/>
  <c r="D1837" i="106" s="1"/>
  <c r="B1838" i="106"/>
  <c r="D1838" i="106" s="1"/>
  <c r="B1839" i="106"/>
  <c r="D1839" i="106" s="1"/>
  <c r="B1840" i="106"/>
  <c r="D1840" i="106"/>
  <c r="B1841" i="106"/>
  <c r="D1841" i="106"/>
  <c r="B1842" i="106"/>
  <c r="D1842" i="106" s="1"/>
  <c r="B1843" i="106"/>
  <c r="D1843" i="106" s="1"/>
  <c r="B1844" i="106"/>
  <c r="D1844" i="106" s="1"/>
  <c r="B1845" i="106"/>
  <c r="D1845" i="106"/>
  <c r="B1846" i="106"/>
  <c r="D1846" i="106" s="1"/>
  <c r="D15" i="8"/>
  <c r="B1847" i="106" s="1"/>
  <c r="D1847" i="106" s="1"/>
  <c r="B1848" i="106"/>
  <c r="D1848" i="106" s="1"/>
  <c r="B1849" i="106"/>
  <c r="D1849" i="106" s="1"/>
  <c r="B1850" i="106"/>
  <c r="D1850" i="106" s="1"/>
  <c r="D21" i="8"/>
  <c r="B1851" i="106" s="1"/>
  <c r="D1851" i="106"/>
  <c r="B1852" i="106"/>
  <c r="D1852" i="106" s="1"/>
  <c r="B1853" i="106"/>
  <c r="D1853" i="106" s="1"/>
  <c r="B1854" i="106"/>
  <c r="D1854" i="106" s="1"/>
  <c r="B1855" i="106"/>
  <c r="D1855" i="106" s="1"/>
  <c r="B1856" i="106"/>
  <c r="D1856" i="106" s="1"/>
  <c r="B1857" i="106"/>
  <c r="D1857" i="106" s="1"/>
  <c r="B1858" i="106"/>
  <c r="D1858" i="106" s="1"/>
  <c r="B1859" i="106"/>
  <c r="D1859" i="106" s="1"/>
  <c r="B1860" i="106"/>
  <c r="D1860" i="106"/>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F21" i="8" s="1"/>
  <c r="F19" i="8"/>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4" i="106"/>
  <c r="D1984" i="106"/>
  <c r="B1985" i="106"/>
  <c r="D1985" i="106" s="1"/>
  <c r="B1986" i="106"/>
  <c r="D1986" i="106" s="1"/>
  <c r="B1987" i="106"/>
  <c r="D1987" i="106" s="1"/>
  <c r="B1988" i="106"/>
  <c r="D1988" i="106"/>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c r="B2010" i="106"/>
  <c r="D2010" i="106"/>
  <c r="B2011" i="106"/>
  <c r="D2011" i="106" s="1"/>
  <c r="B2012" i="106"/>
  <c r="D2012" i="106" s="1"/>
  <c r="B2014" i="106"/>
  <c r="D2014" i="106" s="1"/>
  <c r="B2015" i="106"/>
  <c r="D2015" i="106" s="1"/>
  <c r="B2016" i="106"/>
  <c r="D2016" i="106" s="1"/>
  <c r="B2017" i="106"/>
  <c r="D2017" i="106" s="1"/>
  <c r="B2018" i="106"/>
  <c r="D2018" i="106" s="1"/>
  <c r="D16" i="11"/>
  <c r="B2019" i="106"/>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27" i="106"/>
  <c r="D2727" i="106" s="1"/>
  <c r="B2728" i="106"/>
  <c r="D2728" i="106" s="1"/>
  <c r="B2729" i="106"/>
  <c r="D2729" i="106" s="1"/>
  <c r="B2730" i="106"/>
  <c r="D2730" i="106" s="1"/>
  <c r="B2731" i="106"/>
  <c r="D2731" i="106" s="1"/>
  <c r="B2732" i="106"/>
  <c r="D2732" i="106" s="1"/>
  <c r="F4" i="8"/>
  <c r="B2733" i="106"/>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B2760" i="106"/>
  <c r="D2760" i="106" s="1"/>
  <c r="D2761" i="106"/>
  <c r="B2763" i="106"/>
  <c r="D2763" i="106" s="1"/>
  <c r="D2764" i="106"/>
  <c r="D2765" i="106"/>
  <c r="D2767" i="106"/>
  <c r="D2768" i="106"/>
  <c r="B2769" i="106"/>
  <c r="D2769" i="106" s="1"/>
  <c r="D2770" i="106"/>
  <c r="D2771"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9" i="106"/>
  <c r="D2799" i="106" s="1"/>
  <c r="B2800" i="106"/>
  <c r="D2800" i="106" s="1"/>
  <c r="B2801" i="106"/>
  <c r="D2801" i="106" s="1"/>
  <c r="B2802" i="106"/>
  <c r="D2802" i="106" s="1"/>
  <c r="D2803" i="106"/>
  <c r="D2804" i="106"/>
  <c r="B2806" i="106"/>
  <c r="D2806" i="106" s="1"/>
  <c r="D2809" i="106"/>
  <c r="D2814" i="106"/>
  <c r="D2815" i="106"/>
  <c r="D2816" i="106"/>
  <c r="B2817" i="106"/>
  <c r="D2817" i="106" s="1"/>
  <c r="B2820" i="106"/>
  <c r="D2820" i="106" s="1"/>
  <c r="B2827" i="106"/>
  <c r="D2827" i="106" s="1"/>
  <c r="B2831" i="106"/>
  <c r="D2831"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D2893" i="106"/>
  <c r="B2894" i="106"/>
  <c r="D2894" i="106" s="1"/>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B2950" i="106"/>
  <c r="D2950" i="106" s="1"/>
  <c r="B2951" i="106"/>
  <c r="D2951" i="106" s="1"/>
  <c r="B2954" i="106"/>
  <c r="D2954" i="106" s="1"/>
  <c r="B2956" i="106"/>
  <c r="D2956" i="106" s="1"/>
  <c r="B2960" i="106"/>
  <c r="D2960" i="106" s="1"/>
  <c r="D2961" i="106"/>
  <c r="D2962" i="106"/>
  <c r="D2963" i="106"/>
  <c r="D2964" i="106"/>
  <c r="D2965" i="106"/>
  <c r="D2966" i="106"/>
  <c r="D2967" i="106"/>
  <c r="D2968" i="106"/>
  <c r="D2969" i="106"/>
  <c r="D2970" i="106"/>
  <c r="D2971" i="106"/>
  <c r="D2972" i="106"/>
  <c r="B2981" i="106"/>
  <c r="D2981" i="106" s="1"/>
  <c r="D2982" i="106"/>
  <c r="D2983" i="106"/>
  <c r="D2984" i="106"/>
  <c r="D2985" i="106"/>
  <c r="B2989" i="106"/>
  <c r="D2989" i="106" s="1"/>
  <c r="B2990" i="106"/>
  <c r="D2990" i="106" s="1"/>
  <c r="B2994" i="106"/>
  <c r="D2994" i="106" s="1"/>
  <c r="B2996" i="106"/>
  <c r="D2996"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60" i="106"/>
  <c r="D3060" i="106" s="1"/>
  <c r="D3061" i="106"/>
  <c r="D3063" i="106"/>
  <c r="D3066" i="106"/>
  <c r="D3067" i="106"/>
  <c r="D3068" i="106"/>
  <c r="D3069" i="106"/>
  <c r="D3070" i="106"/>
  <c r="B3071" i="106"/>
  <c r="D3071" i="106" s="1"/>
  <c r="B3072" i="106"/>
  <c r="D3072" i="106" s="1"/>
  <c r="D3073" i="106"/>
  <c r="D3074" i="106"/>
  <c r="D3075" i="106"/>
  <c r="D3076" i="106"/>
  <c r="D3077" i="106"/>
  <c r="B3078" i="106"/>
  <c r="D3078" i="106" s="1"/>
  <c r="D3081" i="106"/>
  <c r="B3083" i="106"/>
  <c r="D3083" i="106" s="1"/>
  <c r="B3084" i="106"/>
  <c r="D3084"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4" i="106"/>
  <c r="D3234" i="106" s="1"/>
  <c r="D3240" i="106"/>
  <c r="D3241" i="106"/>
  <c r="D3242" i="106"/>
  <c r="D3243" i="106"/>
  <c r="D3244" i="106"/>
  <c r="D3245" i="106"/>
  <c r="D3246" i="106"/>
  <c r="D3247" i="106"/>
  <c r="D3248" i="106"/>
  <c r="D3249" i="106"/>
  <c r="D3250" i="106"/>
  <c r="B3253" i="106"/>
  <c r="D3253" i="106" s="1"/>
  <c r="B3257" i="106"/>
  <c r="D3257" i="106" s="1"/>
  <c r="B3259" i="106"/>
  <c r="D3259" i="106" s="1"/>
  <c r="D3263" i="106"/>
  <c r="D3264" i="106"/>
  <c r="D3265" i="106"/>
  <c r="D3266" i="106"/>
  <c r="D3267" i="106"/>
  <c r="D3268" i="106"/>
  <c r="D3269" i="106"/>
  <c r="D3270" i="106"/>
  <c r="D3271" i="106"/>
  <c r="D3272" i="106"/>
  <c r="B3273" i="106"/>
  <c r="D3273" i="106" s="1"/>
  <c r="D3279" i="106"/>
  <c r="D3280" i="106"/>
  <c r="D3281" i="106"/>
  <c r="D3282" i="106"/>
  <c r="D3283" i="106"/>
  <c r="D3284" i="106"/>
  <c r="D3285" i="106"/>
  <c r="D3286" i="106"/>
  <c r="D3287" i="106"/>
  <c r="D3288" i="106"/>
  <c r="D3289" i="106"/>
  <c r="D3290" i="106"/>
  <c r="D3291" i="106"/>
  <c r="D3292" i="106"/>
  <c r="D3293" i="106"/>
  <c r="D3294" i="106"/>
  <c r="B3297" i="106"/>
  <c r="D3297" i="106" s="1"/>
  <c r="D3301" i="106"/>
  <c r="D3302" i="106"/>
  <c r="D3303" i="106"/>
  <c r="D3304" i="106"/>
  <c r="D3305" i="106"/>
  <c r="D3306" i="106"/>
  <c r="D3307" i="106"/>
  <c r="D3308" i="106"/>
  <c r="D3309" i="106"/>
  <c r="D3310" i="106"/>
  <c r="D3311" i="106"/>
  <c r="D3312" i="106"/>
  <c r="D3313" i="106"/>
  <c r="D3314" i="106"/>
  <c r="D3315" i="106"/>
  <c r="B3316" i="106"/>
  <c r="D3316"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9" i="106"/>
  <c r="D3369" i="106" s="1"/>
  <c r="D3378" i="106"/>
  <c r="D3379" i="106"/>
  <c r="D3382" i="106"/>
  <c r="D3383" i="106"/>
  <c r="D3384" i="106"/>
  <c r="D3385" i="106"/>
  <c r="D3386" i="106"/>
  <c r="B3387" i="106"/>
  <c r="D3387"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7" i="106"/>
  <c r="D3487" i="106" s="1"/>
  <c r="D3489" i="106"/>
  <c r="B3490" i="106"/>
  <c r="D3490" i="106" s="1"/>
  <c r="D3491"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c r="B3684" i="106"/>
  <c r="D3684" i="106" s="1"/>
  <c r="B3685" i="106"/>
  <c r="D3685" i="106" s="1"/>
  <c r="B3686" i="106"/>
  <c r="D3686" i="106" s="1"/>
  <c r="B3687" i="106"/>
  <c r="D3687" i="106"/>
  <c r="D3690" i="106"/>
  <c r="D3691" i="106"/>
  <c r="D3692" i="106"/>
  <c r="D3693" i="106"/>
  <c r="D3694" i="106"/>
  <c r="D3695" i="106"/>
  <c r="D3696" i="106"/>
  <c r="D3697" i="106"/>
  <c r="B3698" i="106"/>
  <c r="D3698"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9" i="106"/>
  <c r="D4079" i="106" s="1"/>
  <c r="B4081" i="106"/>
  <c r="D4081"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B4200" i="106"/>
  <c r="D4200" i="106" s="1"/>
  <c r="B4201" i="106"/>
  <c r="D4201" i="106" s="1"/>
  <c r="D4204" i="106"/>
  <c r="D4205" i="106"/>
  <c r="D4206" i="106"/>
  <c r="D4207" i="106"/>
  <c r="D4208" i="106"/>
  <c r="D4209" i="106"/>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D4231" i="106"/>
  <c r="D4232" i="106"/>
  <c r="D4233" i="106"/>
  <c r="D4234"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c r="B4305" i="106"/>
  <c r="D4305" i="106" s="1"/>
  <c r="B4306" i="106"/>
  <c r="D4306" i="106" s="1"/>
  <c r="B4307" i="106"/>
  <c r="D4307" i="106" s="1"/>
  <c r="B4308" i="106"/>
  <c r="D4308" i="106" s="1"/>
  <c r="B4309" i="106"/>
  <c r="D4309" i="106" s="1"/>
  <c r="B4310" i="106"/>
  <c r="D4310" i="106" s="1"/>
  <c r="B4311" i="106"/>
  <c r="D4311" i="106" s="1"/>
  <c r="B4312" i="106"/>
  <c r="D4312" i="106" s="1"/>
  <c r="B4315" i="106"/>
  <c r="D4315" i="106" s="1"/>
  <c r="B4318" i="106"/>
  <c r="D4318" i="106" s="1"/>
  <c r="D4319" i="106"/>
  <c r="D4320" i="106"/>
  <c r="B4322" i="106"/>
  <c r="D4322" i="106" s="1"/>
  <c r="D4323" i="106"/>
  <c r="D4324" i="106"/>
  <c r="D4325" i="106"/>
  <c r="D4326" i="106"/>
  <c r="B4331" i="106"/>
  <c r="D4331" i="106" s="1"/>
  <c r="B4332" i="106"/>
  <c r="D4332" i="106" s="1"/>
  <c r="B4333" i="106"/>
  <c r="D4333" i="106" s="1"/>
  <c r="B4334" i="106"/>
  <c r="D4334" i="106" s="1"/>
  <c r="B4339" i="106"/>
  <c r="D4339" i="106" s="1"/>
  <c r="B4341" i="106"/>
  <c r="D4341" i="106" s="1"/>
  <c r="B4342" i="106"/>
  <c r="D4342" i="106" s="1"/>
  <c r="B4346" i="106"/>
  <c r="D4346" i="106" s="1"/>
  <c r="D4347" i="106"/>
  <c r="D4348" i="106"/>
  <c r="D4349" i="106"/>
  <c r="D4350" i="106"/>
  <c r="B4352" i="106"/>
  <c r="D4352" i="106" s="1"/>
  <c r="B4353" i="106"/>
  <c r="D4353" i="106" s="1"/>
  <c r="B4354" i="106"/>
  <c r="D4354" i="106" s="1"/>
  <c r="B4355" i="106"/>
  <c r="D4355" i="106" s="1"/>
  <c r="B4359" i="106"/>
  <c r="D4359" i="106" s="1"/>
  <c r="B4360" i="106"/>
  <c r="D4360" i="106" s="1"/>
  <c r="B4364" i="106"/>
  <c r="D4364" i="106" s="1"/>
  <c r="B4365" i="106"/>
  <c r="D4365" i="106" s="1"/>
  <c r="B4366" i="106"/>
  <c r="D4366" i="106" s="1"/>
  <c r="D4367" i="106"/>
  <c r="B4369" i="106"/>
  <c r="D4369" i="106" s="1"/>
  <c r="B4370" i="106"/>
  <c r="D4370" i="106" s="1"/>
  <c r="D4371" i="106"/>
  <c r="D4374" i="106"/>
  <c r="B4375" i="106"/>
  <c r="D4375" i="106" s="1"/>
  <c r="B4377" i="106"/>
  <c r="D4377" i="106" s="1"/>
  <c r="B4379" i="106"/>
  <c r="D4379" i="106" s="1"/>
  <c r="B4380" i="106"/>
  <c r="D4380" i="106" s="1"/>
  <c r="B4381" i="106"/>
  <c r="D4381" i="106" s="1"/>
  <c r="D4383" i="106"/>
  <c r="D4384" i="106"/>
  <c r="D4385" i="106"/>
  <c r="D4386" i="106"/>
  <c r="D4387" i="106"/>
  <c r="D4388" i="106"/>
  <c r="D4389" i="106"/>
  <c r="D4390" i="106"/>
  <c r="B4391" i="106"/>
  <c r="D4391" i="106" s="1"/>
  <c r="B4392" i="106"/>
  <c r="D4392" i="106" s="1"/>
  <c r="B4393" i="106"/>
  <c r="D4393" i="106" s="1"/>
  <c r="B4394" i="106"/>
  <c r="D4394" i="106" s="1"/>
  <c r="B4402" i="106"/>
  <c r="D4402" i="106" s="1"/>
  <c r="D4403" i="106"/>
  <c r="D4404" i="106"/>
  <c r="D4405" i="106"/>
  <c r="D4406" i="106"/>
  <c r="B4408" i="106"/>
  <c r="D4408" i="106" s="1"/>
  <c r="B4410" i="106"/>
  <c r="D4410" i="106" s="1"/>
  <c r="B4415" i="106"/>
  <c r="D4415" i="106" s="1"/>
  <c r="B4416" i="106"/>
  <c r="D4416" i="106" s="1"/>
  <c r="B4417" i="106"/>
  <c r="D4417"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c r="B4796" i="106"/>
  <c r="D4796" i="106" s="1"/>
  <c r="B4797" i="106"/>
  <c r="D4797" i="106" s="1"/>
  <c r="D4798" i="106"/>
  <c r="D4800" i="106"/>
  <c r="D4803" i="106"/>
  <c r="D4807" i="106"/>
  <c r="D4809" i="106"/>
  <c r="B4810" i="106"/>
  <c r="D4810" i="106" s="1"/>
  <c r="D4812" i="106"/>
  <c r="B4813" i="106"/>
  <c r="D4813"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6" i="106"/>
  <c r="D4876" i="106" s="1"/>
  <c r="B4877" i="106"/>
  <c r="D4877" i="106" s="1"/>
  <c r="B4879" i="106"/>
  <c r="D4879" i="106"/>
  <c r="D4880" i="106"/>
  <c r="B4883" i="106"/>
  <c r="D4883" i="106" s="1"/>
  <c r="B4885" i="106"/>
  <c r="D4885"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7" i="106"/>
  <c r="D4947"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4" i="106"/>
  <c r="D5014" i="106" s="1"/>
  <c r="D5015" i="106"/>
  <c r="D5016" i="106"/>
  <c r="D5017" i="106"/>
  <c r="D5018" i="106"/>
  <c r="D5019" i="106"/>
  <c r="D5020" i="106"/>
  <c r="D5021" i="106"/>
  <c r="B5023" i="106"/>
  <c r="D5023" i="106" s="1"/>
  <c r="B5024" i="106"/>
  <c r="D5024" i="106" s="1"/>
  <c r="D5025" i="106"/>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B5063" i="106"/>
  <c r="D5063" i="106" s="1"/>
  <c r="B5064" i="106"/>
  <c r="D5064" i="106" s="1"/>
  <c r="B5065" i="106"/>
  <c r="D5065" i="106" s="1"/>
  <c r="B5073" i="106"/>
  <c r="D5073" i="106" s="1"/>
  <c r="B5074" i="106"/>
  <c r="D5074" i="106" s="1"/>
  <c r="B5079" i="106"/>
  <c r="D5079" i="106" s="1"/>
  <c r="B5080" i="106"/>
  <c r="D5080" i="106" s="1"/>
  <c r="B5085" i="106"/>
  <c r="D5085" i="106" s="1"/>
  <c r="B5086" i="106"/>
  <c r="D5086" i="106" s="1"/>
  <c r="B5093" i="106"/>
  <c r="D5093" i="106" s="1"/>
  <c r="B5094" i="106"/>
  <c r="D5094" i="106" s="1"/>
  <c r="B5095" i="106"/>
  <c r="D5095" i="106" s="1"/>
  <c r="B5103" i="106"/>
  <c r="D5103" i="106" s="1"/>
  <c r="B5104" i="106"/>
  <c r="D5104" i="106" s="1"/>
  <c r="B5105" i="106"/>
  <c r="D5105" i="106" s="1"/>
  <c r="B5111" i="106"/>
  <c r="D5111" i="106" s="1"/>
  <c r="B5113" i="106"/>
  <c r="D5113" i="106" s="1"/>
  <c r="B5114" i="106"/>
  <c r="D5114" i="106" s="1"/>
  <c r="B5117" i="106"/>
  <c r="D5117" i="106" s="1"/>
  <c r="B5126" i="106"/>
  <c r="D5126" i="106" s="1"/>
  <c r="B5127" i="106"/>
  <c r="D5127" i="106" s="1"/>
  <c r="D5128" i="106"/>
  <c r="D5129" i="106"/>
  <c r="D5130" i="106"/>
  <c r="D5131" i="106"/>
  <c r="D5136" i="106"/>
  <c r="D5138" i="106"/>
  <c r="B5139" i="106"/>
  <c r="D5139" i="106" s="1"/>
  <c r="D5140" i="106"/>
  <c r="D5141" i="106"/>
  <c r="B5142" i="106"/>
  <c r="D5142" i="106" s="1"/>
  <c r="D5143" i="106"/>
  <c r="D5144" i="106"/>
  <c r="D5145" i="106"/>
  <c r="D5146" i="106"/>
  <c r="D5149" i="106"/>
  <c r="D5150" i="106"/>
  <c r="D5151" i="106"/>
  <c r="D5154" i="106"/>
  <c r="D5155" i="106"/>
  <c r="D5156" i="106"/>
  <c r="D5157" i="106"/>
  <c r="D5158" i="106"/>
  <c r="D5159" i="106"/>
  <c r="D5160" i="106"/>
  <c r="D5162" i="106"/>
  <c r="B5163" i="106"/>
  <c r="D5163" i="106" s="1"/>
  <c r="D5166" i="106"/>
  <c r="D5169" i="106"/>
  <c r="D5170" i="106"/>
  <c r="D5172" i="106"/>
  <c r="D5173" i="106"/>
  <c r="D5174" i="106"/>
  <c r="B5175" i="106"/>
  <c r="D5175" i="106" s="1"/>
  <c r="D5176" i="106"/>
  <c r="B5177" i="106"/>
  <c r="D5177" i="106" s="1"/>
  <c r="D5179" i="106"/>
  <c r="D5180" i="106"/>
  <c r="D5182" i="106"/>
  <c r="D5183" i="106"/>
  <c r="D5184" i="106"/>
  <c r="D5185" i="106"/>
  <c r="D5186" i="106"/>
  <c r="D5188" i="106"/>
  <c r="D5189" i="106"/>
  <c r="D5190" i="106"/>
  <c r="D5191" i="106"/>
  <c r="D5192" i="106"/>
  <c r="D5193" i="106"/>
  <c r="D5195" i="106"/>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D5234" i="106"/>
  <c r="D5235" i="106"/>
  <c r="D5236" i="106"/>
  <c r="D5237" i="106"/>
  <c r="D5238" i="106"/>
  <c r="B5243" i="106"/>
  <c r="D5243" i="106" s="1"/>
  <c r="D5244" i="106"/>
  <c r="D5245" i="106"/>
  <c r="D5249" i="106"/>
  <c r="D5250" i="106"/>
  <c r="D5251" i="106"/>
  <c r="D5252" i="106"/>
  <c r="D5253" i="106"/>
  <c r="B5255" i="106"/>
  <c r="D5255" i="106" s="1"/>
  <c r="D5257" i="106"/>
  <c r="D5258" i="106"/>
  <c r="D5259" i="106"/>
  <c r="D5261" i="106"/>
  <c r="D5262" i="106"/>
  <c r="D5263" i="106"/>
  <c r="D5264" i="106"/>
  <c r="D5265" i="106"/>
  <c r="D5266" i="106"/>
  <c r="D5267" i="106"/>
  <c r="D5268" i="106"/>
  <c r="D5269" i="106"/>
  <c r="D5270" i="106"/>
  <c r="D5271" i="106"/>
  <c r="D5272" i="106"/>
  <c r="D5273" i="106"/>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B5313" i="106"/>
  <c r="D5313" i="106" s="1"/>
  <c r="D5314" i="106"/>
  <c r="B5315" i="106"/>
  <c r="D5315" i="106" s="1"/>
  <c r="D5316" i="106"/>
  <c r="D5318" i="106"/>
  <c r="D5319" i="106"/>
  <c r="D5321" i="106"/>
  <c r="D5322" i="106"/>
  <c r="D5323" i="106"/>
  <c r="D5324" i="106"/>
  <c r="D5325" i="106"/>
  <c r="D5329" i="106"/>
  <c r="B5330" i="106"/>
  <c r="D5330" i="106" s="1"/>
  <c r="B5331" i="106"/>
  <c r="D5331" i="106" s="1"/>
  <c r="B5338" i="106"/>
  <c r="D5338" i="106" s="1"/>
  <c r="B5340" i="106"/>
  <c r="D5340" i="106" s="1"/>
  <c r="B5341" i="106"/>
  <c r="D5341" i="106" s="1"/>
  <c r="B5347" i="106"/>
  <c r="D5347" i="106" s="1"/>
  <c r="B5349" i="106"/>
  <c r="D5349" i="106" s="1"/>
  <c r="B5350" i="106"/>
  <c r="D5350" i="106" s="1"/>
  <c r="B5354" i="106"/>
  <c r="D5354" i="106" s="1"/>
  <c r="B5357" i="106"/>
  <c r="D5357" i="106" s="1"/>
  <c r="B5362" i="106"/>
  <c r="D5362" i="106" s="1"/>
  <c r="D5363" i="106"/>
  <c r="D5364" i="106"/>
  <c r="D5365" i="106"/>
  <c r="D5366" i="106"/>
  <c r="B5368" i="106"/>
  <c r="D5368" i="106" s="1"/>
  <c r="D5371" i="106"/>
  <c r="D5372" i="106"/>
  <c r="D5373" i="106"/>
  <c r="D5376" i="106"/>
  <c r="D5377" i="106"/>
  <c r="D5378" i="106"/>
  <c r="D5379" i="106"/>
  <c r="D5380" i="106"/>
  <c r="D5381" i="106"/>
  <c r="D5382" i="106"/>
  <c r="D5385" i="106"/>
  <c r="D5386" i="106"/>
  <c r="D5388" i="106"/>
  <c r="D5389" i="106"/>
  <c r="D5390" i="106"/>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D5427" i="106"/>
  <c r="D5428" i="106"/>
  <c r="D5429" i="106"/>
  <c r="D5430" i="106"/>
  <c r="B5431" i="106"/>
  <c r="D5431" i="106" s="1"/>
  <c r="B5432" i="106"/>
  <c r="D5432" i="106" s="1"/>
  <c r="D5433" i="106"/>
  <c r="D5434" i="106"/>
  <c r="D5435" i="106"/>
  <c r="D5436" i="106"/>
  <c r="D5437" i="106"/>
  <c r="B5440" i="106"/>
  <c r="D5440" i="106" s="1"/>
  <c r="D5441" i="106"/>
  <c r="D5442" i="106"/>
  <c r="D5443" i="106"/>
  <c r="D5445" i="106"/>
  <c r="D5446" i="106"/>
  <c r="D5447" i="106"/>
  <c r="D5448" i="106"/>
  <c r="D5449" i="106"/>
  <c r="D5450" i="106"/>
  <c r="D5451" i="106"/>
  <c r="D5452" i="106"/>
  <c r="D5453" i="106"/>
  <c r="D5454" i="106"/>
  <c r="D5455" i="106"/>
  <c r="D5456" i="106"/>
  <c r="D5457" i="106"/>
  <c r="D5460" i="106"/>
  <c r="D5461"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D5495" i="106"/>
  <c r="D5497" i="106"/>
  <c r="D5499" i="106"/>
  <c r="D5500" i="106"/>
  <c r="D5502" i="106"/>
  <c r="D5503" i="106"/>
  <c r="D5504" i="106"/>
  <c r="D5505" i="106"/>
  <c r="D5506" i="106"/>
  <c r="B5509" i="106"/>
  <c r="D5509" i="106" s="1"/>
  <c r="D5510" i="106"/>
  <c r="B5511" i="106"/>
  <c r="D5511" i="106" s="1"/>
  <c r="B5512" i="106"/>
  <c r="D5512" i="106" s="1"/>
  <c r="B5514" i="106"/>
  <c r="D5514" i="106" s="1"/>
  <c r="B5515" i="106"/>
  <c r="D5515" i="106" s="1"/>
  <c r="B5522" i="106"/>
  <c r="D5522" i="106" s="1"/>
  <c r="B5523" i="106"/>
  <c r="D5523"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59" i="106"/>
  <c r="D5559" i="106" s="1"/>
  <c r="B5560" i="106"/>
  <c r="D5560" i="106" s="1"/>
  <c r="B5561" i="106"/>
  <c r="D5561" i="106" s="1"/>
  <c r="B5567" i="106"/>
  <c r="D5567" i="106" s="1"/>
  <c r="B5568" i="106"/>
  <c r="D5568" i="106" s="1"/>
  <c r="B5569" i="106"/>
  <c r="D5569" i="106" s="1"/>
  <c r="B5573" i="106"/>
  <c r="D5573" i="106" s="1"/>
  <c r="B5574" i="106"/>
  <c r="D5574" i="106" s="1"/>
  <c r="B5575" i="106"/>
  <c r="D5575" i="106" s="1"/>
  <c r="D5578" i="106"/>
  <c r="B5580" i="106"/>
  <c r="D5580" i="106" s="1"/>
  <c r="B5581" i="106"/>
  <c r="D5581" i="106" s="1"/>
  <c r="B5583" i="106"/>
  <c r="D5583" i="106" s="1"/>
  <c r="B5586" i="106"/>
  <c r="D5586" i="106" s="1"/>
  <c r="B5594" i="106"/>
  <c r="D5594" i="106" s="1"/>
  <c r="D5595" i="106"/>
  <c r="D5596" i="106"/>
  <c r="D5597" i="106"/>
  <c r="D5598" i="106"/>
  <c r="B5600" i="106"/>
  <c r="D5600" i="106" s="1"/>
  <c r="D5603" i="106"/>
  <c r="D5605" i="106"/>
  <c r="D5607" i="106"/>
  <c r="D5608" i="106"/>
  <c r="D5610" i="106"/>
  <c r="D5611" i="106"/>
  <c r="D5612" i="106"/>
  <c r="D5613" i="106"/>
  <c r="D5616" i="106"/>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B5664" i="106"/>
  <c r="D5664" i="106" s="1"/>
  <c r="D5666" i="106"/>
  <c r="D5667" i="106"/>
  <c r="D5668" i="106"/>
  <c r="D5669" i="106"/>
  <c r="D5670"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D5693" i="106"/>
  <c r="D5694" i="106"/>
  <c r="B5696" i="106"/>
  <c r="D5696" i="106" s="1"/>
  <c r="B5697" i="106"/>
  <c r="D5697" i="106" s="1"/>
  <c r="D5698" i="106"/>
  <c r="D5699" i="106"/>
  <c r="D5700" i="106"/>
  <c r="D5701" i="106"/>
  <c r="D5702" i="106"/>
  <c r="D5704" i="106"/>
  <c r="B5705" i="106"/>
  <c r="D5705" i="106" s="1"/>
  <c r="B5706" i="106"/>
  <c r="D5706" i="106" s="1"/>
  <c r="D5707" i="106"/>
  <c r="D5709" i="106"/>
  <c r="D5711" i="106"/>
  <c r="D5712" i="106"/>
  <c r="D5714" i="106"/>
  <c r="D5715" i="106"/>
  <c r="D5716" i="106"/>
  <c r="D5717" i="106"/>
  <c r="D5718" i="106"/>
  <c r="B5722" i="106"/>
  <c r="D5722" i="106" s="1"/>
  <c r="B5723" i="106"/>
  <c r="D5723" i="106" s="1"/>
  <c r="B5724" i="106"/>
  <c r="D5724" i="106" s="1"/>
  <c r="B5727" i="106"/>
  <c r="D5727" i="106" s="1"/>
  <c r="B5732" i="106"/>
  <c r="D5732" i="106" s="1"/>
  <c r="B5735" i="106"/>
  <c r="D5735" i="106" s="1"/>
  <c r="B5736" i="106"/>
  <c r="D5736" i="106" s="1"/>
  <c r="B5739" i="106"/>
  <c r="D5739" i="106" s="1"/>
  <c r="B5740" i="106"/>
  <c r="D5740" i="106" s="1"/>
  <c r="B5742" i="106"/>
  <c r="D5742" i="106" s="1"/>
  <c r="D5744" i="106"/>
  <c r="D5745" i="106"/>
  <c r="D5746" i="106"/>
  <c r="D5747" i="106"/>
  <c r="D5750" i="106"/>
  <c r="D5751" i="106"/>
  <c r="D5753" i="106"/>
  <c r="D5758" i="106"/>
  <c r="D5759" i="106"/>
  <c r="D5760" i="106"/>
  <c r="D5761" i="106"/>
  <c r="D5762" i="106"/>
  <c r="D5764" i="106"/>
  <c r="B5765" i="106"/>
  <c r="D5765" i="106" s="1"/>
  <c r="D5766" i="106"/>
  <c r="B5767" i="106"/>
  <c r="D5767" i="106" s="1"/>
  <c r="B5768" i="106"/>
  <c r="D5768" i="106" s="1"/>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B5797" i="106"/>
  <c r="D5797"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B5853" i="106"/>
  <c r="D5853" i="106" s="1"/>
  <c r="D5854" i="106"/>
  <c r="B5855" i="106"/>
  <c r="D5855" i="106" s="1"/>
  <c r="B5856" i="106"/>
  <c r="D5856" i="106" s="1"/>
  <c r="D5857" i="106"/>
  <c r="D5859" i="106"/>
  <c r="D5861" i="106"/>
  <c r="D5862" i="106"/>
  <c r="D5864" i="106"/>
  <c r="D5865" i="106"/>
  <c r="D5866" i="106"/>
  <c r="D5867" i="106"/>
  <c r="D5868" i="106"/>
  <c r="B5872" i="106"/>
  <c r="D5872" i="106" s="1"/>
  <c r="B5875" i="106"/>
  <c r="D5875" i="106" s="1"/>
  <c r="B5876" i="106"/>
  <c r="D5876" i="106" s="1"/>
  <c r="B5883" i="106"/>
  <c r="D5883"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0" i="106"/>
  <c r="D5920" i="106" s="1"/>
  <c r="B5921" i="106"/>
  <c r="D5921" i="106" s="1"/>
  <c r="B5922" i="106"/>
  <c r="D5922" i="106" s="1"/>
  <c r="B5924" i="106"/>
  <c r="D5924"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c r="F27" i="8"/>
  <c r="B6079" i="106" s="1"/>
  <c r="D6079" i="106"/>
  <c r="D6080" i="106"/>
  <c r="B6081" i="106"/>
  <c r="D6081" i="106" s="1"/>
  <c r="B6083" i="106"/>
  <c r="D6083" i="106" s="1"/>
  <c r="B6085" i="106"/>
  <c r="D6085" i="106" s="1"/>
  <c r="B6086" i="106"/>
  <c r="D6086" i="106"/>
  <c r="B6088" i="106"/>
  <c r="D6088" i="106" s="1"/>
  <c r="B6089" i="106"/>
  <c r="D6089" i="106" s="1"/>
  <c r="B6090" i="106"/>
  <c r="D6090" i="106" s="1"/>
  <c r="B6091" i="106"/>
  <c r="D6091" i="106" s="1"/>
  <c r="B6092" i="106"/>
  <c r="D6092" i="106" s="1"/>
  <c r="B6093" i="106"/>
  <c r="D6093" i="106" s="1"/>
  <c r="B6095" i="106"/>
  <c r="D6095" i="106" s="1"/>
  <c r="B6096" i="106"/>
  <c r="D6096" i="106" s="1"/>
  <c r="B6097" i="106"/>
  <c r="D6097" i="106" s="1"/>
  <c r="B6098" i="106"/>
  <c r="D6098" i="106" s="1"/>
  <c r="B6100" i="106"/>
  <c r="D6100" i="106" s="1"/>
  <c r="B6101" i="106"/>
  <c r="D6101" i="106" s="1"/>
  <c r="B6102" i="106"/>
  <c r="D6102" i="106" s="1"/>
  <c r="A6103" i="106"/>
  <c r="B6103" i="106"/>
  <c r="B6108" i="106"/>
  <c r="D6108" i="106" s="1"/>
  <c r="B6109" i="106"/>
  <c r="D6109" i="106" s="1"/>
  <c r="B6110" i="106"/>
  <c r="D6110" i="106" s="1"/>
  <c r="B6111" i="106"/>
  <c r="D6111" i="106" s="1"/>
  <c r="B6112" i="106"/>
  <c r="D6112" i="106" s="1"/>
  <c r="B6114" i="106"/>
  <c r="D6114" i="106" s="1"/>
  <c r="B6115" i="106"/>
  <c r="D6115" i="106"/>
  <c r="B6117" i="106"/>
  <c r="D6117" i="106" s="1"/>
  <c r="B6120" i="106"/>
  <c r="D6120" i="106" s="1"/>
  <c r="B6122" i="106"/>
  <c r="D6122" i="106" s="1"/>
  <c r="B6127" i="106"/>
  <c r="D6127" i="106" s="1"/>
  <c r="B6130" i="106"/>
  <c r="D6130" i="106" s="1"/>
  <c r="B6133" i="106"/>
  <c r="D6133" i="106" s="1"/>
  <c r="B6138" i="106"/>
  <c r="D6138" i="106" s="1"/>
  <c r="B6139" i="106"/>
  <c r="D6139" i="106" s="1"/>
  <c r="B6142" i="106"/>
  <c r="D6142" i="106" s="1"/>
  <c r="B6145" i="106"/>
  <c r="D6145" i="106" s="1"/>
  <c r="B6147" i="106"/>
  <c r="D6147" i="106" s="1"/>
  <c r="B6148" i="106"/>
  <c r="D6148" i="106" s="1"/>
  <c r="B6151" i="106"/>
  <c r="D6151" i="106" s="1"/>
  <c r="B6154" i="106"/>
  <c r="D6154" i="106" s="1"/>
  <c r="D6155" i="106"/>
  <c r="B6156" i="106"/>
  <c r="D6156" i="106" s="1"/>
  <c r="B6157" i="106"/>
  <c r="D6157" i="106" s="1"/>
  <c r="B6161" i="106"/>
  <c r="D6161" i="106" s="1"/>
  <c r="B6163" i="106"/>
  <c r="D6163" i="106" s="1"/>
  <c r="B6170" i="106"/>
  <c r="D6170" i="106" s="1"/>
  <c r="B6171" i="106"/>
  <c r="D6171" i="106" s="1"/>
  <c r="B6172" i="106"/>
  <c r="D6172" i="106" s="1"/>
  <c r="B6173" i="106"/>
  <c r="D6173" i="106" s="1"/>
  <c r="B6175" i="106"/>
  <c r="D6175" i="106" s="1"/>
  <c r="B6176" i="106"/>
  <c r="D6176" i="106" s="1"/>
  <c r="B6178" i="106"/>
  <c r="D6178" i="106" s="1"/>
  <c r="B6179" i="106"/>
  <c r="D6179" i="106" s="1"/>
  <c r="B6183" i="106"/>
  <c r="D6183" i="106" s="1"/>
  <c r="B6184" i="106"/>
  <c r="D6184" i="106" s="1"/>
  <c r="B6185" i="106"/>
  <c r="D6185" i="106"/>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24" i="106"/>
  <c r="D6224" i="106"/>
  <c r="J18" i="4"/>
  <c r="B6228" i="106" s="1"/>
  <c r="D6228" i="106" s="1"/>
  <c r="B6234" i="106"/>
  <c r="D6234" i="106" s="1"/>
  <c r="B6235" i="106"/>
  <c r="D6235" i="106" s="1"/>
  <c r="B6236" i="106"/>
  <c r="D6236" i="106" s="1"/>
  <c r="B6237" i="106"/>
  <c r="D6237" i="106" s="1"/>
  <c r="B6240" i="106"/>
  <c r="D6240" i="106" s="1"/>
  <c r="B6241" i="106"/>
  <c r="D6241" i="106" s="1"/>
  <c r="B6242" i="106"/>
  <c r="D6242" i="106" s="1"/>
  <c r="B6246" i="106"/>
  <c r="D6246" i="106" s="1"/>
  <c r="B6247" i="106"/>
  <c r="D6247" i="106" s="1"/>
  <c r="B6250" i="106"/>
  <c r="D6250" i="106" s="1"/>
  <c r="B6251" i="106"/>
  <c r="D6251" i="106" s="1"/>
  <c r="B6254" i="106"/>
  <c r="D6254" i="106" s="1"/>
  <c r="B6255" i="106"/>
  <c r="D6255" i="106" s="1"/>
  <c r="B6256" i="106"/>
  <c r="D6256" i="106" s="1"/>
  <c r="B6259" i="106"/>
  <c r="D6259" i="106" s="1"/>
  <c r="B6292" i="106"/>
  <c r="D6292" i="106" s="1"/>
  <c r="B6294" i="106"/>
  <c r="D6294" i="106" s="1"/>
  <c r="B6307" i="106"/>
  <c r="D6307" i="106" s="1"/>
  <c r="B6309" i="106"/>
  <c r="D6309" i="106" s="1"/>
  <c r="B6311" i="106"/>
  <c r="D6311" i="106" s="1"/>
  <c r="B6312" i="106"/>
  <c r="D6312" i="106" s="1"/>
  <c r="B6315" i="106"/>
  <c r="D6315" i="106" s="1"/>
  <c r="B6321" i="106"/>
  <c r="D6321" i="106" s="1"/>
  <c r="B6322" i="106"/>
  <c r="D6322" i="106" s="1"/>
  <c r="B6324" i="106"/>
  <c r="D6324" i="106" s="1"/>
  <c r="B6332" i="106"/>
  <c r="D6332" i="106" s="1"/>
  <c r="B6334" i="106"/>
  <c r="D6334" i="106" s="1"/>
  <c r="B6335" i="106"/>
  <c r="D6335" i="106" s="1"/>
  <c r="B6340" i="106"/>
  <c r="D6340" i="106" s="1"/>
  <c r="B6343" i="106"/>
  <c r="D6343" i="106" s="1"/>
  <c r="B6345" i="106"/>
  <c r="D6345" i="106" s="1"/>
  <c r="B6346" i="106"/>
  <c r="D6346" i="106" s="1"/>
  <c r="B6358" i="106"/>
  <c r="D6358" i="106" s="1"/>
  <c r="B6361" i="106"/>
  <c r="D6361" i="106" s="1"/>
  <c r="B6364" i="106"/>
  <c r="D6364" i="106" s="1"/>
  <c r="B6365" i="106"/>
  <c r="D6365" i="106" s="1"/>
  <c r="B6366" i="106"/>
  <c r="D6366" i="106" s="1"/>
  <c r="B6369" i="106"/>
  <c r="D6369" i="106" s="1"/>
  <c r="B6370" i="106"/>
  <c r="D6370" i="106" s="1"/>
  <c r="B6372" i="106"/>
  <c r="D6372" i="106" s="1"/>
  <c r="B6377" i="106"/>
  <c r="D6377" i="106" s="1"/>
  <c r="B6380" i="106"/>
  <c r="D6380" i="106" s="1"/>
  <c r="B6382" i="106"/>
  <c r="D6382" i="106" s="1"/>
  <c r="B6384" i="106"/>
  <c r="D6384" i="106" s="1"/>
  <c r="B6402" i="106"/>
  <c r="D6402" i="106" s="1"/>
  <c r="B6403" i="106"/>
  <c r="D6403" i="106" s="1"/>
  <c r="B6404" i="106"/>
  <c r="D6404" i="106" s="1"/>
  <c r="B6405" i="106"/>
  <c r="D6405" i="106" s="1"/>
  <c r="B6410" i="106"/>
  <c r="D6410" i="106" s="1"/>
  <c r="B6412" i="106"/>
  <c r="D6412"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18" i="106"/>
  <c r="D6618" i="106" s="1"/>
  <c r="B6620" i="106"/>
  <c r="D6620" i="106" s="1"/>
  <c r="B6621" i="106"/>
  <c r="D6621" i="106" s="1"/>
  <c r="B6622" i="106"/>
  <c r="D6622" i="106" s="1"/>
  <c r="B6626" i="106"/>
  <c r="D6626" i="106" s="1"/>
  <c r="B6627" i="106"/>
  <c r="D6627" i="106" s="1"/>
  <c r="B6628" i="106"/>
  <c r="D6628" i="106" s="1"/>
  <c r="B6631" i="106"/>
  <c r="D6631" i="106" s="1"/>
  <c r="B6632" i="106"/>
  <c r="D6632" i="106" s="1"/>
  <c r="B6633" i="106"/>
  <c r="D6633" i="106" s="1"/>
  <c r="B6634" i="106"/>
  <c r="D6634" i="106" s="1"/>
  <c r="B6635" i="106"/>
  <c r="D6635" i="106" s="1"/>
  <c r="B6636" i="106"/>
  <c r="D6636" i="106"/>
  <c r="B6639" i="106"/>
  <c r="D6639" i="106" s="1"/>
  <c r="B6640" i="106"/>
  <c r="D6640" i="106" s="1"/>
  <c r="B6641" i="106"/>
  <c r="D6641" i="106" s="1"/>
  <c r="B6643" i="106"/>
  <c r="D6643" i="106" s="1"/>
  <c r="B6644" i="106"/>
  <c r="D6644" i="106" s="1"/>
  <c r="B6647" i="106"/>
  <c r="D6647" i="106" s="1"/>
  <c r="B6648" i="106"/>
  <c r="D6648" i="106"/>
  <c r="B6649" i="106"/>
  <c r="D6649" i="106" s="1"/>
  <c r="B6651" i="106"/>
  <c r="D6651" i="106" s="1"/>
  <c r="B6652" i="106"/>
  <c r="D6652" i="106" s="1"/>
  <c r="B6653" i="106"/>
  <c r="D6653" i="106" s="1"/>
  <c r="B6656" i="106"/>
  <c r="D6656" i="106" s="1"/>
  <c r="B6657" i="106"/>
  <c r="D6657" i="106" s="1"/>
  <c r="B6660" i="106"/>
  <c r="D6660" i="106" s="1"/>
  <c r="B6661" i="106"/>
  <c r="D6661" i="106" s="1"/>
  <c r="B6662" i="106"/>
  <c r="D6662" i="106" s="1"/>
  <c r="B6664" i="106"/>
  <c r="D6664" i="106" s="1"/>
  <c r="B6665" i="106"/>
  <c r="D6665" i="106" s="1"/>
  <c r="B6668" i="106"/>
  <c r="D6668" i="106" s="1"/>
  <c r="B6669" i="106"/>
  <c r="D6669" i="106" s="1"/>
  <c r="B6670" i="106"/>
  <c r="D6670" i="106" s="1"/>
  <c r="B6672" i="106"/>
  <c r="D6672" i="106" s="1"/>
  <c r="B6673" i="106"/>
  <c r="D6673" i="106" s="1"/>
  <c r="B6676" i="106"/>
  <c r="D6676" i="106"/>
  <c r="B6678" i="106"/>
  <c r="D6678" i="106" s="1"/>
  <c r="B6680" i="106"/>
  <c r="D6680" i="106" s="1"/>
  <c r="B6681" i="106"/>
  <c r="D6681" i="106" s="1"/>
  <c r="B6682" i="106"/>
  <c r="D6682" i="106" s="1"/>
  <c r="B6684" i="106"/>
  <c r="D6684" i="106"/>
  <c r="B6687" i="106"/>
  <c r="D6687" i="106" s="1"/>
  <c r="B6688" i="106"/>
  <c r="D6688" i="106" s="1"/>
  <c r="B6689" i="106"/>
  <c r="D6689" i="106" s="1"/>
  <c r="B6690" i="106"/>
  <c r="D6690" i="106" s="1"/>
  <c r="B6694" i="106"/>
  <c r="D6694" i="106" s="1"/>
  <c r="B6695" i="106"/>
  <c r="D6695" i="106" s="1"/>
  <c r="B6697" i="106"/>
  <c r="D6697" i="106" s="1"/>
  <c r="B6698" i="106"/>
  <c r="D6698" i="106" s="1"/>
  <c r="B6701" i="106"/>
  <c r="D6701" i="106" s="1"/>
  <c r="B6702" i="106"/>
  <c r="D6702" i="106" s="1"/>
  <c r="B6703" i="106"/>
  <c r="D6703" i="106"/>
  <c r="B6705" i="106"/>
  <c r="D6705" i="106" s="1"/>
  <c r="B6706" i="106"/>
  <c r="D6706" i="106" s="1"/>
  <c r="B6707" i="106"/>
  <c r="D6707" i="106" s="1"/>
  <c r="B6709" i="106"/>
  <c r="D6709" i="106" s="1"/>
  <c r="B6710" i="106"/>
  <c r="D6710" i="106" s="1"/>
  <c r="B6711" i="106"/>
  <c r="D6711" i="106" s="1"/>
  <c r="B6715" i="106"/>
  <c r="D6715" i="106" s="1"/>
  <c r="B6716" i="106"/>
  <c r="D6716" i="106" s="1"/>
  <c r="B6717" i="106"/>
  <c r="D6717" i="106" s="1"/>
  <c r="B6718" i="106"/>
  <c r="D6718" i="106" s="1"/>
  <c r="B6719" i="106"/>
  <c r="D6719" i="106"/>
  <c r="B6723" i="106"/>
  <c r="D6723" i="106" s="1"/>
  <c r="B6724" i="106"/>
  <c r="D6724" i="106" s="1"/>
  <c r="B6726" i="106"/>
  <c r="D6726" i="106" s="1"/>
  <c r="B6727" i="106"/>
  <c r="D6727" i="106" s="1"/>
  <c r="B6728" i="106"/>
  <c r="D6728" i="106" s="1"/>
  <c r="B6729" i="106"/>
  <c r="D6729" i="106" s="1"/>
  <c r="B6732" i="106"/>
  <c r="D6732" i="106" s="1"/>
  <c r="B6733" i="106"/>
  <c r="D6733" i="106" s="1"/>
  <c r="B6735" i="106"/>
  <c r="D6735" i="106" s="1"/>
  <c r="B6736" i="106"/>
  <c r="D6736" i="106" s="1"/>
  <c r="B6737" i="106"/>
  <c r="D6737" i="106" s="1"/>
  <c r="B6741" i="106"/>
  <c r="D6741" i="106" s="1"/>
  <c r="B6743" i="106"/>
  <c r="D6743" i="106" s="1"/>
  <c r="B6744" i="106"/>
  <c r="D6744" i="106" s="1"/>
  <c r="B6745" i="106"/>
  <c r="D6745" i="106" s="1"/>
  <c r="B6746" i="106"/>
  <c r="D6746" i="106" s="1"/>
  <c r="B6747" i="106"/>
  <c r="D6747" i="106" s="1"/>
  <c r="B6751" i="106"/>
  <c r="D6751" i="106" s="1"/>
  <c r="B6752" i="106"/>
  <c r="D6752" i="106" s="1"/>
  <c r="B6753" i="106"/>
  <c r="D6753" i="106" s="1"/>
  <c r="B6754" i="106"/>
  <c r="D6754" i="106" s="1"/>
  <c r="B6755" i="106"/>
  <c r="D6755" i="106" s="1"/>
  <c r="B6759" i="106"/>
  <c r="D6759" i="106" s="1"/>
  <c r="B6760" i="106"/>
  <c r="D6760" i="106" s="1"/>
  <c r="B6762" i="106"/>
  <c r="D6762" i="106" s="1"/>
  <c r="B6763" i="106"/>
  <c r="D6763" i="106" s="1"/>
  <c r="B6766" i="106"/>
  <c r="D6766" i="106" s="1"/>
  <c r="B6767" i="106"/>
  <c r="D6767" i="106" s="1"/>
  <c r="B6768" i="106"/>
  <c r="D6768" i="106" s="1"/>
  <c r="B6770" i="106"/>
  <c r="D6770" i="106" s="1"/>
  <c r="B6771" i="106"/>
  <c r="D6771" i="106" s="1"/>
  <c r="B6772" i="106"/>
  <c r="D6772" i="106" s="1"/>
  <c r="B6774" i="106"/>
  <c r="D6774" i="106" s="1"/>
  <c r="B6775" i="106"/>
  <c r="D6775" i="106" s="1"/>
  <c r="B6776" i="106"/>
  <c r="D6776" i="106" s="1"/>
  <c r="B6779" i="106"/>
  <c r="D6779" i="106" s="1"/>
  <c r="B6780" i="106"/>
  <c r="D6780" i="106" s="1"/>
  <c r="B6781" i="106"/>
  <c r="D6781" i="106" s="1"/>
  <c r="B6782" i="106"/>
  <c r="D6782" i="106" s="1"/>
  <c r="B6783" i="106"/>
  <c r="D6783" i="106" s="1"/>
  <c r="B6784" i="106"/>
  <c r="D6784" i="106" s="1"/>
  <c r="B6787" i="106"/>
  <c r="D6787" i="106" s="1"/>
  <c r="B6788" i="106"/>
  <c r="D6788" i="106" s="1"/>
  <c r="B6789" i="106"/>
  <c r="D6789" i="106" s="1"/>
  <c r="B6791" i="106"/>
  <c r="D6791" i="106" s="1"/>
  <c r="B6792" i="106"/>
  <c r="D6792" i="106" s="1"/>
  <c r="B6795" i="106"/>
  <c r="D6795" i="106"/>
  <c r="B6796" i="106"/>
  <c r="D6796" i="106" s="1"/>
  <c r="B6797" i="106"/>
  <c r="D6797" i="106" s="1"/>
  <c r="B6799" i="106"/>
  <c r="D6799" i="106"/>
  <c r="B6800" i="106"/>
  <c r="D6800" i="106" s="1"/>
  <c r="B6801" i="106"/>
  <c r="D6801" i="106" s="1"/>
  <c r="B6803" i="106"/>
  <c r="D6803" i="106" s="1"/>
  <c r="B6805" i="106"/>
  <c r="D6805" i="106" s="1"/>
  <c r="B6807" i="106"/>
  <c r="D6807" i="106" s="1"/>
  <c r="B6808" i="106"/>
  <c r="D6808" i="106" s="1"/>
  <c r="B6809" i="106"/>
  <c r="D6809" i="106" s="1"/>
  <c r="B6811" i="106"/>
  <c r="D6811" i="106" s="1"/>
  <c r="B6815" i="106"/>
  <c r="D6815" i="106" s="1"/>
  <c r="B6816" i="106"/>
  <c r="D6816" i="106" s="1"/>
  <c r="B6817" i="106"/>
  <c r="D6817" i="106" s="1"/>
  <c r="B6818" i="106"/>
  <c r="D6818" i="106" s="1"/>
  <c r="B6819" i="106"/>
  <c r="D6819" i="106" s="1"/>
  <c r="B6823" i="106"/>
  <c r="D6823" i="106" s="1"/>
  <c r="B6824" i="106"/>
  <c r="D6824" i="106" s="1"/>
  <c r="B6826" i="106"/>
  <c r="D6826" i="106" s="1"/>
  <c r="B6827" i="106"/>
  <c r="D6827" i="106" s="1"/>
  <c r="B6830" i="106"/>
  <c r="D6830" i="106" s="1"/>
  <c r="B6831" i="106"/>
  <c r="D6831" i="106" s="1"/>
  <c r="B6832" i="106"/>
  <c r="D6832" i="106" s="1"/>
  <c r="B6843" i="106"/>
  <c r="D6843" i="106" s="1"/>
  <c r="B6845" i="106"/>
  <c r="D6845" i="106" s="1"/>
  <c r="B6847" i="106"/>
  <c r="D6847" i="106" s="1"/>
  <c r="B6849" i="106"/>
  <c r="D6849" i="106" s="1"/>
  <c r="B6850" i="106"/>
  <c r="D6850" i="106" s="1"/>
  <c r="B6851" i="106"/>
  <c r="D6851" i="106" s="1"/>
  <c r="B6852" i="106"/>
  <c r="D6852" i="106" s="1"/>
  <c r="B6854" i="106"/>
  <c r="D6854" i="106" s="1"/>
  <c r="B6855" i="106"/>
  <c r="D6855" i="106" s="1"/>
  <c r="B6856" i="106"/>
  <c r="D6856" i="106" s="1"/>
  <c r="B6857" i="106"/>
  <c r="D6857" i="106" s="1"/>
  <c r="B6859" i="106"/>
  <c r="D6859" i="106" s="1"/>
  <c r="B6860" i="106"/>
  <c r="D6860" i="106" s="1"/>
  <c r="B6861" i="106"/>
  <c r="D6861" i="106" s="1"/>
  <c r="B6862" i="106"/>
  <c r="D6862" i="106" s="1"/>
  <c r="B6864" i="106"/>
  <c r="D6864" i="106" s="1"/>
  <c r="B6865" i="106"/>
  <c r="D6865" i="106" s="1"/>
  <c r="B6866" i="106"/>
  <c r="D6866" i="106" s="1"/>
  <c r="B6867" i="106"/>
  <c r="D6867" i="106" s="1"/>
  <c r="B6868" i="106"/>
  <c r="D6868" i="106" s="1"/>
  <c r="B6870" i="106"/>
  <c r="D6870" i="106" s="1"/>
  <c r="B6873" i="106"/>
  <c r="D6873" i="106" s="1"/>
  <c r="B6875" i="106"/>
  <c r="D6875" i="106" s="1"/>
  <c r="B6876" i="106"/>
  <c r="D6876" i="106" s="1"/>
  <c r="K20" i="29"/>
  <c r="B6877" i="106" s="1"/>
  <c r="D6877" i="106" s="1"/>
  <c r="B6878" i="106"/>
  <c r="D6878" i="106" s="1"/>
  <c r="K21" i="29"/>
  <c r="B6879" i="106" s="1"/>
  <c r="D6879" i="106" s="1"/>
  <c r="B6888" i="106"/>
  <c r="D6888" i="106" s="1"/>
  <c r="K26" i="29"/>
  <c r="B6889" i="106" s="1"/>
  <c r="D6889" i="106" s="1"/>
  <c r="B6890" i="106"/>
  <c r="D6890" i="106" s="1"/>
  <c r="K27" i="29"/>
  <c r="B6892" i="106"/>
  <c r="D6892" i="106" s="1"/>
  <c r="K28" i="29"/>
  <c r="B6893" i="106" s="1"/>
  <c r="D6893" i="106" s="1"/>
  <c r="B6894" i="106"/>
  <c r="D6894" i="106" s="1"/>
  <c r="K29" i="29"/>
  <c r="B6895" i="106" s="1"/>
  <c r="D6895" i="106" s="1"/>
  <c r="B6906" i="106"/>
  <c r="D6906" i="106" s="1"/>
  <c r="B6907" i="106"/>
  <c r="D6907" i="106" s="1"/>
  <c r="B6909" i="106"/>
  <c r="D6909" i="106" s="1"/>
  <c r="B6910" i="106"/>
  <c r="D6910" i="106" s="1"/>
  <c r="B6911" i="106"/>
  <c r="D6911" i="106" s="1"/>
  <c r="B6913" i="106"/>
  <c r="D6913" i="106" s="1"/>
  <c r="B6914" i="106"/>
  <c r="D6914" i="106" s="1"/>
  <c r="B6915" i="106"/>
  <c r="D6915" i="106" s="1"/>
  <c r="I42" i="29"/>
  <c r="B6916" i="106" s="1"/>
  <c r="D6916" i="106" s="1"/>
  <c r="J42" i="29"/>
  <c r="B6917" i="106" s="1"/>
  <c r="D6917" i="106" s="1"/>
  <c r="B6926" i="106"/>
  <c r="D6926" i="106" s="1"/>
  <c r="B6927" i="106"/>
  <c r="D6927" i="106" s="1"/>
  <c r="B6928" i="106"/>
  <c r="D6928" i="106" s="1"/>
  <c r="B6929" i="106"/>
  <c r="D6929" i="106" s="1"/>
  <c r="B6930" i="106"/>
  <c r="D6930" i="106" s="1"/>
  <c r="B6931" i="106"/>
  <c r="D6931" i="106" s="1"/>
  <c r="B6932" i="106"/>
  <c r="D6932" i="106" s="1"/>
  <c r="B6937" i="106"/>
  <c r="D6937" i="106" s="1"/>
  <c r="B6938" i="106"/>
  <c r="D6938" i="106" s="1"/>
  <c r="B6939" i="106"/>
  <c r="D6939" i="106" s="1"/>
  <c r="I53" i="29"/>
  <c r="B6942" i="106" s="1"/>
  <c r="D6942" i="106" s="1"/>
  <c r="J53" i="29"/>
  <c r="B6950" i="106"/>
  <c r="D6950" i="106" s="1"/>
  <c r="B6951" i="106"/>
  <c r="D6951" i="106" s="1"/>
  <c r="B6953" i="106"/>
  <c r="D6953" i="106" s="1"/>
  <c r="B6955" i="106"/>
  <c r="D6955" i="106" s="1"/>
  <c r="B6956" i="106"/>
  <c r="D6956" i="106" s="1"/>
  <c r="B6957" i="106"/>
  <c r="D6957" i="106" s="1"/>
  <c r="B6958" i="106"/>
  <c r="D6958" i="106" s="1"/>
  <c r="B6959" i="106"/>
  <c r="D6959" i="106" s="1"/>
  <c r="B6960" i="106"/>
  <c r="D6960" i="106" s="1"/>
  <c r="J65" i="29"/>
  <c r="B6962" i="106" s="1"/>
  <c r="D6962" i="106" s="1"/>
  <c r="B6975" i="106"/>
  <c r="D6975" i="106" s="1"/>
  <c r="B6979" i="106"/>
  <c r="D6979" i="106" s="1"/>
  <c r="B6981" i="106"/>
  <c r="D6981" i="106" s="1"/>
  <c r="B6983" i="106"/>
  <c r="D6983" i="106" s="1"/>
  <c r="K86" i="29"/>
  <c r="B6984" i="106" s="1"/>
  <c r="D6984" i="106" s="1"/>
  <c r="B6985" i="106"/>
  <c r="D6985" i="106" s="1"/>
  <c r="K87" i="29"/>
  <c r="B6986" i="106" s="1"/>
  <c r="D6986" i="106" s="1"/>
  <c r="B6987" i="106"/>
  <c r="D6987" i="106" s="1"/>
  <c r="K88" i="29"/>
  <c r="B6988" i="106" s="1"/>
  <c r="D6988" i="106" s="1"/>
  <c r="B7000" i="106"/>
  <c r="D7000" i="106" s="1"/>
  <c r="B7002" i="106"/>
  <c r="D7002" i="106" s="1"/>
  <c r="B7004" i="106"/>
  <c r="D7004"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J127" i="29"/>
  <c r="B7034" i="106" s="1"/>
  <c r="D7034" i="106" s="1"/>
  <c r="B7043" i="106"/>
  <c r="D7043" i="106" s="1"/>
  <c r="B7044" i="106"/>
  <c r="D7044"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J184" i="29"/>
  <c r="B7064" i="106" s="1"/>
  <c r="D7064" i="106" s="1"/>
  <c r="B7065" i="106"/>
  <c r="D7065" i="106" s="1"/>
  <c r="B7066" i="106"/>
  <c r="D7066" i="106" s="1"/>
  <c r="B7077" i="106"/>
  <c r="D7077" i="106" s="1"/>
  <c r="B7089" i="106"/>
  <c r="D7089" i="106" s="1"/>
  <c r="B7090" i="106"/>
  <c r="D7090" i="106" s="1"/>
  <c r="B7091" i="106"/>
  <c r="D7091" i="106" s="1"/>
  <c r="B7093" i="106"/>
  <c r="D7093" i="106" s="1"/>
  <c r="B7099" i="106"/>
  <c r="D7099" i="106" s="1"/>
  <c r="B7100" i="106"/>
  <c r="D7100" i="106" s="1"/>
  <c r="B7101" i="106"/>
  <c r="D7101" i="106" s="1"/>
  <c r="B7102" i="106"/>
  <c r="D7102" i="106" s="1"/>
  <c r="I303" i="29"/>
  <c r="B7103" i="106" s="1"/>
  <c r="D7103" i="106" s="1"/>
  <c r="J303" i="29"/>
  <c r="B7104" i="106" s="1"/>
  <c r="D7104" i="106" s="1"/>
  <c r="B7105" i="106"/>
  <c r="D7105" i="106" s="1"/>
  <c r="B7110" i="106"/>
  <c r="D7110" i="106" s="1"/>
  <c r="B7112" i="106"/>
  <c r="D7112" i="106" s="1"/>
  <c r="B7113" i="106"/>
  <c r="D7113" i="106" s="1"/>
  <c r="B7210" i="106"/>
  <c r="D7210" i="106" s="1"/>
  <c r="K338" i="29"/>
  <c r="B7211" i="106" s="1"/>
  <c r="D7211" i="106" s="1"/>
  <c r="B7212" i="106"/>
  <c r="D7212" i="106" s="1"/>
  <c r="K339" i="29"/>
  <c r="B7213" i="106" s="1"/>
  <c r="D7213" i="106" s="1"/>
  <c r="H340" i="29"/>
  <c r="B7214" i="106" s="1"/>
  <c r="D7214" i="106" s="1"/>
  <c r="B7236" i="106"/>
  <c r="D7236" i="106" s="1"/>
  <c r="B7237" i="106"/>
  <c r="D7237" i="106" s="1"/>
  <c r="A7245" i="106"/>
  <c r="A7246" i="106" s="1"/>
  <c r="A7247" i="106" s="1"/>
  <c r="A7248" i="106" s="1"/>
  <c r="A7249" i="106" s="1"/>
  <c r="A7250" i="106" s="1"/>
  <c r="A7251" i="106" s="1"/>
  <c r="B7246" i="106"/>
  <c r="D7246" i="106" s="1"/>
  <c r="B7251" i="106"/>
  <c r="B7257" i="106"/>
  <c r="B7262" i="106"/>
  <c r="B7263" i="106"/>
  <c r="B7264"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8" i="106" s="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3" i="106"/>
  <c r="D7653" i="106" s="1"/>
  <c r="B7654" i="106"/>
  <c r="D7654" i="106" s="1"/>
  <c r="B7661" i="106"/>
  <c r="D7661" i="106" s="1"/>
  <c r="B7662" i="106"/>
  <c r="D7662" i="106" s="1"/>
  <c r="B7664" i="106"/>
  <c r="D7664" i="106" s="1"/>
  <c r="B7666" i="106"/>
  <c r="D7666" i="106" s="1"/>
  <c r="B7667" i="106"/>
  <c r="D7667" i="106" s="1"/>
  <c r="B7668" i="106"/>
  <c r="D7668" i="106" s="1"/>
  <c r="B7669" i="106"/>
  <c r="D7669" i="106" s="1"/>
  <c r="B7671" i="106"/>
  <c r="D7671" i="106" s="1"/>
  <c r="B7678" i="106"/>
  <c r="D7678" i="106" s="1"/>
  <c r="B7679" i="106"/>
  <c r="D7679" i="106" s="1"/>
  <c r="B7680" i="106"/>
  <c r="D7680" i="106" s="1"/>
  <c r="B7681" i="106"/>
  <c r="D7681" i="106" s="1"/>
  <c r="B7683" i="106"/>
  <c r="D7683" i="106" s="1"/>
  <c r="B7687" i="106"/>
  <c r="D7687" i="106" s="1"/>
  <c r="B7706" i="106"/>
  <c r="D7706" i="106" s="1"/>
  <c r="B7707" i="106"/>
  <c r="D7707" i="106" s="1"/>
  <c r="B7708" i="106"/>
  <c r="D7708" i="106" s="1"/>
  <c r="B7709" i="106"/>
  <c r="D7709" i="106" s="1"/>
  <c r="B7710" i="106"/>
  <c r="D7710" i="106" s="1"/>
  <c r="B7711" i="106"/>
  <c r="D7711" i="106"/>
  <c r="B7712" i="106"/>
  <c r="D7712" i="106" s="1"/>
  <c r="B7713" i="106"/>
  <c r="D7713" i="106" s="1"/>
  <c r="B7714" i="106"/>
  <c r="D7714" i="106" s="1"/>
  <c r="B7715" i="106"/>
  <c r="D7715" i="106" s="1"/>
  <c r="B7716" i="106"/>
  <c r="D7716" i="106" s="1"/>
  <c r="B7717" i="106"/>
  <c r="D7717" i="106"/>
  <c r="B7719" i="106"/>
  <c r="D7719" i="106" s="1"/>
  <c r="B7720" i="106"/>
  <c r="D7720" i="106" s="1"/>
  <c r="B7721" i="106"/>
  <c r="D7721" i="106" s="1"/>
  <c r="B7722" i="106"/>
  <c r="D7722" i="106" s="1"/>
  <c r="B7723" i="106"/>
  <c r="D7723" i="106" s="1"/>
  <c r="B7724" i="106"/>
  <c r="D7724" i="106" s="1"/>
  <c r="B7725" i="106"/>
  <c r="D7725" i="106"/>
  <c r="D7726" i="106"/>
  <c r="B7735" i="106"/>
  <c r="D7735" i="106" s="1"/>
  <c r="B7736" i="106"/>
  <c r="D7736" i="106" s="1"/>
  <c r="B7737" i="106"/>
  <c r="D7737" i="106" s="1"/>
  <c r="B7738" i="106"/>
  <c r="D7738" i="106" s="1"/>
  <c r="D7744" i="106"/>
  <c r="B7750" i="106"/>
  <c r="D7750" i="106" s="1"/>
  <c r="B7756" i="106"/>
  <c r="D7756" i="106" s="1"/>
  <c r="B7757" i="106"/>
  <c r="D7757" i="106" s="1"/>
  <c r="D7762" i="106"/>
  <c r="D7770" i="106"/>
  <c r="D7771" i="106"/>
  <c r="D7772" i="106"/>
  <c r="D7773" i="106"/>
  <c r="D7787" i="106"/>
  <c r="D7788" i="106"/>
  <c r="D7791" i="106"/>
  <c r="D7793" i="106"/>
  <c r="D7800" i="106"/>
  <c r="B6" i="36"/>
  <c r="B7" i="36" s="1"/>
  <c r="B9" i="36" s="1"/>
  <c r="B10" i="36" s="1"/>
  <c r="B11" i="36" s="1"/>
  <c r="B12" i="36" s="1"/>
  <c r="B13" i="36" s="1"/>
  <c r="D23" i="36"/>
  <c r="B9" i="106" s="1"/>
  <c r="D25" i="36"/>
  <c r="D26" i="36"/>
  <c r="D27" i="36"/>
  <c r="D28" i="36"/>
  <c r="D32" i="36"/>
  <c r="D40" i="36"/>
  <c r="D79" i="36"/>
  <c r="B64" i="127"/>
  <c r="B65" i="127"/>
  <c r="E27" i="108"/>
  <c r="G27" i="108"/>
  <c r="G28" i="108"/>
  <c r="E31" i="108"/>
  <c r="G31" i="108"/>
  <c r="E36" i="108"/>
  <c r="G36" i="108"/>
  <c r="E37" i="108"/>
  <c r="G37" i="108"/>
  <c r="C18" i="34"/>
  <c r="D18" i="34"/>
  <c r="C19" i="34"/>
  <c r="D19" i="34"/>
  <c r="F19" i="34"/>
  <c r="C20" i="34"/>
  <c r="D20" i="34"/>
  <c r="F20" i="34"/>
  <c r="C21" i="34"/>
  <c r="D21" i="34"/>
  <c r="F21" i="34"/>
  <c r="C22" i="34"/>
  <c r="D22" i="34"/>
  <c r="C23" i="34"/>
  <c r="D23" i="34"/>
  <c r="C24" i="34"/>
  <c r="D24" i="34"/>
  <c r="F24" i="34"/>
  <c r="C25" i="34"/>
  <c r="D25" i="34"/>
  <c r="C26" i="34"/>
  <c r="D26" i="34"/>
  <c r="C27" i="34"/>
  <c r="D27" i="34"/>
  <c r="C28" i="34"/>
  <c r="D28" i="34"/>
  <c r="F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C85" i="34"/>
  <c r="D85" i="34"/>
  <c r="C86" i="34"/>
  <c r="D86" i="34"/>
  <c r="D87" i="34"/>
  <c r="F87" i="34"/>
  <c r="C88" i="34"/>
  <c r="D88" i="34"/>
  <c r="C89" i="34"/>
  <c r="D89" i="34"/>
  <c r="C90" i="34"/>
  <c r="D90" i="34"/>
  <c r="F90" i="34"/>
  <c r="C91" i="34"/>
  <c r="D91" i="34"/>
  <c r="F91" i="34"/>
  <c r="C92" i="34"/>
  <c r="D92" i="34"/>
  <c r="F92" i="34"/>
  <c r="C93" i="34"/>
  <c r="D93" i="34"/>
  <c r="D94" i="34"/>
  <c r="D95" i="34"/>
  <c r="C96" i="34"/>
  <c r="D96" i="34"/>
  <c r="F96" i="34"/>
  <c r="C97" i="34"/>
  <c r="D97" i="34"/>
  <c r="C98" i="34"/>
  <c r="D98" i="34"/>
  <c r="C99" i="34"/>
  <c r="D99" i="34"/>
  <c r="F99" i="34"/>
  <c r="C100" i="34"/>
  <c r="D100" i="34"/>
  <c r="F100" i="34"/>
  <c r="C101" i="34"/>
  <c r="D101" i="34"/>
  <c r="F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F115" i="34"/>
  <c r="C116" i="34"/>
  <c r="D116" i="34"/>
  <c r="F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F165" i="34"/>
  <c r="C166" i="34"/>
  <c r="D166" i="34"/>
  <c r="F166" i="34"/>
  <c r="C167" i="34"/>
  <c r="D167" i="34"/>
  <c r="F167" i="34"/>
  <c r="C168" i="34"/>
  <c r="D168" i="34"/>
  <c r="C169" i="34"/>
  <c r="D169" i="34"/>
  <c r="C170" i="34"/>
  <c r="D170" i="34"/>
  <c r="C171" i="34"/>
  <c r="D171" i="34"/>
  <c r="C172" i="34"/>
  <c r="D172" i="34"/>
  <c r="C173" i="34"/>
  <c r="D173" i="34"/>
  <c r="F173" i="34"/>
  <c r="C174" i="34"/>
  <c r="D174" i="34"/>
  <c r="F174" i="34"/>
  <c r="F182" i="34"/>
  <c r="F3" i="11"/>
  <c r="F5" i="11"/>
  <c r="C16" i="11"/>
  <c r="B2013" i="106" s="1"/>
  <c r="D2013" i="106" s="1"/>
  <c r="C49" i="8"/>
  <c r="B13" i="7"/>
  <c r="B3725" i="106" s="1"/>
  <c r="D3725" i="106" s="1"/>
  <c r="B15" i="7"/>
  <c r="B1756" i="106" s="1"/>
  <c r="D1756" i="106" s="1"/>
  <c r="B16" i="7"/>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C33" i="29"/>
  <c r="B720" i="106" s="1"/>
  <c r="D720" i="106" s="1"/>
  <c r="J33" i="29"/>
  <c r="B6903" i="106" s="1"/>
  <c r="D6903" i="106" s="1"/>
  <c r="L47" i="29"/>
  <c r="C53" i="29"/>
  <c r="L168" i="29"/>
  <c r="F18" i="5"/>
  <c r="B5562" i="106" s="1"/>
  <c r="D5562" i="106" s="1"/>
  <c r="D67" i="5"/>
  <c r="B5342" i="106" s="1"/>
  <c r="D5342" i="106" s="1"/>
  <c r="F67" i="5"/>
  <c r="B5582" i="106" s="1"/>
  <c r="D5582" i="106" s="1"/>
  <c r="D131" i="5"/>
  <c r="B5369" i="106" s="1"/>
  <c r="D5369" i="106" s="1"/>
  <c r="I172" i="5"/>
  <c r="B4363" i="106" s="1"/>
  <c r="D4363" i="106" s="1"/>
  <c r="C178" i="5"/>
  <c r="B5225" i="106" s="1"/>
  <c r="D5225" i="106" s="1"/>
  <c r="D178" i="5"/>
  <c r="E178" i="5"/>
  <c r="I178" i="5"/>
  <c r="G184" i="5"/>
  <c r="B5784" i="106" s="1"/>
  <c r="D5784" i="106" s="1"/>
  <c r="G216" i="5"/>
  <c r="J259" i="5"/>
  <c r="J273" i="5" s="1"/>
  <c r="B7041" i="106" s="1"/>
  <c r="D7041" i="106" s="1"/>
  <c r="K259" i="5"/>
  <c r="B6840" i="106" s="1"/>
  <c r="D6840" i="106" s="1"/>
  <c r="D7" i="118"/>
  <c r="D8" i="118"/>
  <c r="D9" i="118"/>
  <c r="H33" i="118"/>
  <c r="D22" i="37"/>
  <c r="D24" i="37"/>
  <c r="B4270" i="106"/>
  <c r="D4270" i="106" s="1"/>
  <c r="J22" i="37"/>
  <c r="I24" i="12"/>
  <c r="H28" i="118"/>
  <c r="D11" i="37"/>
  <c r="H29" i="118"/>
  <c r="D31" i="36"/>
  <c r="B2734" i="106"/>
  <c r="D2734" i="106" s="1"/>
  <c r="L13" i="11"/>
  <c r="B2060" i="106"/>
  <c r="D2060" i="106" s="1"/>
  <c r="B1868" i="106"/>
  <c r="D1868" i="106" s="1"/>
  <c r="B1329" i="106"/>
  <c r="D1329" i="106" s="1"/>
  <c r="D69" i="36"/>
  <c r="B3689" i="106"/>
  <c r="D3689" i="106" s="1"/>
  <c r="B79" i="36"/>
  <c r="B77" i="36"/>
  <c r="B6839" i="106"/>
  <c r="D6839" i="106" s="1"/>
  <c r="K16" i="11"/>
  <c r="B2055" i="106" s="1"/>
  <c r="D2055" i="106" s="1"/>
  <c r="B7759" i="106"/>
  <c r="D7759" i="106" s="1"/>
  <c r="L9" i="11"/>
  <c r="B7614" i="106" s="1"/>
  <c r="B7503" i="106"/>
  <c r="B7531" i="106"/>
  <c r="B1977" i="106"/>
  <c r="D1977" i="106" s="1"/>
  <c r="B1867" i="106"/>
  <c r="D1867" i="106" s="1"/>
  <c r="L12" i="11"/>
  <c r="B2059" i="106" s="1"/>
  <c r="D2059" i="106" s="1"/>
  <c r="G24" i="12"/>
  <c r="B1492" i="106"/>
  <c r="D1492" i="106" s="1"/>
  <c r="B847" i="106"/>
  <c r="D847" i="106" s="1"/>
  <c r="B7270" i="106"/>
  <c r="D24" i="36"/>
  <c r="B7298" i="106"/>
  <c r="B7299" i="106"/>
  <c r="B1659" i="106"/>
  <c r="D1659" i="106" s="1"/>
  <c r="B1617" i="106"/>
  <c r="D1617" i="106" s="1"/>
  <c r="B170" i="106"/>
  <c r="D170" i="106" s="1"/>
  <c r="B92" i="106"/>
  <c r="D92" i="106" s="1"/>
  <c r="B6107" i="106"/>
  <c r="D6107" i="106" s="1"/>
  <c r="B6106" i="106"/>
  <c r="D6106" i="106" s="1"/>
  <c r="B3590" i="106"/>
  <c r="D3590" i="106" s="1"/>
  <c r="B6319" i="106"/>
  <c r="D6319" i="106" s="1"/>
  <c r="B5996" i="106"/>
  <c r="D5996" i="106" s="1"/>
  <c r="B6327" i="106"/>
  <c r="D6327" i="106" s="1"/>
  <c r="B6328" i="106"/>
  <c r="D6328" i="106" s="1"/>
  <c r="B6329" i="106"/>
  <c r="D6329" i="106" s="1"/>
  <c r="B5997" i="106"/>
  <c r="D5997" i="106" s="1"/>
  <c r="B6337" i="106"/>
  <c r="D6337" i="106" s="1"/>
  <c r="B6338" i="106"/>
  <c r="D6338" i="106" s="1"/>
  <c r="B6347" i="106"/>
  <c r="D6347" i="106" s="1"/>
  <c r="B6348" i="106"/>
  <c r="D6348" i="106" s="1"/>
  <c r="B7638" i="106"/>
  <c r="B7639" i="106"/>
  <c r="B6350" i="106"/>
  <c r="D6350" i="106" s="1"/>
  <c r="B5998" i="106"/>
  <c r="D5998" i="106" s="1"/>
  <c r="B6302" i="106"/>
  <c r="D6302" i="106" s="1"/>
  <c r="B6303" i="106"/>
  <c r="D6303" i="106" s="1"/>
  <c r="B6304" i="106"/>
  <c r="D6304" i="106" s="1"/>
  <c r="B6305" i="106"/>
  <c r="D6305" i="106" s="1"/>
  <c r="B6353" i="106"/>
  <c r="D6353" i="106" s="1"/>
  <c r="B6354" i="106"/>
  <c r="D6354" i="106" s="1"/>
  <c r="B6356" i="106"/>
  <c r="D6356" i="106" s="1"/>
  <c r="B6373" i="106"/>
  <c r="D6373" i="106" s="1"/>
  <c r="B6378" i="106"/>
  <c r="D6378" i="106" s="1"/>
  <c r="F125" i="34"/>
  <c r="B6399" i="106"/>
  <c r="D6399" i="106" s="1"/>
  <c r="B7118" i="106"/>
  <c r="D7118" i="106" s="1"/>
  <c r="B7119" i="106"/>
  <c r="D7119" i="106" s="1"/>
  <c r="B7120" i="106"/>
  <c r="D7120" i="106" s="1"/>
  <c r="B7121" i="106"/>
  <c r="D7121" i="106" s="1"/>
  <c r="B7122" i="106"/>
  <c r="D7122" i="106" s="1"/>
  <c r="B7124" i="106"/>
  <c r="D7124" i="106" s="1"/>
  <c r="B7125" i="106"/>
  <c r="D7125" i="106" s="1"/>
  <c r="B7128" i="106"/>
  <c r="D7128" i="106" s="1"/>
  <c r="B7129" i="106"/>
  <c r="D7129" i="106" s="1"/>
  <c r="B7130" i="106"/>
  <c r="D7130" i="106" s="1"/>
  <c r="B7131" i="106"/>
  <c r="D7131" i="106" s="1"/>
  <c r="B7132" i="106"/>
  <c r="D7132" i="106" s="1"/>
  <c r="B7133" i="106"/>
  <c r="D7133" i="106" s="1"/>
  <c r="B7134" i="106"/>
  <c r="D7134"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1" i="106"/>
  <c r="D7151" i="106" s="1"/>
  <c r="B7152" i="106"/>
  <c r="D7152" i="106" s="1"/>
  <c r="B7154" i="106"/>
  <c r="D7154" i="106" s="1"/>
  <c r="B7155" i="106"/>
  <c r="D7155" i="106" s="1"/>
  <c r="B7156" i="106"/>
  <c r="D7156" i="106" s="1"/>
  <c r="B7157" i="106"/>
  <c r="D7157" i="106" s="1"/>
  <c r="B7158" i="106"/>
  <c r="D7158" i="106" s="1"/>
  <c r="B7159" i="106"/>
  <c r="D7159" i="106" s="1"/>
  <c r="B7160" i="106"/>
  <c r="D7160" i="106" s="1"/>
  <c r="B7161" i="106"/>
  <c r="D7161" i="106" s="1"/>
  <c r="B7163" i="106"/>
  <c r="D7163" i="106" s="1"/>
  <c r="B7164" i="106"/>
  <c r="D7164" i="106" s="1"/>
  <c r="B7165" i="106"/>
  <c r="D7165" i="106" s="1"/>
  <c r="B7166" i="106"/>
  <c r="D7166" i="106" s="1"/>
  <c r="B7167" i="106"/>
  <c r="D7167" i="106" s="1"/>
  <c r="B7168" i="106"/>
  <c r="D7168" i="106" s="1"/>
  <c r="B7169" i="106"/>
  <c r="D7169" i="106" s="1"/>
  <c r="B7170" i="106"/>
  <c r="D7170" i="106" s="1"/>
  <c r="B7172" i="106"/>
  <c r="D7172" i="106" s="1"/>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8" i="106"/>
  <c r="D7188" i="106" s="1"/>
  <c r="B7190" i="106"/>
  <c r="D7190" i="106" s="1"/>
  <c r="B7191" i="106"/>
  <c r="D7191" i="106" s="1"/>
  <c r="B7192" i="106"/>
  <c r="D7192" i="106" s="1"/>
  <c r="B7193" i="106"/>
  <c r="D7193" i="106" s="1"/>
  <c r="B7194" i="106"/>
  <c r="D7194" i="106" s="1"/>
  <c r="B7195" i="106"/>
  <c r="D7195" i="106" s="1"/>
  <c r="B7196" i="106"/>
  <c r="D7196" i="106" s="1"/>
  <c r="B7197" i="106"/>
  <c r="D719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5986" i="106"/>
  <c r="D5986" i="106" s="1"/>
  <c r="B5988" i="106"/>
  <c r="D5988" i="106" s="1"/>
  <c r="B5989" i="106"/>
  <c r="D5989" i="106" s="1"/>
  <c r="B5990" i="106"/>
  <c r="D5990" i="106" s="1"/>
  <c r="B5991" i="106"/>
  <c r="D5991" i="106" s="1"/>
  <c r="B5993" i="106"/>
  <c r="D5993" i="106" s="1"/>
  <c r="B6000" i="106"/>
  <c r="D6000" i="106" s="1"/>
  <c r="B4881" i="106"/>
  <c r="D4881" i="106" s="1"/>
  <c r="B6001" i="106"/>
  <c r="D6001" i="106" s="1"/>
  <c r="B4889" i="106"/>
  <c r="D4889" i="106" s="1"/>
  <c r="B6374" i="106"/>
  <c r="D6374" i="106" s="1"/>
  <c r="B6379" i="106"/>
  <c r="D6379" i="106" s="1"/>
  <c r="B4922" i="106"/>
  <c r="D4922" i="106" s="1"/>
  <c r="B6394" i="106"/>
  <c r="D6394" i="106" s="1"/>
  <c r="B4799" i="106"/>
  <c r="D4799" i="106" s="1"/>
  <c r="B4949" i="106"/>
  <c r="D4949" i="106" s="1"/>
  <c r="B4816" i="106"/>
  <c r="D4816" i="106" s="1"/>
  <c r="B3617" i="106"/>
  <c r="D3617" i="106" s="1"/>
  <c r="B3624" i="106"/>
  <c r="D3624" i="106" s="1"/>
  <c r="B3631" i="106"/>
  <c r="D3631" i="106" s="1"/>
  <c r="B3638" i="106"/>
  <c r="D3638" i="106" s="1"/>
  <c r="B3645" i="106"/>
  <c r="D3645" i="106" s="1"/>
  <c r="B3618" i="106"/>
  <c r="D3618" i="106" s="1"/>
  <c r="B3625" i="106"/>
  <c r="D3625" i="106" s="1"/>
  <c r="B3639" i="106"/>
  <c r="D3639" i="106" s="1"/>
  <c r="B3646" i="106"/>
  <c r="D3646" i="106" s="1"/>
  <c r="B3653" i="106"/>
  <c r="D3653" i="106" s="1"/>
  <c r="B7228" i="106"/>
  <c r="D7228" i="106" s="1"/>
  <c r="B7229" i="106"/>
  <c r="D7229" i="106" s="1"/>
  <c r="B3620" i="106"/>
  <c r="D3620" i="106" s="1"/>
  <c r="B3627" i="106"/>
  <c r="D3627" i="106" s="1"/>
  <c r="B3634" i="106"/>
  <c r="D3634" i="106" s="1"/>
  <c r="B3641" i="106"/>
  <c r="D3641" i="106" s="1"/>
  <c r="B3648" i="106"/>
  <c r="D3648" i="106" s="1"/>
  <c r="B3655" i="106"/>
  <c r="D3655" i="106" s="1"/>
  <c r="B7232" i="106"/>
  <c r="D7232" i="106" s="1"/>
  <c r="B7233" i="106"/>
  <c r="D7233" i="106" s="1"/>
  <c r="K356" i="29"/>
  <c r="B7238" i="106"/>
  <c r="D7238" i="106" s="1"/>
  <c r="K363" i="29"/>
  <c r="B7241" i="106" s="1"/>
  <c r="D7241" i="106" s="1"/>
  <c r="B7755" i="106"/>
  <c r="D7755"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7745" i="106"/>
  <c r="D7745" i="106" s="1"/>
  <c r="B6177" i="106"/>
  <c r="D6177" i="106" s="1"/>
  <c r="B6219" i="106"/>
  <c r="D6219" i="106" s="1"/>
  <c r="B6123" i="106"/>
  <c r="D6123" i="106" s="1"/>
  <c r="B6131" i="106"/>
  <c r="D6131"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6132" i="106"/>
  <c r="D6132" i="106" s="1"/>
  <c r="B3551" i="106"/>
  <c r="D3551" i="106" s="1"/>
  <c r="B6121" i="106"/>
  <c r="D6121" i="106" s="1"/>
  <c r="B3549" i="106"/>
  <c r="D3549" i="106" s="1"/>
  <c r="B3548" i="106"/>
  <c r="D3548" i="106" s="1"/>
  <c r="B3546" i="106"/>
  <c r="D3546" i="106" s="1"/>
  <c r="B6218" i="106"/>
  <c r="D6218" i="106" s="1"/>
  <c r="B3550" i="106"/>
  <c r="D3550" i="106" s="1"/>
  <c r="B6300" i="106"/>
  <c r="D6300" i="106" s="1"/>
  <c r="B6298" i="106"/>
  <c r="D6298" i="106" s="1"/>
  <c r="B6316" i="106"/>
  <c r="D6316" i="106" s="1"/>
  <c r="D41" i="36"/>
  <c r="B6150" i="106"/>
  <c r="D6150" i="106" s="1"/>
  <c r="B3589" i="106"/>
  <c r="D3589" i="106" s="1"/>
  <c r="B3562" i="106"/>
  <c r="D3562" i="106" s="1"/>
  <c r="B1645" i="106"/>
  <c r="D1645" i="106" s="1"/>
  <c r="B6264" i="106"/>
  <c r="D6264" i="106" s="1"/>
  <c r="B3321" i="106"/>
  <c r="D3321" i="106" s="1"/>
  <c r="B1687" i="106"/>
  <c r="D1687" i="106" s="1"/>
  <c r="B1673" i="106"/>
  <c r="D1673" i="106" s="1"/>
  <c r="B1631" i="106"/>
  <c r="D1631" i="106" s="1"/>
  <c r="B6317" i="106"/>
  <c r="D6317" i="106" s="1"/>
  <c r="B5994" i="106"/>
  <c r="D5994" i="106" s="1"/>
  <c r="B6215" i="106"/>
  <c r="D6215" i="106" s="1"/>
  <c r="B140" i="106"/>
  <c r="D140" i="106" s="1"/>
  <c r="B2912" i="106"/>
  <c r="D2912" i="106" s="1"/>
  <c r="B189" i="106"/>
  <c r="D189" i="106" s="1"/>
  <c r="B123" i="106"/>
  <c r="D123" i="106" s="1"/>
  <c r="B282" i="106"/>
  <c r="D282" i="106" s="1"/>
  <c r="B3567" i="106"/>
  <c r="D3567" i="106" s="1"/>
  <c r="B212" i="106"/>
  <c r="D212" i="106" s="1"/>
  <c r="B4084" i="106" l="1"/>
  <c r="D4084" i="106" s="1"/>
  <c r="G14" i="4"/>
  <c r="B2609" i="106" s="1"/>
  <c r="D2609" i="106" s="1"/>
  <c r="B7075" i="106"/>
  <c r="D7075" i="106" s="1"/>
  <c r="J72" i="29"/>
  <c r="B6974" i="106" s="1"/>
  <c r="D6974" i="106" s="1"/>
  <c r="F39" i="34"/>
  <c r="F72" i="34"/>
  <c r="B1878" i="106"/>
  <c r="D1878" i="106" s="1"/>
  <c r="B7794" i="106"/>
  <c r="D7794" i="106" s="1"/>
  <c r="C228" i="5"/>
  <c r="B5304" i="106" s="1"/>
  <c r="D5304" i="106" s="1"/>
  <c r="F33" i="29"/>
  <c r="B894" i="106" s="1"/>
  <c r="D894" i="106" s="1"/>
  <c r="F151" i="34"/>
  <c r="H67" i="5"/>
  <c r="B5881" i="106" s="1"/>
  <c r="D5881" i="106" s="1"/>
  <c r="F19" i="7"/>
  <c r="B1807" i="106" s="1"/>
  <c r="D1807" i="106" s="1"/>
  <c r="K273" i="5"/>
  <c r="B4442" i="106" s="1"/>
  <c r="D4442" i="106" s="1"/>
  <c r="L14" i="11"/>
  <c r="B7623" i="106" s="1"/>
  <c r="F48" i="34"/>
  <c r="D17" i="7"/>
  <c r="B4104" i="106" s="1"/>
  <c r="D4104" i="106" s="1"/>
  <c r="N22" i="3"/>
  <c r="B283" i="106" s="1"/>
  <c r="D283" i="106" s="1"/>
  <c r="K249" i="29"/>
  <c r="B7084" i="106" s="1"/>
  <c r="D7084" i="106" s="1"/>
  <c r="L6" i="11"/>
  <c r="B7605" i="106" s="1"/>
  <c r="L8" i="11"/>
  <c r="B2057" i="106" s="1"/>
  <c r="D2057" i="106" s="1"/>
  <c r="B7600" i="106"/>
  <c r="J23" i="12"/>
  <c r="B7730" i="106" s="1"/>
  <c r="D7730" i="106" s="1"/>
  <c r="D350" i="29"/>
  <c r="B3626" i="106" s="1"/>
  <c r="D3626" i="106" s="1"/>
  <c r="B5459" i="106"/>
  <c r="D5459" i="106" s="1"/>
  <c r="F15" i="8"/>
  <c r="J19" i="145"/>
  <c r="D82" i="36" s="1"/>
  <c r="B14" i="7"/>
  <c r="B1425" i="106"/>
  <c r="D1425" i="106" s="1"/>
  <c r="K145" i="29"/>
  <c r="B2811" i="106" s="1"/>
  <c r="D2811" i="106" s="1"/>
  <c r="K12" i="5"/>
  <c r="B5987" i="106" s="1"/>
  <c r="D5987" i="106" s="1"/>
  <c r="J178" i="5"/>
  <c r="B6400" i="106" s="1"/>
  <c r="D6400" i="106" s="1"/>
  <c r="G33" i="29"/>
  <c r="B952" i="106" s="1"/>
  <c r="D952" i="106" s="1"/>
  <c r="B5754" i="106"/>
  <c r="D5754" i="106" s="1"/>
  <c r="B5328" i="106"/>
  <c r="D5328" i="106" s="1"/>
  <c r="D127" i="29"/>
  <c r="B1231" i="106" s="1"/>
  <c r="D1231" i="106" s="1"/>
  <c r="F30" i="34"/>
  <c r="B4868" i="106"/>
  <c r="D4868" i="106" s="1"/>
  <c r="K91" i="29"/>
  <c r="B6994" i="106" s="1"/>
  <c r="D6994" i="106" s="1"/>
  <c r="K361" i="29"/>
  <c r="B7239" i="106" s="1"/>
  <c r="D7239" i="106" s="1"/>
  <c r="B1235" i="106"/>
  <c r="D1235" i="106" s="1"/>
  <c r="F149" i="34"/>
  <c r="F29" i="34" s="1"/>
  <c r="K226" i="29"/>
  <c r="B7080" i="106" s="1"/>
  <c r="D7080" i="106" s="1"/>
  <c r="B1745" i="106"/>
  <c r="D1745" i="106" s="1"/>
  <c r="D5" i="7"/>
  <c r="B1761" i="106" s="1"/>
  <c r="D1761" i="106" s="1"/>
  <c r="B7076" i="106"/>
  <c r="D7076" i="106" s="1"/>
  <c r="F68" i="34"/>
  <c r="B1751" i="106"/>
  <c r="D1751" i="106" s="1"/>
  <c r="D9" i="7"/>
  <c r="B1767" i="106" s="1"/>
  <c r="D1767" i="106" s="1"/>
  <c r="B1541" i="106"/>
  <c r="D1541" i="106" s="1"/>
  <c r="F312" i="29"/>
  <c r="B1542" i="106" s="1"/>
  <c r="D1542" i="106" s="1"/>
  <c r="J47" i="29"/>
  <c r="B6925" i="106" s="1"/>
  <c r="D6925" i="106" s="1"/>
  <c r="L110" i="29"/>
  <c r="L112" i="29" s="1"/>
  <c r="D121" i="5"/>
  <c r="B5367" i="106" s="1"/>
  <c r="D5367" i="106" s="1"/>
  <c r="L194" i="29"/>
  <c r="L196" i="29" s="1"/>
  <c r="K203" i="29"/>
  <c r="B1385" i="106" s="1"/>
  <c r="D1385" i="106" s="1"/>
  <c r="F109" i="34"/>
  <c r="B5871" i="106"/>
  <c r="D5871" i="106" s="1"/>
  <c r="K275" i="29"/>
  <c r="B1504" i="106" s="1"/>
  <c r="D1504" i="106" s="1"/>
  <c r="K256" i="29"/>
  <c r="B7098" i="106" s="1"/>
  <c r="D7098" i="106" s="1"/>
  <c r="K166" i="29"/>
  <c r="B2819" i="106" s="1"/>
  <c r="D2819" i="106" s="1"/>
  <c r="B5181" i="106"/>
  <c r="D5181" i="106" s="1"/>
  <c r="F47" i="34"/>
  <c r="B10" i="7"/>
  <c r="B5823" i="106"/>
  <c r="D5823" i="106" s="1"/>
  <c r="J57" i="29"/>
  <c r="B6949" i="106" s="1"/>
  <c r="D6949" i="106" s="1"/>
  <c r="B6900" i="106"/>
  <c r="D6900" i="106" s="1"/>
  <c r="B5391" i="106"/>
  <c r="D5391" i="106" s="1"/>
  <c r="K237" i="29"/>
  <c r="B1480" i="106" s="1"/>
  <c r="D1480" i="106" s="1"/>
  <c r="B1434" i="106"/>
  <c r="D1434" i="106" s="1"/>
  <c r="F53" i="29"/>
  <c r="B908" i="106" s="1"/>
  <c r="D908" i="106" s="1"/>
  <c r="F26" i="34"/>
  <c r="B7067" i="106"/>
  <c r="D7067" i="106" s="1"/>
  <c r="K90" i="29"/>
  <c r="B6992" i="106" s="1"/>
  <c r="D6992" i="106" s="1"/>
  <c r="B6398" i="106"/>
  <c r="D6398" i="106" s="1"/>
  <c r="L362" i="29"/>
  <c r="B1339" i="106"/>
  <c r="D1339" i="106" s="1"/>
  <c r="F224" i="5"/>
  <c r="B5703" i="106" s="1"/>
  <c r="D5703" i="106" s="1"/>
  <c r="F31" i="34"/>
  <c r="B11" i="7"/>
  <c r="B1752" i="106" s="1"/>
  <c r="D1752" i="106" s="1"/>
  <c r="F23" i="34"/>
  <c r="B5565" i="106"/>
  <c r="D5565" i="106" s="1"/>
  <c r="K307" i="29"/>
  <c r="B4099" i="106" s="1"/>
  <c r="D4099" i="106" s="1"/>
  <c r="F40" i="34"/>
  <c r="B4" i="7"/>
  <c r="K24" i="29"/>
  <c r="B1537" i="106"/>
  <c r="D1537" i="106" s="1"/>
  <c r="K288" i="29"/>
  <c r="B1512" i="106" s="1"/>
  <c r="D1512" i="106" s="1"/>
  <c r="G65" i="29"/>
  <c r="B977" i="106" s="1"/>
  <c r="D977" i="106" s="1"/>
  <c r="L350" i="29"/>
  <c r="L352" i="29" s="1"/>
  <c r="H129" i="29"/>
  <c r="G67" i="5"/>
  <c r="B5733" i="106" s="1"/>
  <c r="D5733" i="106" s="1"/>
  <c r="B6996" i="106"/>
  <c r="D6996" i="106" s="1"/>
  <c r="F132" i="34"/>
  <c r="L10" i="11"/>
  <c r="B2058" i="106" s="1"/>
  <c r="D2058" i="106" s="1"/>
  <c r="F133" i="34"/>
  <c r="F138" i="34"/>
  <c r="F146" i="34"/>
  <c r="L270" i="29"/>
  <c r="K133" i="29"/>
  <c r="B7776" i="106" s="1"/>
  <c r="D7776" i="106" s="1"/>
  <c r="J350" i="29"/>
  <c r="L92" i="29"/>
  <c r="D129" i="29"/>
  <c r="B1233" i="106" s="1"/>
  <c r="D1233" i="106" s="1"/>
  <c r="B6395" i="106"/>
  <c r="D6395" i="106" s="1"/>
  <c r="E174" i="29"/>
  <c r="B1309" i="106" s="1"/>
  <c r="D1309" i="106" s="1"/>
  <c r="F191" i="5"/>
  <c r="B4397" i="106" s="1"/>
  <c r="D4397" i="106" s="1"/>
  <c r="C154" i="5"/>
  <c r="E67" i="5"/>
  <c r="B5521" i="106" s="1"/>
  <c r="D5521" i="106" s="1"/>
  <c r="F156" i="34"/>
  <c r="B5593" i="106"/>
  <c r="D5593" i="106" s="1"/>
  <c r="B4875" i="106"/>
  <c r="D4875" i="106" s="1"/>
  <c r="B2807" i="106"/>
  <c r="D2807" i="106" s="1"/>
  <c r="K219" i="29"/>
  <c r="B3065" i="106" s="1"/>
  <c r="D3065" i="106" s="1"/>
  <c r="B1049" i="106"/>
  <c r="D1049" i="106" s="1"/>
  <c r="B1022" i="106"/>
  <c r="D1022" i="106" s="1"/>
  <c r="F126" i="34"/>
  <c r="B6882" i="106"/>
  <c r="D6882" i="106" s="1"/>
  <c r="K364" i="29"/>
  <c r="B7746" i="106" s="1"/>
  <c r="D7746" i="106" s="1"/>
  <c r="G178" i="5"/>
  <c r="B5780" i="106" s="1"/>
  <c r="D5780" i="106" s="1"/>
  <c r="D18" i="5"/>
  <c r="B5339" i="106" s="1"/>
  <c r="D5339" i="106" s="1"/>
  <c r="C47" i="29"/>
  <c r="B731" i="106" s="1"/>
  <c r="D731" i="106" s="1"/>
  <c r="B6921" i="106"/>
  <c r="D6921" i="106" s="1"/>
  <c r="B2993" i="106"/>
  <c r="D2993" i="106" s="1"/>
  <c r="K169" i="29"/>
  <c r="B1326" i="106" s="1"/>
  <c r="D1326" i="106" s="1"/>
  <c r="B804" i="106"/>
  <c r="D804" i="106" s="1"/>
  <c r="E129" i="29"/>
  <c r="B1241" i="106" s="1"/>
  <c r="D1241" i="106" s="1"/>
  <c r="B848" i="106"/>
  <c r="D848" i="106" s="1"/>
  <c r="F210" i="29"/>
  <c r="B1359" i="106" s="1"/>
  <c r="D1359" i="106" s="1"/>
  <c r="C312" i="29"/>
  <c r="B1524" i="106" s="1"/>
  <c r="D1524" i="106" s="1"/>
  <c r="G228" i="5"/>
  <c r="B5847" i="106" s="1"/>
  <c r="D5847" i="106" s="1"/>
  <c r="I12" i="5"/>
  <c r="B5918" i="106" s="1"/>
  <c r="D5918" i="106" s="1"/>
  <c r="B6" i="7"/>
  <c r="F27" i="34"/>
  <c r="B7085" i="106"/>
  <c r="D7085" i="106" s="1"/>
  <c r="B6630" i="106"/>
  <c r="D6630" i="106" s="1"/>
  <c r="K81" i="29"/>
  <c r="B2976" i="106" s="1"/>
  <c r="D2976" i="106" s="1"/>
  <c r="B1442" i="106"/>
  <c r="D1442" i="106" s="1"/>
  <c r="D228" i="5"/>
  <c r="B5488" i="106" s="1"/>
  <c r="D5488" i="106" s="1"/>
  <c r="G114" i="5"/>
  <c r="G5" i="4" s="1"/>
  <c r="B3409" i="106" s="1"/>
  <c r="D3409" i="106" s="1"/>
  <c r="I33" i="29"/>
  <c r="B6902" i="106" s="1"/>
  <c r="D6902" i="106" s="1"/>
  <c r="C75" i="5"/>
  <c r="B6998" i="106"/>
  <c r="D6998" i="106" s="1"/>
  <c r="I72" i="29"/>
  <c r="B6973" i="106" s="1"/>
  <c r="D6973" i="106" s="1"/>
  <c r="B1402" i="106"/>
  <c r="D1402" i="106" s="1"/>
  <c r="B1227" i="106"/>
  <c r="D1227" i="106" s="1"/>
  <c r="J352" i="29"/>
  <c r="J367" i="29" s="1"/>
  <c r="B7245" i="106" s="1"/>
  <c r="D7245" i="106" s="1"/>
  <c r="B7231" i="106"/>
  <c r="D7231" i="106" s="1"/>
  <c r="B1256" i="106"/>
  <c r="D1256" i="106" s="1"/>
  <c r="G129" i="29"/>
  <c r="B1258" i="106" s="1"/>
  <c r="D1258" i="106" s="1"/>
  <c r="B7227" i="106"/>
  <c r="D7227" i="106" s="1"/>
  <c r="L357" i="29"/>
  <c r="K34" i="3"/>
  <c r="B3565" i="106" s="1"/>
  <c r="D3565" i="106" s="1"/>
  <c r="F98" i="34"/>
  <c r="F88" i="34"/>
  <c r="F25" i="34"/>
  <c r="J210" i="29"/>
  <c r="B7072" i="106" s="1"/>
  <c r="D7072" i="106" s="1"/>
  <c r="B6944" i="106"/>
  <c r="D6944" i="106" s="1"/>
  <c r="B6693" i="106"/>
  <c r="D6693" i="106" s="1"/>
  <c r="B3419" i="106"/>
  <c r="D3419" i="106" s="1"/>
  <c r="B1254" i="106"/>
  <c r="D1254" i="106" s="1"/>
  <c r="K320" i="29"/>
  <c r="B7135" i="106" s="1"/>
  <c r="D7135" i="106" s="1"/>
  <c r="F33" i="34"/>
  <c r="B7081" i="106"/>
  <c r="D7081" i="106" s="1"/>
  <c r="B1531" i="106"/>
  <c r="D1531" i="106" s="1"/>
  <c r="K268" i="29"/>
  <c r="B1497" i="106" s="1"/>
  <c r="D1497" i="106" s="1"/>
  <c r="E184" i="29"/>
  <c r="B1351" i="106" s="1"/>
  <c r="D1351" i="106" s="1"/>
  <c r="F143" i="34"/>
  <c r="F148" i="34"/>
  <c r="L100" i="29"/>
  <c r="D224" i="5"/>
  <c r="B5470" i="106" s="1"/>
  <c r="D5470" i="106" s="1"/>
  <c r="E172" i="5"/>
  <c r="B5537" i="106" s="1"/>
  <c r="D5537" i="106" s="1"/>
  <c r="E310" i="29"/>
  <c r="B7114" i="106" s="1"/>
  <c r="D7114" i="106" s="1"/>
  <c r="L310" i="29"/>
  <c r="I108" i="5"/>
  <c r="B5930" i="106" s="1"/>
  <c r="D5930" i="106" s="1"/>
  <c r="I18" i="5"/>
  <c r="B5923" i="106" s="1"/>
  <c r="D5923" i="106" s="1"/>
  <c r="K111" i="29"/>
  <c r="B7017" i="106" s="1"/>
  <c r="D7017" i="106" s="1"/>
  <c r="B7240" i="106"/>
  <c r="D7240" i="106" s="1"/>
  <c r="K178" i="5"/>
  <c r="J330" i="29"/>
  <c r="B7206" i="106" s="1"/>
  <c r="D7206" i="106" s="1"/>
  <c r="H184" i="5"/>
  <c r="B5908" i="106" s="1"/>
  <c r="D5908" i="106" s="1"/>
  <c r="E108" i="5"/>
  <c r="F159" i="34"/>
  <c r="F108" i="34"/>
  <c r="F103" i="34"/>
  <c r="B6898" i="106"/>
  <c r="D6898" i="106" s="1"/>
  <c r="B6757" i="106"/>
  <c r="D6757" i="106" s="1"/>
  <c r="B6650" i="106"/>
  <c r="D6650" i="106" s="1"/>
  <c r="B5301" i="106"/>
  <c r="D5301" i="106" s="1"/>
  <c r="B4075" i="106"/>
  <c r="D4075" i="106" s="1"/>
  <c r="B1439" i="106"/>
  <c r="D1439" i="106" s="1"/>
  <c r="B1415" i="106"/>
  <c r="D1415" i="106" s="1"/>
  <c r="D42" i="36"/>
  <c r="B7127" i="106"/>
  <c r="D7127" i="106" s="1"/>
  <c r="D15" i="7"/>
  <c r="B1772" i="106" s="1"/>
  <c r="D1772" i="106" s="1"/>
  <c r="B5879" i="106"/>
  <c r="D5879" i="106" s="1"/>
  <c r="K225" i="29"/>
  <c r="B1460" i="106" s="1"/>
  <c r="D1460" i="106" s="1"/>
  <c r="F65" i="29"/>
  <c r="B919" i="106" s="1"/>
  <c r="D919" i="106" s="1"/>
  <c r="I47" i="29"/>
  <c r="B6924" i="106" s="1"/>
  <c r="D6924" i="106" s="1"/>
  <c r="C350" i="29"/>
  <c r="I48" i="4"/>
  <c r="B2106" i="106" s="1"/>
  <c r="D2106" i="106" s="1"/>
  <c r="I312" i="29"/>
  <c r="B7116" i="106" s="1"/>
  <c r="D7116" i="106" s="1"/>
  <c r="F184" i="5"/>
  <c r="F18" i="34"/>
  <c r="B5822" i="106"/>
  <c r="D5822" i="106" s="1"/>
  <c r="B2812" i="106"/>
  <c r="D2812" i="106" s="1"/>
  <c r="G42" i="29"/>
  <c r="B959" i="106" s="1"/>
  <c r="D959" i="106" s="1"/>
  <c r="B879" i="106"/>
  <c r="D879" i="106" s="1"/>
  <c r="K67" i="5"/>
  <c r="B5995" i="106" s="1"/>
  <c r="D5995" i="106" s="1"/>
  <c r="J67" i="5"/>
  <c r="B6318" i="106" s="1"/>
  <c r="D6318" i="106" s="1"/>
  <c r="B7" i="7"/>
  <c r="D38" i="36"/>
  <c r="B3388" i="106"/>
  <c r="D3388" i="106" s="1"/>
  <c r="L53" i="29"/>
  <c r="L65" i="29"/>
  <c r="L137" i="29"/>
  <c r="L139" i="29" s="1"/>
  <c r="B4951" i="106"/>
  <c r="D4951" i="106" s="1"/>
  <c r="D7251" i="106"/>
  <c r="A7252" i="106"/>
  <c r="A7253" i="106" s="1"/>
  <c r="A7254" i="106" s="1"/>
  <c r="B1754" i="106"/>
  <c r="D1754" i="106" s="1"/>
  <c r="D14" i="7"/>
  <c r="B1770" i="106" s="1"/>
  <c r="D1770" i="106" s="1"/>
  <c r="B2" i="179"/>
  <c r="B2" i="174"/>
  <c r="B2" i="175"/>
  <c r="B2" i="177"/>
  <c r="D34" i="36"/>
  <c r="B3411" i="106"/>
  <c r="D3411" i="106" s="1"/>
  <c r="B5012" i="106"/>
  <c r="D5012" i="106" s="1"/>
  <c r="D71" i="36"/>
  <c r="C131" i="5"/>
  <c r="B5135" i="106"/>
  <c r="D5135" i="106" s="1"/>
  <c r="B5194" i="106"/>
  <c r="D5194" i="106" s="1"/>
  <c r="F114" i="34"/>
  <c r="B4317" i="106"/>
  <c r="D4317" i="106" s="1"/>
  <c r="F123" i="34"/>
  <c r="B4358" i="106"/>
  <c r="D4358" i="106" s="1"/>
  <c r="F172" i="34"/>
  <c r="B3059" i="106"/>
  <c r="D3059" i="106" s="1"/>
  <c r="K10" i="29"/>
  <c r="B3062" i="106" s="1"/>
  <c r="D3062" i="106" s="1"/>
  <c r="B6886" i="106"/>
  <c r="D6886" i="106" s="1"/>
  <c r="K25" i="29"/>
  <c r="D47" i="29"/>
  <c r="B789" i="106" s="1"/>
  <c r="D789" i="106" s="1"/>
  <c r="B786" i="106"/>
  <c r="D786" i="106" s="1"/>
  <c r="G53" i="29"/>
  <c r="B966" i="106" s="1"/>
  <c r="D966" i="106" s="1"/>
  <c r="B964" i="106"/>
  <c r="D964" i="106" s="1"/>
  <c r="B735" i="106"/>
  <c r="D735" i="106" s="1"/>
  <c r="C57" i="29"/>
  <c r="B737" i="106" s="1"/>
  <c r="D737" i="106" s="1"/>
  <c r="H65" i="29"/>
  <c r="B1035" i="106" s="1"/>
  <c r="D1035" i="106" s="1"/>
  <c r="B1028" i="106"/>
  <c r="D1028" i="106" s="1"/>
  <c r="C72" i="29"/>
  <c r="B753" i="106" s="1"/>
  <c r="D753" i="106" s="1"/>
  <c r="B746" i="106"/>
  <c r="D746" i="106" s="1"/>
  <c r="K82" i="29"/>
  <c r="B2977" i="106" s="1"/>
  <c r="D2977" i="106" s="1"/>
  <c r="B2953" i="106"/>
  <c r="D2953" i="106" s="1"/>
  <c r="E84" i="29"/>
  <c r="B2789" i="106" s="1"/>
  <c r="D2789" i="106" s="1"/>
  <c r="K101" i="29"/>
  <c r="B7015" i="106" s="1"/>
  <c r="D7015" i="106" s="1"/>
  <c r="B7014" i="106"/>
  <c r="D7014" i="106" s="1"/>
  <c r="B7779" i="106"/>
  <c r="D7779" i="106" s="1"/>
  <c r="K158" i="29"/>
  <c r="B7780" i="106" s="1"/>
  <c r="D7780" i="106" s="1"/>
  <c r="E38" i="4"/>
  <c r="B6286" i="106" s="1"/>
  <c r="D6286" i="106" s="1"/>
  <c r="B6244" i="106"/>
  <c r="D6244" i="106" s="1"/>
  <c r="E40" i="4"/>
  <c r="B6288" i="106" s="1"/>
  <c r="D6288" i="106" s="1"/>
  <c r="B6249" i="106"/>
  <c r="D6249" i="106" s="1"/>
  <c r="B4376" i="106"/>
  <c r="D4376" i="106" s="1"/>
  <c r="D191" i="5"/>
  <c r="B4396" i="106" s="1"/>
  <c r="D4396" i="106" s="1"/>
  <c r="F170" i="34"/>
  <c r="B4419" i="106"/>
  <c r="D4419" i="106" s="1"/>
  <c r="B1243" i="106"/>
  <c r="D1243" i="106" s="1"/>
  <c r="F127" i="29"/>
  <c r="H137" i="29"/>
  <c r="K134" i="29"/>
  <c r="B2979" i="106"/>
  <c r="D2979" i="106" s="1"/>
  <c r="K146" i="29"/>
  <c r="B1285" i="106" s="1"/>
  <c r="D1285" i="106" s="1"/>
  <c r="B1270" i="106"/>
  <c r="D1270" i="106" s="1"/>
  <c r="K167" i="29"/>
  <c r="B1327" i="106" s="1"/>
  <c r="D1327" i="106" s="1"/>
  <c r="B1313" i="106"/>
  <c r="D1313" i="106" s="1"/>
  <c r="B5555" i="106"/>
  <c r="D5555" i="106" s="1"/>
  <c r="F12" i="5"/>
  <c r="B5557" i="106" s="1"/>
  <c r="D5557" i="106" s="1"/>
  <c r="F86" i="34"/>
  <c r="B5566" i="106"/>
  <c r="D5566" i="106" s="1"/>
  <c r="F89" i="34"/>
  <c r="B5572" i="106"/>
  <c r="D5572" i="106" s="1"/>
  <c r="F113" i="34"/>
  <c r="B5619" i="106"/>
  <c r="D5619" i="106" s="1"/>
  <c r="F122" i="34"/>
  <c r="B6391" i="106"/>
  <c r="D6391" i="106" s="1"/>
  <c r="F139" i="34"/>
  <c r="B6637" i="106"/>
  <c r="D6637" i="106" s="1"/>
  <c r="B4191" i="106"/>
  <c r="D4191" i="106" s="1"/>
  <c r="F171" i="34"/>
  <c r="G184" i="29"/>
  <c r="B4085" i="106"/>
  <c r="D4085" i="106" s="1"/>
  <c r="B4210" i="106"/>
  <c r="D4210" i="106" s="1"/>
  <c r="K206" i="29"/>
  <c r="B5721" i="106"/>
  <c r="D5721" i="106" s="1"/>
  <c r="B8" i="7"/>
  <c r="B6773" i="106"/>
  <c r="D6773" i="106" s="1"/>
  <c r="F153" i="34"/>
  <c r="B1418" i="106"/>
  <c r="D1418" i="106" s="1"/>
  <c r="K240" i="29"/>
  <c r="B1426" i="106"/>
  <c r="D1426" i="106" s="1"/>
  <c r="D261" i="29"/>
  <c r="B1427" i="106" s="1"/>
  <c r="D1427" i="106" s="1"/>
  <c r="K260" i="29"/>
  <c r="B1437" i="106"/>
  <c r="D1437" i="106" s="1"/>
  <c r="K272" i="29"/>
  <c r="B1501" i="106" s="1"/>
  <c r="D1501" i="106" s="1"/>
  <c r="B1450" i="106"/>
  <c r="D1450" i="106" s="1"/>
  <c r="H293" i="29"/>
  <c r="K289" i="29"/>
  <c r="H12" i="5"/>
  <c r="B5873" i="106" s="1"/>
  <c r="D5873" i="106" s="1"/>
  <c r="B6299" i="106"/>
  <c r="D6299" i="106" s="1"/>
  <c r="B1744" i="106"/>
  <c r="D1744" i="106" s="1"/>
  <c r="D4" i="7"/>
  <c r="B1760" i="106" s="1"/>
  <c r="D1760" i="106" s="1"/>
  <c r="B6883" i="106"/>
  <c r="D6883" i="106" s="1"/>
  <c r="F42" i="34"/>
  <c r="B1470" i="106"/>
  <c r="D1470" i="106" s="1"/>
  <c r="F70" i="34"/>
  <c r="H357" i="29"/>
  <c r="K322" i="29"/>
  <c r="B7153" i="106" s="1"/>
  <c r="D7153" i="106" s="1"/>
  <c r="B6901" i="106"/>
  <c r="D6901" i="106" s="1"/>
  <c r="J90" i="28"/>
  <c r="B7760" i="106" s="1"/>
  <c r="D7760" i="106" s="1"/>
  <c r="K184" i="5"/>
  <c r="B6016" i="106" s="1"/>
  <c r="D6016" i="106" s="1"/>
  <c r="J129" i="29"/>
  <c r="B1879" i="106"/>
  <c r="D1879" i="106" s="1"/>
  <c r="H22" i="37"/>
  <c r="B6720" i="106"/>
  <c r="D6720" i="106" s="1"/>
  <c r="B5462" i="106"/>
  <c r="D5462" i="106" s="1"/>
  <c r="B4329" i="106"/>
  <c r="D4329" i="106" s="1"/>
  <c r="K191" i="29"/>
  <c r="B3010" i="106" s="1"/>
  <c r="D3010" i="106" s="1"/>
  <c r="I49" i="8"/>
  <c r="N36" i="3" s="1"/>
  <c r="I350" i="29"/>
  <c r="I352" i="29" s="1"/>
  <c r="G151" i="29"/>
  <c r="F58" i="34" s="1"/>
  <c r="B4368" i="106"/>
  <c r="D4368" i="106" s="1"/>
  <c r="B3577" i="106"/>
  <c r="D3577" i="106" s="1"/>
  <c r="J24" i="12"/>
  <c r="J312" i="29"/>
  <c r="B7117" i="106" s="1"/>
  <c r="D7117" i="106" s="1"/>
  <c r="B3446" i="106"/>
  <c r="D3446" i="106" s="1"/>
  <c r="D16" i="7"/>
  <c r="B3447" i="106" s="1"/>
  <c r="D3447" i="106" s="1"/>
  <c r="D7249" i="106"/>
  <c r="D7250" i="106"/>
  <c r="B2026" i="106"/>
  <c r="D2026" i="106" s="1"/>
  <c r="L5" i="11"/>
  <c r="B2056" i="106" s="1"/>
  <c r="D2056" i="106" s="1"/>
  <c r="D7253" i="106"/>
  <c r="D7248" i="106"/>
  <c r="C114" i="5"/>
  <c r="B5125" i="106" s="1"/>
  <c r="D5125" i="106" s="1"/>
  <c r="C12" i="5"/>
  <c r="B5066" i="106" s="1"/>
  <c r="D5066" i="106" s="1"/>
  <c r="D6" i="7"/>
  <c r="B1762" i="106" s="1"/>
  <c r="D1762" i="106" s="1"/>
  <c r="B1746" i="106"/>
  <c r="D1746" i="106" s="1"/>
  <c r="B6666" i="106"/>
  <c r="D6666" i="106" s="1"/>
  <c r="H42" i="29"/>
  <c r="B1017" i="106" s="1"/>
  <c r="D1017" i="106" s="1"/>
  <c r="G303" i="29"/>
  <c r="B1543" i="106"/>
  <c r="D1543" i="106" s="1"/>
  <c r="B2892" i="106"/>
  <c r="D2892" i="106" s="1"/>
  <c r="L13" i="3"/>
  <c r="B2895" i="106" s="1"/>
  <c r="D2895" i="106" s="1"/>
  <c r="B274" i="106"/>
  <c r="D274" i="106" s="1"/>
  <c r="M23" i="3"/>
  <c r="I44" i="4"/>
  <c r="B3317" i="106" s="1"/>
  <c r="D3317" i="106" s="1"/>
  <c r="K349" i="29"/>
  <c r="B3669" i="106" s="1"/>
  <c r="D3669" i="106" s="1"/>
  <c r="E312" i="29"/>
  <c r="B1536" i="106" s="1"/>
  <c r="D1536" i="106" s="1"/>
  <c r="F45" i="34"/>
  <c r="K337" i="29"/>
  <c r="K28" i="118"/>
  <c r="O27" i="118" s="1"/>
  <c r="O29" i="118" s="1"/>
  <c r="D6103" i="106"/>
  <c r="K308" i="29"/>
  <c r="B4100" i="106" s="1"/>
  <c r="D4100" i="106" s="1"/>
  <c r="L15" i="11"/>
  <c r="B3459" i="106" s="1"/>
  <c r="D3459" i="106" s="1"/>
  <c r="B793" i="106"/>
  <c r="D793" i="106" s="1"/>
  <c r="D57" i="29"/>
  <c r="B795" i="106" s="1"/>
  <c r="D795" i="106" s="1"/>
  <c r="K78" i="29"/>
  <c r="B2973" i="106" s="1"/>
  <c r="D2973" i="106" s="1"/>
  <c r="D285" i="29"/>
  <c r="B3722" i="106" s="1"/>
  <c r="D3722" i="106" s="1"/>
  <c r="K282" i="29"/>
  <c r="K138" i="29"/>
  <c r="B2094" i="106" s="1"/>
  <c r="D2094" i="106" s="1"/>
  <c r="B7795" i="106"/>
  <c r="D7795" i="106" s="1"/>
  <c r="K157" i="29"/>
  <c r="B7778" i="106" s="1"/>
  <c r="D7778" i="106" s="1"/>
  <c r="B7777" i="106"/>
  <c r="D7777" i="106" s="1"/>
  <c r="F163" i="34"/>
  <c r="B7768" i="106"/>
  <c r="D7768" i="106" s="1"/>
  <c r="H194" i="29"/>
  <c r="K188" i="29"/>
  <c r="B3007" i="106" s="1"/>
  <c r="D3007" i="106" s="1"/>
  <c r="B7783" i="106"/>
  <c r="D7783" i="106" s="1"/>
  <c r="F103" i="183"/>
  <c r="K24" i="12"/>
  <c r="J34" i="182"/>
  <c r="H34" i="182"/>
  <c r="C191" i="5"/>
  <c r="B4395" i="106" s="1"/>
  <c r="D4395" i="106" s="1"/>
  <c r="L127" i="29"/>
  <c r="L129" i="29" s="1"/>
  <c r="L160" i="29"/>
  <c r="K357" i="29"/>
  <c r="K15" i="4" s="1"/>
  <c r="B3573" i="106" s="1"/>
  <c r="D3573" i="106" s="1"/>
  <c r="C76" i="4"/>
  <c r="B3231" i="106" s="1"/>
  <c r="D3231" i="106" s="1"/>
  <c r="C18" i="5"/>
  <c r="B5071" i="106" s="1"/>
  <c r="D5071" i="106" s="1"/>
  <c r="F135" i="34"/>
  <c r="L33" i="29"/>
  <c r="L42" i="29"/>
  <c r="L84" i="29"/>
  <c r="L172" i="29"/>
  <c r="L184" i="29"/>
  <c r="L204" i="29"/>
  <c r="L208" i="29" s="1"/>
  <c r="I47" i="4"/>
  <c r="B2105" i="106" s="1"/>
  <c r="D2105" i="106" s="1"/>
  <c r="L229" i="29"/>
  <c r="L238" i="29"/>
  <c r="L257" i="29"/>
  <c r="L261" i="29"/>
  <c r="L277" i="29"/>
  <c r="L293" i="29"/>
  <c r="H76" i="4"/>
  <c r="L303" i="29"/>
  <c r="L312" i="29" s="1"/>
  <c r="L340" i="29"/>
  <c r="L334" i="29"/>
  <c r="B7230" i="106"/>
  <c r="D7230" i="106" s="1"/>
  <c r="B5088" i="106"/>
  <c r="D5088" i="106" s="1"/>
  <c r="C67" i="5"/>
  <c r="B5090" i="106" s="1"/>
  <c r="D5090" i="106" s="1"/>
  <c r="B4882" i="106"/>
  <c r="D4882" i="106" s="1"/>
  <c r="C121" i="5"/>
  <c r="B5132" i="106" s="1"/>
  <c r="D5132" i="106" s="1"/>
  <c r="B6385" i="106"/>
  <c r="D6385" i="106" s="1"/>
  <c r="F118" i="34"/>
  <c r="B7247" i="106"/>
  <c r="D7247" i="106" s="1"/>
  <c r="K7" i="29"/>
  <c r="B857" i="106"/>
  <c r="D857" i="106" s="1"/>
  <c r="K62" i="29"/>
  <c r="B1036" i="106"/>
  <c r="D1036" i="106" s="1"/>
  <c r="H72" i="29"/>
  <c r="B1043" i="106" s="1"/>
  <c r="D1043" i="106" s="1"/>
  <c r="K69" i="29"/>
  <c r="B1038" i="106"/>
  <c r="D1038" i="106" s="1"/>
  <c r="B1041" i="106"/>
  <c r="D1041" i="106" s="1"/>
  <c r="K71" i="29"/>
  <c r="K80" i="29"/>
  <c r="H84" i="29"/>
  <c r="B2957" i="106"/>
  <c r="D2957" i="106" s="1"/>
  <c r="H110" i="29"/>
  <c r="K109" i="29"/>
  <c r="B1051" i="106"/>
  <c r="D1051" i="106" s="1"/>
  <c r="D44" i="4"/>
  <c r="B3079" i="106"/>
  <c r="D3079" i="106" s="1"/>
  <c r="B5358" i="106"/>
  <c r="D5358" i="106" s="1"/>
  <c r="D114" i="5"/>
  <c r="B4916" i="106"/>
  <c r="D4916" i="106" s="1"/>
  <c r="F121" i="34"/>
  <c r="B6713" i="106"/>
  <c r="D6713" i="106" s="1"/>
  <c r="F147" i="34"/>
  <c r="B1220" i="106"/>
  <c r="D1220" i="106" s="1"/>
  <c r="K123" i="29"/>
  <c r="B1275" i="106" s="1"/>
  <c r="D1275" i="106" s="1"/>
  <c r="K128" i="29"/>
  <c r="B1280" i="106" s="1"/>
  <c r="D1280" i="106" s="1"/>
  <c r="B7035" i="106"/>
  <c r="D7035" i="106" s="1"/>
  <c r="L147" i="29"/>
  <c r="L149" i="29"/>
  <c r="B5516" i="106"/>
  <c r="D5516" i="106" s="1"/>
  <c r="E18" i="5"/>
  <c r="B5518" i="106" s="1"/>
  <c r="D5518" i="106" s="1"/>
  <c r="B4884" i="106"/>
  <c r="D4884" i="106" s="1"/>
  <c r="E121" i="5"/>
  <c r="H168" i="29"/>
  <c r="B1311" i="106"/>
  <c r="D1311" i="106" s="1"/>
  <c r="K164" i="29"/>
  <c r="F44" i="4"/>
  <c r="B3085" i="106"/>
  <c r="D3085" i="106" s="1"/>
  <c r="B6383" i="106"/>
  <c r="D6383" i="106" s="1"/>
  <c r="F117" i="34"/>
  <c r="K202" i="29"/>
  <c r="H204" i="29"/>
  <c r="B2832" i="106"/>
  <c r="D2832" i="106" s="1"/>
  <c r="G76" i="4"/>
  <c r="B3260" i="106" s="1"/>
  <c r="D3260" i="106" s="1"/>
  <c r="B6258" i="106"/>
  <c r="D6258" i="106" s="1"/>
  <c r="B6381" i="106"/>
  <c r="D6381" i="106" s="1"/>
  <c r="G154" i="5"/>
  <c r="B4357" i="106" s="1"/>
  <c r="D4357" i="106" s="1"/>
  <c r="B5821" i="106"/>
  <c r="D5821" i="106" s="1"/>
  <c r="G224" i="5"/>
  <c r="B5829" i="106" s="1"/>
  <c r="D5829" i="106" s="1"/>
  <c r="B1432" i="106"/>
  <c r="D1432" i="106" s="1"/>
  <c r="D270" i="29"/>
  <c r="B1436" i="106" s="1"/>
  <c r="D1436" i="106" s="1"/>
  <c r="K267" i="29"/>
  <c r="B4948" i="106"/>
  <c r="D4948" i="106" s="1"/>
  <c r="H178" i="5"/>
  <c r="B7226" i="106"/>
  <c r="D7226" i="106" s="1"/>
  <c r="G350" i="29"/>
  <c r="K121" i="5"/>
  <c r="B6006" i="106" s="1"/>
  <c r="D6006" i="106" s="1"/>
  <c r="K329" i="29"/>
  <c r="B7705" i="106" s="1"/>
  <c r="D7705" i="106" s="1"/>
  <c r="B7704" i="106"/>
  <c r="D7704" i="106" s="1"/>
  <c r="B4372" i="106"/>
  <c r="D4372" i="106" s="1"/>
  <c r="B6313" i="106"/>
  <c r="D6313" i="106" s="1"/>
  <c r="C44" i="4"/>
  <c r="B3530" i="106"/>
  <c r="D3530" i="106" s="1"/>
  <c r="C140" i="5"/>
  <c r="B5148" i="106"/>
  <c r="D5148" i="106" s="1"/>
  <c r="B6761" i="106"/>
  <c r="D6761" i="106" s="1"/>
  <c r="F152" i="34"/>
  <c r="K17" i="29"/>
  <c r="B6871" i="106" s="1"/>
  <c r="D6871" i="106" s="1"/>
  <c r="B7265" i="106"/>
  <c r="H33" i="29"/>
  <c r="B1010" i="106" s="1"/>
  <c r="D1010" i="106" s="1"/>
  <c r="B6880" i="106"/>
  <c r="D6880" i="106" s="1"/>
  <c r="F42" i="29"/>
  <c r="K36" i="29"/>
  <c r="B895" i="106"/>
  <c r="D895" i="106" s="1"/>
  <c r="B842" i="106"/>
  <c r="D842" i="106" s="1"/>
  <c r="K41" i="29"/>
  <c r="B1114" i="106" s="1"/>
  <c r="D1114" i="106" s="1"/>
  <c r="B790" i="106"/>
  <c r="D790" i="106" s="1"/>
  <c r="K49" i="29"/>
  <c r="D53" i="29"/>
  <c r="H41" i="4"/>
  <c r="B7682" i="106"/>
  <c r="D7682" i="106" s="1"/>
  <c r="E34" i="3"/>
  <c r="B139" i="106" s="1"/>
  <c r="D139" i="106" s="1"/>
  <c r="B6135" i="106"/>
  <c r="D6135" i="106" s="1"/>
  <c r="B4409" i="106"/>
  <c r="D4409" i="106" s="1"/>
  <c r="F216" i="5"/>
  <c r="B4413" i="106" s="1"/>
  <c r="D4413" i="106" s="1"/>
  <c r="B5708" i="106"/>
  <c r="D5708" i="106" s="1"/>
  <c r="F168" i="34"/>
  <c r="B1341" i="106"/>
  <c r="D1341" i="106" s="1"/>
  <c r="K182" i="29"/>
  <c r="B1377" i="106" s="1"/>
  <c r="D1377" i="106" s="1"/>
  <c r="K195" i="29"/>
  <c r="B2839" i="106" s="1"/>
  <c r="D2839" i="106" s="1"/>
  <c r="B2824" i="106"/>
  <c r="D2824" i="106" s="1"/>
  <c r="B5877" i="106"/>
  <c r="D5877" i="106" s="1"/>
  <c r="H18" i="5"/>
  <c r="B5878" i="106" s="1"/>
  <c r="D5878" i="106" s="1"/>
  <c r="B6655" i="106"/>
  <c r="D6655" i="106" s="1"/>
  <c r="H259" i="5"/>
  <c r="K321" i="29"/>
  <c r="B7144" i="106" s="1"/>
  <c r="D7144" i="106" s="1"/>
  <c r="D36" i="36"/>
  <c r="D68" i="36"/>
  <c r="E350" i="29"/>
  <c r="G330" i="29"/>
  <c r="B3632" i="106"/>
  <c r="D3632" i="106" s="1"/>
  <c r="B5423" i="106"/>
  <c r="D5423" i="106" s="1"/>
  <c r="B5741" i="106"/>
  <c r="D5741" i="106" s="1"/>
  <c r="G18" i="5"/>
  <c r="B5730" i="106" s="1"/>
  <c r="D5730" i="106" s="1"/>
  <c r="K22" i="29"/>
  <c r="B4340" i="106"/>
  <c r="D4340" i="106" s="1"/>
  <c r="B6320" i="106"/>
  <c r="D6320" i="106" s="1"/>
  <c r="C108" i="5"/>
  <c r="B5120" i="106" s="1"/>
  <c r="D5120" i="106" s="1"/>
  <c r="C216" i="5"/>
  <c r="B4411" i="106" s="1"/>
  <c r="D4411" i="106" s="1"/>
  <c r="B5256" i="106"/>
  <c r="D5256" i="106" s="1"/>
  <c r="B6825" i="106"/>
  <c r="D6825" i="106" s="1"/>
  <c r="F160" i="34"/>
  <c r="B3368" i="106"/>
  <c r="D3368" i="106" s="1"/>
  <c r="D33" i="29"/>
  <c r="K8" i="29"/>
  <c r="B3380" i="106" s="1"/>
  <c r="D3380" i="106" s="1"/>
  <c r="K9" i="29"/>
  <c r="B7252" i="106"/>
  <c r="D7252" i="106" s="1"/>
  <c r="K12" i="29"/>
  <c r="B774" i="106"/>
  <c r="D774" i="106" s="1"/>
  <c r="K18" i="29"/>
  <c r="B1100" i="106" s="1"/>
  <c r="D1100" i="106" s="1"/>
  <c r="B828" i="106"/>
  <c r="D828" i="106" s="1"/>
  <c r="K37" i="29"/>
  <c r="B1110" i="106" s="1"/>
  <c r="D1110" i="106" s="1"/>
  <c r="B838" i="106"/>
  <c r="D838" i="106" s="1"/>
  <c r="E42" i="29"/>
  <c r="B843" i="106" s="1"/>
  <c r="D843" i="106" s="1"/>
  <c r="H100" i="29"/>
  <c r="B7012" i="106" s="1"/>
  <c r="D7012" i="106" s="1"/>
  <c r="K98" i="29"/>
  <c r="B7006" i="106"/>
  <c r="D7006" i="106" s="1"/>
  <c r="B3414" i="106"/>
  <c r="D3414" i="106" s="1"/>
  <c r="D35" i="36"/>
  <c r="H24" i="118"/>
  <c r="E39" i="4"/>
  <c r="B6287" i="106" s="1"/>
  <c r="D6287" i="106" s="1"/>
  <c r="B7670" i="106"/>
  <c r="D7670" i="106" s="1"/>
  <c r="B6842" i="106"/>
  <c r="D6842" i="106" s="1"/>
  <c r="F164" i="34"/>
  <c r="K53" i="4"/>
  <c r="B3703" i="106" s="1"/>
  <c r="D3703" i="106" s="1"/>
  <c r="B3699" i="106"/>
  <c r="D3699" i="106" s="1"/>
  <c r="B6714" i="106"/>
  <c r="D6714" i="106" s="1"/>
  <c r="E259" i="5"/>
  <c r="B7764" i="106"/>
  <c r="D7764" i="106" s="1"/>
  <c r="F93" i="34"/>
  <c r="B4946" i="106"/>
  <c r="D4946" i="106" s="1"/>
  <c r="F178" i="5"/>
  <c r="B5655" i="106" s="1"/>
  <c r="D5655" i="106" s="1"/>
  <c r="B6740" i="106"/>
  <c r="D6740" i="106" s="1"/>
  <c r="F150" i="34"/>
  <c r="K180" i="29"/>
  <c r="D184" i="29"/>
  <c r="B4082" i="106"/>
  <c r="D4082" i="106" s="1"/>
  <c r="K190" i="29"/>
  <c r="E194" i="29"/>
  <c r="B2991" i="106"/>
  <c r="D2991" i="106" s="1"/>
  <c r="G121" i="5"/>
  <c r="B5748" i="106" s="1"/>
  <c r="D5748" i="106" s="1"/>
  <c r="B4878" i="106"/>
  <c r="D4878" i="106" s="1"/>
  <c r="B5785" i="106"/>
  <c r="D5785" i="106" s="1"/>
  <c r="G191" i="5"/>
  <c r="B4398" i="106" s="1"/>
  <c r="D4398" i="106" s="1"/>
  <c r="B6625" i="106"/>
  <c r="D6625" i="106" s="1"/>
  <c r="F137" i="34"/>
  <c r="G259" i="5"/>
  <c r="B6837" i="106" s="1"/>
  <c r="D6837" i="106" s="1"/>
  <c r="K224" i="29"/>
  <c r="B1409" i="106"/>
  <c r="D1409" i="106" s="1"/>
  <c r="D303" i="29"/>
  <c r="B1525" i="106"/>
  <c r="D1525" i="106" s="1"/>
  <c r="K301" i="29"/>
  <c r="K306" i="29"/>
  <c r="H310" i="29"/>
  <c r="B7106" i="106"/>
  <c r="D7106" i="106" s="1"/>
  <c r="I34" i="3"/>
  <c r="B6166" i="106"/>
  <c r="D6166" i="106" s="1"/>
  <c r="B7781" i="106"/>
  <c r="D7781" i="106" s="1"/>
  <c r="H160" i="29"/>
  <c r="K159" i="29"/>
  <c r="C82" i="5"/>
  <c r="J18" i="5"/>
  <c r="B6306" i="106" s="1"/>
  <c r="D6306" i="106" s="1"/>
  <c r="D259" i="5"/>
  <c r="B6834" i="106" s="1"/>
  <c r="D6834" i="106" s="1"/>
  <c r="F114" i="5"/>
  <c r="B734" i="106"/>
  <c r="D734" i="106" s="1"/>
  <c r="B7657" i="106"/>
  <c r="D7657" i="106" s="1"/>
  <c r="B7063" i="106"/>
  <c r="D7063" i="106" s="1"/>
  <c r="I210" i="29"/>
  <c r="B5106" i="106"/>
  <c r="D5106" i="106" s="1"/>
  <c r="C93" i="5"/>
  <c r="B5112" i="106" s="1"/>
  <c r="D5112" i="106" s="1"/>
  <c r="F97" i="34"/>
  <c r="B6642" i="106"/>
  <c r="D6642" i="106" s="1"/>
  <c r="F140" i="34"/>
  <c r="K15" i="29"/>
  <c r="B835" i="106"/>
  <c r="D835" i="106" s="1"/>
  <c r="G47" i="29"/>
  <c r="B961" i="106"/>
  <c r="D961" i="106" s="1"/>
  <c r="K45" i="29"/>
  <c r="B1117" i="106" s="1"/>
  <c r="D1117" i="106" s="1"/>
  <c r="E65" i="29"/>
  <c r="B861" i="106" s="1"/>
  <c r="D861" i="106" s="1"/>
  <c r="K59" i="29"/>
  <c r="B854" i="106"/>
  <c r="D854" i="106" s="1"/>
  <c r="B856" i="106"/>
  <c r="D856" i="106" s="1"/>
  <c r="K61" i="29"/>
  <c r="B1037" i="106"/>
  <c r="D1037" i="106" s="1"/>
  <c r="K68" i="29"/>
  <c r="B6989" i="106"/>
  <c r="D6989" i="106" s="1"/>
  <c r="K89" i="29"/>
  <c r="B6990" i="106" s="1"/>
  <c r="D6990" i="106" s="1"/>
  <c r="E100" i="29"/>
  <c r="K99" i="29"/>
  <c r="B7010" i="106" s="1"/>
  <c r="D7010" i="106" s="1"/>
  <c r="B7008" i="106"/>
  <c r="D7008" i="106" s="1"/>
  <c r="E37" i="4"/>
  <c r="B6285" i="106" s="1"/>
  <c r="D6285" i="106" s="1"/>
  <c r="D76" i="4"/>
  <c r="B3237" i="106" s="1"/>
  <c r="D3237" i="106" s="1"/>
  <c r="B7652" i="106"/>
  <c r="D7652" i="106" s="1"/>
  <c r="H14" i="118"/>
  <c r="H19" i="118"/>
  <c r="B5351" i="106"/>
  <c r="D5351" i="106" s="1"/>
  <c r="F102" i="34"/>
  <c r="D108" i="5"/>
  <c r="B5355" i="106" s="1"/>
  <c r="D5355" i="106" s="1"/>
  <c r="B5384" i="106"/>
  <c r="D5384" i="106" s="1"/>
  <c r="F110" i="34"/>
  <c r="B4337" i="106"/>
  <c r="D4337" i="106" s="1"/>
  <c r="D216" i="5"/>
  <c r="B4412" i="106" s="1"/>
  <c r="D4412" i="106" s="1"/>
  <c r="F154" i="34"/>
  <c r="B6778" i="106"/>
  <c r="D6778" i="106" s="1"/>
  <c r="K124" i="29"/>
  <c r="B1276" i="106" s="1"/>
  <c r="D1276" i="106" s="1"/>
  <c r="B1221" i="106"/>
  <c r="D1221" i="106" s="1"/>
  <c r="K126" i="29"/>
  <c r="B1277" i="106" s="1"/>
  <c r="D1277" i="106" s="1"/>
  <c r="B7032" i="106"/>
  <c r="D7032" i="106" s="1"/>
  <c r="I127" i="29"/>
  <c r="B5615" i="106"/>
  <c r="D5615" i="106" s="1"/>
  <c r="F154" i="5"/>
  <c r="B5618" i="106" s="1"/>
  <c r="D5618" i="106" s="1"/>
  <c r="B6677" i="106"/>
  <c r="D6677" i="106" s="1"/>
  <c r="F144" i="34"/>
  <c r="B6406" i="106"/>
  <c r="D6406" i="106" s="1"/>
  <c r="G201" i="5"/>
  <c r="B6409" i="106" s="1"/>
  <c r="D6409" i="106" s="1"/>
  <c r="F145" i="34"/>
  <c r="B6686" i="106"/>
  <c r="D6686" i="106" s="1"/>
  <c r="B7073" i="106"/>
  <c r="D7073" i="106" s="1"/>
  <c r="K216" i="29"/>
  <c r="D229" i="29"/>
  <c r="B1414" i="106"/>
  <c r="D1414" i="106" s="1"/>
  <c r="K235" i="29"/>
  <c r="D238" i="29"/>
  <c r="K255" i="29"/>
  <c r="B7096" i="106" s="1"/>
  <c r="D7096" i="106" s="1"/>
  <c r="B7095" i="106"/>
  <c r="D7095" i="106" s="1"/>
  <c r="D277" i="29"/>
  <c r="B1444" i="106" s="1"/>
  <c r="D1444" i="106" s="1"/>
  <c r="B1438" i="106"/>
  <c r="D1438" i="106" s="1"/>
  <c r="K273" i="29"/>
  <c r="B6371" i="106"/>
  <c r="D6371" i="106" s="1"/>
  <c r="H172" i="5"/>
  <c r="B2914" i="106"/>
  <c r="D2914" i="106" s="1"/>
  <c r="L34" i="3"/>
  <c r="K324" i="29"/>
  <c r="B7171" i="106" s="1"/>
  <c r="D7171" i="106" s="1"/>
  <c r="I330" i="29"/>
  <c r="I342" i="29" s="1"/>
  <c r="J274" i="5"/>
  <c r="B7054" i="106" s="1"/>
  <c r="D7054" i="106" s="1"/>
  <c r="E330" i="29"/>
  <c r="K172" i="5"/>
  <c r="B5000" i="106" s="1"/>
  <c r="D5000" i="106" s="1"/>
  <c r="K50" i="29"/>
  <c r="F94" i="34"/>
  <c r="B5096" i="106"/>
  <c r="D5096" i="106" s="1"/>
  <c r="B7656" i="106"/>
  <c r="D7656" i="106" s="1"/>
  <c r="B6943" i="106"/>
  <c r="D6943" i="106" s="1"/>
  <c r="B5067" i="106"/>
  <c r="D5067" i="106" s="1"/>
  <c r="B5075" i="106"/>
  <c r="D5075" i="106" s="1"/>
  <c r="C40" i="5"/>
  <c r="B5087" i="106" s="1"/>
  <c r="D5087" i="106" s="1"/>
  <c r="B821" i="106"/>
  <c r="D821" i="106" s="1"/>
  <c r="E33" i="29"/>
  <c r="B836" i="106" s="1"/>
  <c r="D836" i="106" s="1"/>
  <c r="K5" i="29"/>
  <c r="B1093" i="106" s="1"/>
  <c r="D1093" i="106" s="1"/>
  <c r="B822" i="106"/>
  <c r="D822" i="106" s="1"/>
  <c r="K16" i="29"/>
  <c r="B1094" i="106" s="1"/>
  <c r="D1094" i="106" s="1"/>
  <c r="B3371" i="106"/>
  <c r="D3371" i="106" s="1"/>
  <c r="K19" i="29"/>
  <c r="B3381" i="106" s="1"/>
  <c r="D3381" i="106" s="1"/>
  <c r="K30" i="29"/>
  <c r="B6896" i="106"/>
  <c r="D6896" i="106" s="1"/>
  <c r="K38" i="29"/>
  <c r="B1111" i="106" s="1"/>
  <c r="D1111" i="106" s="1"/>
  <c r="B839" i="106"/>
  <c r="D839" i="106" s="1"/>
  <c r="H57" i="29"/>
  <c r="B1027" i="106" s="1"/>
  <c r="D1027" i="106" s="1"/>
  <c r="K55" i="29"/>
  <c r="B1025" i="106"/>
  <c r="D1025" i="106" s="1"/>
  <c r="B858" i="106"/>
  <c r="D858" i="106" s="1"/>
  <c r="K63" i="29"/>
  <c r="B5343" i="106"/>
  <c r="D5343" i="106" s="1"/>
  <c r="D82" i="5"/>
  <c r="B5348" i="106" s="1"/>
  <c r="D5348" i="106" s="1"/>
  <c r="B1219" i="106"/>
  <c r="D1219" i="106" s="1"/>
  <c r="C127" i="29"/>
  <c r="B1223" i="106" s="1"/>
  <c r="D1223" i="106" s="1"/>
  <c r="K125" i="29"/>
  <c r="B3488" i="106" s="1"/>
  <c r="D3488" i="106" s="1"/>
  <c r="B3482" i="106"/>
  <c r="D3482" i="106" s="1"/>
  <c r="H147" i="29"/>
  <c r="K143" i="29"/>
  <c r="B1269" i="106"/>
  <c r="D1269" i="106" s="1"/>
  <c r="B5563" i="106"/>
  <c r="D5563" i="106" s="1"/>
  <c r="F84" i="34"/>
  <c r="F63" i="5"/>
  <c r="F108" i="5"/>
  <c r="B5587" i="106" s="1"/>
  <c r="D5587" i="106" s="1"/>
  <c r="B6323" i="106"/>
  <c r="D6323" i="106" s="1"/>
  <c r="F259" i="5"/>
  <c r="B6836" i="106" s="1"/>
  <c r="D6836" i="106" s="1"/>
  <c r="B6617" i="106"/>
  <c r="D6617" i="106" s="1"/>
  <c r="G44" i="4"/>
  <c r="B7752" i="106"/>
  <c r="D7752" i="106" s="1"/>
  <c r="B6813" i="106"/>
  <c r="D6813" i="106" s="1"/>
  <c r="F158" i="34"/>
  <c r="B1528" i="106"/>
  <c r="D1528" i="106" s="1"/>
  <c r="K302" i="29"/>
  <c r="B1558" i="106" s="1"/>
  <c r="D1558" i="106" s="1"/>
  <c r="B2880" i="106"/>
  <c r="D2880" i="106" s="1"/>
  <c r="I13" i="3"/>
  <c r="B2888" i="106" s="1"/>
  <c r="D2888" i="106" s="1"/>
  <c r="B5925" i="106"/>
  <c r="D5925" i="106" s="1"/>
  <c r="I67" i="5"/>
  <c r="B5926" i="106" s="1"/>
  <c r="D5926" i="106" s="1"/>
  <c r="B7754" i="106"/>
  <c r="D7754" i="106" s="1"/>
  <c r="J44" i="4"/>
  <c r="K108" i="5"/>
  <c r="B5999" i="106" s="1"/>
  <c r="D5999" i="106" s="1"/>
  <c r="J34" i="3"/>
  <c r="B6191" i="106" s="1"/>
  <c r="D6191" i="106" s="1"/>
  <c r="K327" i="29"/>
  <c r="B7198" i="106" s="1"/>
  <c r="D7198" i="106" s="1"/>
  <c r="L330" i="29"/>
  <c r="L342" i="29" s="1"/>
  <c r="N23" i="3"/>
  <c r="B284" i="106" s="1"/>
  <c r="D284" i="106" s="1"/>
  <c r="D11" i="7"/>
  <c r="B1768" i="106" s="1"/>
  <c r="D1768" i="106" s="1"/>
  <c r="J12" i="5"/>
  <c r="B6301" i="106" s="1"/>
  <c r="D6301" i="106" s="1"/>
  <c r="J13" i="3"/>
  <c r="B6124" i="106" s="1"/>
  <c r="D6124" i="106" s="1"/>
  <c r="J172" i="5"/>
  <c r="B6396" i="106" s="1"/>
  <c r="D6396" i="106" s="1"/>
  <c r="J108" i="5"/>
  <c r="B6351" i="106" s="1"/>
  <c r="D6351" i="106" s="1"/>
  <c r="L365" i="29"/>
  <c r="H362" i="29"/>
  <c r="D184" i="5"/>
  <c r="B5425" i="106" s="1"/>
  <c r="D5425" i="106" s="1"/>
  <c r="B7792" i="106"/>
  <c r="D7792" i="106" s="1"/>
  <c r="B3673" i="106"/>
  <c r="D3673" i="106" s="1"/>
  <c r="D78" i="36"/>
  <c r="C18" i="4"/>
  <c r="B4131" i="106" s="1"/>
  <c r="D4131" i="106" s="1"/>
  <c r="B4113" i="106"/>
  <c r="D4113" i="106" s="1"/>
  <c r="B5118" i="106"/>
  <c r="D5118" i="106" s="1"/>
  <c r="F104" i="34"/>
  <c r="B5164" i="106"/>
  <c r="D5164" i="106" s="1"/>
  <c r="C144" i="5"/>
  <c r="B5317" i="106"/>
  <c r="D5317" i="106" s="1"/>
  <c r="F169" i="34"/>
  <c r="B7258" i="106"/>
  <c r="K11" i="29"/>
  <c r="B840" i="106"/>
  <c r="D840" i="106" s="1"/>
  <c r="K39" i="29"/>
  <c r="B1112" i="106" s="1"/>
  <c r="D1112" i="106" s="1"/>
  <c r="H47" i="29"/>
  <c r="B1021" i="106" s="1"/>
  <c r="D1021" i="106" s="1"/>
  <c r="B1018" i="106"/>
  <c r="D1018" i="106" s="1"/>
  <c r="K44" i="29"/>
  <c r="K46" i="29"/>
  <c r="B1118" i="106" s="1"/>
  <c r="D1118" i="106" s="1"/>
  <c r="B962" i="106"/>
  <c r="D962" i="106" s="1"/>
  <c r="B6933" i="106"/>
  <c r="D6933" i="106" s="1"/>
  <c r="K52" i="29"/>
  <c r="B6940" i="106" s="1"/>
  <c r="D6940" i="106" s="1"/>
  <c r="B855" i="106"/>
  <c r="D855" i="106" s="1"/>
  <c r="K60" i="29"/>
  <c r="D140" i="5"/>
  <c r="B5370" i="106"/>
  <c r="D5370" i="106" s="1"/>
  <c r="B4236" i="106"/>
  <c r="D4236" i="106" s="1"/>
  <c r="D211" i="5"/>
  <c r="K120" i="29"/>
  <c r="B4074" i="106"/>
  <c r="D4074" i="106" s="1"/>
  <c r="B3275" i="106"/>
  <c r="D3275" i="106" s="1"/>
  <c r="E76" i="4"/>
  <c r="B3276" i="106" s="1"/>
  <c r="D3276" i="106" s="1"/>
  <c r="B5665" i="106"/>
  <c r="D5665" i="106" s="1"/>
  <c r="F211" i="5"/>
  <c r="B5677" i="106" s="1"/>
  <c r="D5677" i="106" s="1"/>
  <c r="F157" i="34"/>
  <c r="B6804" i="106"/>
  <c r="D6804" i="106" s="1"/>
  <c r="K183" i="29"/>
  <c r="B1380" i="106" s="1"/>
  <c r="D1380" i="106" s="1"/>
  <c r="B1344" i="106"/>
  <c r="D1344" i="106" s="1"/>
  <c r="B6367" i="106"/>
  <c r="D6367" i="106" s="1"/>
  <c r="G140" i="5"/>
  <c r="D257" i="29"/>
  <c r="B1424" i="106" s="1"/>
  <c r="D1424" i="106" s="1"/>
  <c r="K247" i="29"/>
  <c r="B2725" i="106"/>
  <c r="D2725" i="106" s="1"/>
  <c r="H108" i="5"/>
  <c r="B5886" i="106" s="1"/>
  <c r="D5886" i="106" s="1"/>
  <c r="B7731" i="106"/>
  <c r="D7731" i="106" s="1"/>
  <c r="B6239" i="106"/>
  <c r="D6239" i="106" s="1"/>
  <c r="J76" i="4"/>
  <c r="B6261" i="106" s="1"/>
  <c r="D6261" i="106" s="1"/>
  <c r="D72" i="36"/>
  <c r="B12" i="7"/>
  <c r="B1753" i="106" s="1"/>
  <c r="D1753" i="106" s="1"/>
  <c r="K13" i="3"/>
  <c r="B3552" i="106" s="1"/>
  <c r="D3552" i="106" s="1"/>
  <c r="C330" i="29"/>
  <c r="C342" i="29" s="1"/>
  <c r="B7216" i="106" s="1"/>
  <c r="D7216" i="106" s="1"/>
  <c r="K319" i="29"/>
  <c r="B7126" i="106" s="1"/>
  <c r="D7126" i="106" s="1"/>
  <c r="G211" i="5"/>
  <c r="B5803" i="106" s="1"/>
  <c r="D5803" i="106" s="1"/>
  <c r="C184" i="5"/>
  <c r="F131" i="5"/>
  <c r="F105" i="34" s="1"/>
  <c r="G108" i="5"/>
  <c r="B5737" i="106" s="1"/>
  <c r="D5737" i="106" s="1"/>
  <c r="D12" i="5"/>
  <c r="B5334" i="106" s="1"/>
  <c r="D5334" i="106" s="1"/>
  <c r="J121" i="5"/>
  <c r="B6357" i="106" s="1"/>
  <c r="D6357" i="106" s="1"/>
  <c r="D13" i="7"/>
  <c r="B3726" i="106" s="1"/>
  <c r="D3726" i="106" s="1"/>
  <c r="K348" i="29"/>
  <c r="B6891" i="106"/>
  <c r="D6891" i="106" s="1"/>
  <c r="F46" i="34"/>
  <c r="B7761" i="106"/>
  <c r="D7761" i="106" s="1"/>
  <c r="C34" i="3"/>
  <c r="B91" i="106" s="1"/>
  <c r="D91" i="106" s="1"/>
  <c r="D75" i="36"/>
  <c r="C201" i="5"/>
  <c r="C211" i="5"/>
  <c r="C224" i="5"/>
  <c r="B5286" i="106" s="1"/>
  <c r="D5286" i="106" s="1"/>
  <c r="C259" i="5"/>
  <c r="B6833" i="106" s="1"/>
  <c r="D6833" i="106" s="1"/>
  <c r="K13" i="29"/>
  <c r="B1105" i="106" s="1"/>
  <c r="D1105" i="106" s="1"/>
  <c r="K14" i="29"/>
  <c r="B1106" i="106" s="1"/>
  <c r="D1106" i="106" s="1"/>
  <c r="K40" i="29"/>
  <c r="B1113" i="106" s="1"/>
  <c r="D1113" i="106" s="1"/>
  <c r="K51" i="29"/>
  <c r="K56" i="29"/>
  <c r="K64" i="29"/>
  <c r="K70" i="29"/>
  <c r="K73" i="29"/>
  <c r="K75" i="29"/>
  <c r="H92" i="29"/>
  <c r="D13" i="3"/>
  <c r="D34" i="3"/>
  <c r="K122" i="29"/>
  <c r="K130" i="29"/>
  <c r="E137" i="29"/>
  <c r="E13" i="3"/>
  <c r="B131" i="106" s="1"/>
  <c r="D131" i="106" s="1"/>
  <c r="F13" i="3"/>
  <c r="B157" i="106" s="1"/>
  <c r="D157" i="106" s="1"/>
  <c r="F34" i="3"/>
  <c r="B169" i="106" s="1"/>
  <c r="D169" i="106" s="1"/>
  <c r="D17" i="171"/>
  <c r="K185" i="29"/>
  <c r="G13" i="3"/>
  <c r="G34" i="3"/>
  <c r="D12" i="171"/>
  <c r="H34" i="3"/>
  <c r="L285" i="29"/>
  <c r="F95" i="183"/>
  <c r="L95" i="183"/>
  <c r="L99" i="183"/>
  <c r="L103" i="183" s="1"/>
  <c r="H95" i="183"/>
  <c r="B3658" i="106"/>
  <c r="D3658" i="106" s="1"/>
  <c r="H365" i="29"/>
  <c r="B7242" i="106" s="1"/>
  <c r="D7242" i="106" s="1"/>
  <c r="B4373" i="106"/>
  <c r="D4373" i="106" s="1"/>
  <c r="I274" i="5"/>
  <c r="K326" i="29"/>
  <c r="B7189" i="106" s="1"/>
  <c r="D7189" i="106" s="1"/>
  <c r="B5985" i="106"/>
  <c r="D5985" i="106" s="1"/>
  <c r="H350" i="29"/>
  <c r="B18" i="7"/>
  <c r="K351" i="29"/>
  <c r="B3671" i="106" s="1"/>
  <c r="D3671" i="106" s="1"/>
  <c r="K18" i="5"/>
  <c r="B5992" i="106" s="1"/>
  <c r="D5992" i="106" s="1"/>
  <c r="K323" i="29"/>
  <c r="B7162" i="106" s="1"/>
  <c r="D7162" i="106" s="1"/>
  <c r="B3561" i="106"/>
  <c r="D3561" i="106" s="1"/>
  <c r="B4330" i="106"/>
  <c r="D4330" i="106" s="1"/>
  <c r="B7187" i="106"/>
  <c r="D7187" i="106" s="1"/>
  <c r="B7150" i="106"/>
  <c r="D7150" i="106" s="1"/>
  <c r="B6355" i="106"/>
  <c r="D6355" i="106" s="1"/>
  <c r="B5178" i="106"/>
  <c r="D5178" i="106" s="1"/>
  <c r="B7591" i="106"/>
  <c r="L3" i="11"/>
  <c r="B7596" i="106" s="1"/>
  <c r="F16" i="11"/>
  <c r="K44" i="4"/>
  <c r="B3652" i="106"/>
  <c r="D3652" i="106" s="1"/>
  <c r="K360" i="29"/>
  <c r="K325" i="29"/>
  <c r="B7180" i="106" s="1"/>
  <c r="D7180" i="106" s="1"/>
  <c r="D330" i="29"/>
  <c r="B7123" i="106"/>
  <c r="D7123" i="106" s="1"/>
  <c r="B1982" i="106"/>
  <c r="D1982" i="106" s="1"/>
  <c r="H24" i="12"/>
  <c r="D76" i="36"/>
  <c r="F350" i="29"/>
  <c r="D73" i="36"/>
  <c r="K328" i="29"/>
  <c r="B7696" i="106" s="1"/>
  <c r="D7696" i="106" s="1"/>
  <c r="H330" i="29"/>
  <c r="B4414" i="106"/>
  <c r="D4414" i="106" s="1"/>
  <c r="B3657" i="106"/>
  <c r="D3657" i="106" s="1"/>
  <c r="F330" i="29"/>
  <c r="D352" i="29"/>
  <c r="B6217" i="106"/>
  <c r="D6217" i="106" s="1"/>
  <c r="G26" i="12"/>
  <c r="B7739" i="106" s="1"/>
  <c r="D7739" i="106" s="1"/>
  <c r="B1958" i="106"/>
  <c r="D1958" i="106" s="1"/>
  <c r="B4171" i="106"/>
  <c r="D4171" i="106" s="1"/>
  <c r="B3298" i="106"/>
  <c r="D3298" i="106" s="1"/>
  <c r="B1266" i="106"/>
  <c r="D1266" i="106" s="1"/>
  <c r="I26" i="12"/>
  <c r="B7741" i="106" s="1"/>
  <c r="D7741" i="106" s="1"/>
  <c r="B1996" i="106"/>
  <c r="D1996" i="106" s="1"/>
  <c r="B5658" i="106"/>
  <c r="D5658" i="106" s="1"/>
  <c r="B5526" i="106"/>
  <c r="D5526" i="106" s="1"/>
  <c r="B5147" i="106"/>
  <c r="D5147" i="106" s="1"/>
  <c r="I173" i="5"/>
  <c r="F50" i="34"/>
  <c r="B6899" i="106"/>
  <c r="D6899" i="106" s="1"/>
  <c r="D80" i="36"/>
  <c r="B7797" i="106"/>
  <c r="D7797" i="106" s="1"/>
  <c r="E141" i="181"/>
  <c r="B65" i="106"/>
  <c r="D65" i="106" s="1"/>
  <c r="C13" i="3"/>
  <c r="E72" i="29"/>
  <c r="B862" i="106"/>
  <c r="D862" i="106" s="1"/>
  <c r="K332" i="29"/>
  <c r="H334" i="29"/>
  <c r="B7789" i="106" s="1"/>
  <c r="D7789" i="106" s="1"/>
  <c r="B199" i="106"/>
  <c r="D199" i="106" s="1"/>
  <c r="H13" i="3"/>
  <c r="G17" i="181"/>
  <c r="G141" i="181" s="1"/>
  <c r="F141" i="181"/>
  <c r="B7798" i="106" s="1"/>
  <c r="D7798" i="106" s="1"/>
  <c r="K67" i="29"/>
  <c r="I34" i="182"/>
  <c r="K34" i="182" s="1"/>
  <c r="D81" i="36" s="1"/>
  <c r="B2" i="176"/>
  <c r="A2" i="171"/>
  <c r="A2" i="170"/>
  <c r="A2" i="173"/>
  <c r="B7199" i="106" l="1"/>
  <c r="D7199" i="106" s="1"/>
  <c r="C5" i="4"/>
  <c r="B3405" i="106" s="1"/>
  <c r="D3405" i="106" s="1"/>
  <c r="D151" i="29"/>
  <c r="B1234" i="106" s="1"/>
  <c r="D1234" i="106" s="1"/>
  <c r="B1875" i="106"/>
  <c r="D1875" i="106" s="1"/>
  <c r="F22" i="37"/>
  <c r="F24" i="37" s="1"/>
  <c r="B7235" i="106"/>
  <c r="D7235" i="106" s="1"/>
  <c r="L174" i="29"/>
  <c r="J74" i="29"/>
  <c r="J114" i="29" s="1"/>
  <c r="B7021" i="106" s="1"/>
  <c r="D7021" i="106" s="1"/>
  <c r="F136" i="34"/>
  <c r="C172" i="5"/>
  <c r="K41" i="3"/>
  <c r="B3568" i="106" s="1"/>
  <c r="D3568" i="106" s="1"/>
  <c r="F41" i="3"/>
  <c r="L102" i="29"/>
  <c r="F43" i="34"/>
  <c r="B6885" i="106"/>
  <c r="D6885" i="106" s="1"/>
  <c r="C74" i="29"/>
  <c r="B755" i="106" s="1"/>
  <c r="D755" i="106" s="1"/>
  <c r="B1749" i="106"/>
  <c r="D1749" i="106" s="1"/>
  <c r="D10" i="7"/>
  <c r="B1765" i="106" s="1"/>
  <c r="D1765" i="106" s="1"/>
  <c r="J342" i="29"/>
  <c r="B7223" i="106" s="1"/>
  <c r="D7223" i="106" s="1"/>
  <c r="I109" i="5"/>
  <c r="G109" i="5"/>
  <c r="G4" i="4" s="1"/>
  <c r="K350" i="29"/>
  <c r="B3670" i="106" s="1"/>
  <c r="D3670" i="106" s="1"/>
  <c r="L279" i="29"/>
  <c r="L295" i="29" s="1"/>
  <c r="L210" i="29"/>
  <c r="J7" i="4"/>
  <c r="B6222" i="106" s="1"/>
  <c r="D6222" i="106" s="1"/>
  <c r="J173" i="5"/>
  <c r="J6" i="4" s="1"/>
  <c r="B6221" i="106" s="1"/>
  <c r="D6221" i="106" s="1"/>
  <c r="I74" i="29"/>
  <c r="I76" i="4"/>
  <c r="F111" i="34"/>
  <c r="F161" i="34"/>
  <c r="E41" i="3"/>
  <c r="D46" i="36" s="1"/>
  <c r="B1747" i="106"/>
  <c r="D1747" i="106" s="1"/>
  <c r="D7" i="7"/>
  <c r="B1763" i="106" s="1"/>
  <c r="D1763" i="106" s="1"/>
  <c r="L367" i="29"/>
  <c r="L74" i="29"/>
  <c r="C352" i="29"/>
  <c r="B3619" i="106"/>
  <c r="D3619" i="106" s="1"/>
  <c r="B7733" i="106"/>
  <c r="D7733" i="106" s="1"/>
  <c r="K26" i="12"/>
  <c r="B7743" i="106" s="1"/>
  <c r="D7743" i="106" s="1"/>
  <c r="B4211" i="106"/>
  <c r="D4211" i="106" s="1"/>
  <c r="F64" i="34"/>
  <c r="H139" i="29"/>
  <c r="B1267" i="106" s="1"/>
  <c r="D1267" i="106" s="1"/>
  <c r="B2091" i="106"/>
  <c r="D2091" i="106" s="1"/>
  <c r="E109" i="5"/>
  <c r="L151" i="29"/>
  <c r="B1259" i="106"/>
  <c r="D1259" i="106" s="1"/>
  <c r="B279" i="106"/>
  <c r="D279" i="106" s="1"/>
  <c r="D54" i="36"/>
  <c r="B1247" i="106"/>
  <c r="D1247" i="106" s="1"/>
  <c r="F129" i="29"/>
  <c r="B1513" i="106"/>
  <c r="D1513" i="106" s="1"/>
  <c r="K293" i="29"/>
  <c r="H109" i="5"/>
  <c r="H4" i="4" s="1"/>
  <c r="B7784" i="106"/>
  <c r="D7784" i="106" s="1"/>
  <c r="K285" i="29"/>
  <c r="B7038" i="106"/>
  <c r="D7038" i="106" s="1"/>
  <c r="J151" i="29"/>
  <c r="B7052" i="106" s="1"/>
  <c r="D7052" i="106" s="1"/>
  <c r="B1452" i="106"/>
  <c r="D1452" i="106" s="1"/>
  <c r="H295" i="29"/>
  <c r="B1454" i="106" s="1"/>
  <c r="D1454" i="106" s="1"/>
  <c r="B1364" i="106"/>
  <c r="D1364" i="106" s="1"/>
  <c r="G210" i="29"/>
  <c r="B2828" i="106"/>
  <c r="D2828" i="106" s="1"/>
  <c r="H196" i="29"/>
  <c r="B2830" i="106" s="1"/>
  <c r="D2830" i="106" s="1"/>
  <c r="B7209" i="106"/>
  <c r="D7209" i="106" s="1"/>
  <c r="K340" i="29"/>
  <c r="F44" i="34"/>
  <c r="B6887" i="106"/>
  <c r="D6887" i="106" s="1"/>
  <c r="A7255" i="106"/>
  <c r="D7254" i="106"/>
  <c r="B1482" i="106"/>
  <c r="D1482" i="106" s="1"/>
  <c r="K243" i="29"/>
  <c r="B1485" i="106" s="1"/>
  <c r="D1485" i="106" s="1"/>
  <c r="C109" i="5"/>
  <c r="C4" i="4" s="1"/>
  <c r="F273" i="5"/>
  <c r="J41" i="3"/>
  <c r="C129" i="29"/>
  <c r="B1225" i="106" s="1"/>
  <c r="D1225" i="106" s="1"/>
  <c r="B1547" i="106"/>
  <c r="D1547" i="106" s="1"/>
  <c r="G312" i="29"/>
  <c r="B1548" i="106" s="1"/>
  <c r="D1548" i="106" s="1"/>
  <c r="D8" i="7"/>
  <c r="B1764" i="106" s="1"/>
  <c r="D1764" i="106" s="1"/>
  <c r="B1748" i="106"/>
  <c r="D1748" i="106" s="1"/>
  <c r="K76" i="4"/>
  <c r="B3586" i="106" s="1"/>
  <c r="D3586" i="106" s="1"/>
  <c r="D12" i="7"/>
  <c r="J26" i="12"/>
  <c r="B7742" i="106" s="1"/>
  <c r="D7742" i="106" s="1"/>
  <c r="B7732" i="106"/>
  <c r="D7732" i="106" s="1"/>
  <c r="B1490" i="106"/>
  <c r="D1490" i="106" s="1"/>
  <c r="K261" i="29"/>
  <c r="B1491" i="106" s="1"/>
  <c r="D1491" i="106" s="1"/>
  <c r="B2986" i="106"/>
  <c r="D2986" i="106" s="1"/>
  <c r="K137" i="29"/>
  <c r="K274" i="5"/>
  <c r="B211" i="106"/>
  <c r="D211" i="106" s="1"/>
  <c r="H41" i="3"/>
  <c r="B213" i="106" s="1"/>
  <c r="D213" i="106" s="1"/>
  <c r="C14" i="4"/>
  <c r="B2558" i="106" s="1"/>
  <c r="D2558" i="106" s="1"/>
  <c r="F52" i="34"/>
  <c r="G39" i="108"/>
  <c r="E39" i="108"/>
  <c r="B1144" i="106"/>
  <c r="D1144" i="106" s="1"/>
  <c r="G172" i="5"/>
  <c r="B5752" i="106"/>
  <c r="D5752" i="106" s="1"/>
  <c r="B5383" i="106"/>
  <c r="D5383" i="106" s="1"/>
  <c r="D172" i="5"/>
  <c r="B5165" i="106"/>
  <c r="D5165" i="106" s="1"/>
  <c r="F107" i="34"/>
  <c r="B7033" i="106"/>
  <c r="D7033" i="106" s="1"/>
  <c r="I129" i="29"/>
  <c r="E34" i="108"/>
  <c r="B1135" i="106"/>
  <c r="D1135" i="106" s="1"/>
  <c r="G34" i="108"/>
  <c r="B7115" i="106"/>
  <c r="D7115" i="106" s="1"/>
  <c r="H312" i="29"/>
  <c r="B1554" i="106" s="1"/>
  <c r="D1554" i="106" s="1"/>
  <c r="B3009" i="106"/>
  <c r="D3009" i="106" s="1"/>
  <c r="K194" i="29"/>
  <c r="G352" i="29"/>
  <c r="B3647" i="106"/>
  <c r="D3647" i="106" s="1"/>
  <c r="B3235" i="106"/>
  <c r="D3235" i="106" s="1"/>
  <c r="D77" i="4"/>
  <c r="B3238" i="106" s="1"/>
  <c r="D3238" i="106" s="1"/>
  <c r="B6848" i="106"/>
  <c r="D6848" i="106" s="1"/>
  <c r="F34" i="34"/>
  <c r="F128" i="34"/>
  <c r="B7007" i="106"/>
  <c r="D7007" i="106" s="1"/>
  <c r="K100" i="29"/>
  <c r="B7013" i="106" s="1"/>
  <c r="D7013" i="106" s="1"/>
  <c r="B1139" i="106"/>
  <c r="D1139" i="106" s="1"/>
  <c r="F37" i="108"/>
  <c r="D37" i="108"/>
  <c r="B19" i="7"/>
  <c r="B1759" i="106" s="1"/>
  <c r="D1759" i="106" s="1"/>
  <c r="E139" i="29"/>
  <c r="B4202" i="106"/>
  <c r="D4202" i="106" s="1"/>
  <c r="B1142" i="106"/>
  <c r="D1142" i="106" s="1"/>
  <c r="E38" i="108"/>
  <c r="G38" i="108"/>
  <c r="B5614" i="106"/>
  <c r="D5614" i="106" s="1"/>
  <c r="F172" i="5"/>
  <c r="B2916" i="106"/>
  <c r="D2916" i="106" s="1"/>
  <c r="L41" i="3"/>
  <c r="B963" i="106"/>
  <c r="D963" i="106" s="1"/>
  <c r="G74" i="29"/>
  <c r="B7071" i="106"/>
  <c r="D7071" i="106" s="1"/>
  <c r="F66" i="34"/>
  <c r="B5102" i="106"/>
  <c r="D5102" i="106" s="1"/>
  <c r="F95" i="34"/>
  <c r="B7107" i="106"/>
  <c r="D7107" i="106" s="1"/>
  <c r="K310" i="29"/>
  <c r="F35" i="34"/>
  <c r="B6853" i="106"/>
  <c r="D6853" i="106" s="1"/>
  <c r="E196" i="29"/>
  <c r="B2823" i="106"/>
  <c r="D2823" i="106" s="1"/>
  <c r="D109" i="5"/>
  <c r="B7205" i="106"/>
  <c r="D7205" i="106" s="1"/>
  <c r="B188" i="106"/>
  <c r="D188" i="106" s="1"/>
  <c r="G41" i="3"/>
  <c r="B190" i="106" s="1"/>
  <c r="D190" i="106" s="1"/>
  <c r="B1137" i="106"/>
  <c r="D1137" i="106" s="1"/>
  <c r="F36" i="108"/>
  <c r="D36" i="108"/>
  <c r="B5232" i="106"/>
  <c r="D5232" i="106" s="1"/>
  <c r="C151" i="29"/>
  <c r="B1226" i="106" s="1"/>
  <c r="D1226" i="106" s="1"/>
  <c r="B1284" i="106"/>
  <c r="D1284" i="106" s="1"/>
  <c r="K147" i="29"/>
  <c r="B1130" i="106"/>
  <c r="D1130" i="106" s="1"/>
  <c r="E30" i="108"/>
  <c r="G30" i="108"/>
  <c r="B6897" i="106"/>
  <c r="D6897" i="106" s="1"/>
  <c r="F49" i="34"/>
  <c r="E12" i="145"/>
  <c r="G12" i="145" s="1"/>
  <c r="B1121" i="106"/>
  <c r="D1121" i="106" s="1"/>
  <c r="B1417" i="106"/>
  <c r="D1417" i="106" s="1"/>
  <c r="D279" i="29"/>
  <c r="B1446" i="106" s="1"/>
  <c r="D1446" i="106" s="1"/>
  <c r="B1128" i="106"/>
  <c r="D1128" i="106" s="1"/>
  <c r="E28" i="108"/>
  <c r="F28" i="108"/>
  <c r="B7782" i="106"/>
  <c r="D7782" i="106" s="1"/>
  <c r="K160" i="29"/>
  <c r="B1555" i="106"/>
  <c r="D1555" i="106" s="1"/>
  <c r="K303" i="29"/>
  <c r="D210" i="29"/>
  <c r="B1346" i="106" s="1"/>
  <c r="D1346" i="106" s="1"/>
  <c r="B1345" i="106"/>
  <c r="D1345" i="106" s="1"/>
  <c r="E273" i="5"/>
  <c r="B6835" i="106"/>
  <c r="D6835" i="106" s="1"/>
  <c r="H44" i="4"/>
  <c r="B6289" i="106"/>
  <c r="D6289" i="106" s="1"/>
  <c r="B1109" i="106"/>
  <c r="D1109" i="106" s="1"/>
  <c r="K42" i="29"/>
  <c r="B4950" i="106"/>
  <c r="D4950" i="106" s="1"/>
  <c r="B1149" i="106"/>
  <c r="D1149" i="106" s="1"/>
  <c r="K110" i="29"/>
  <c r="B1136" i="106"/>
  <c r="D1136" i="106" s="1"/>
  <c r="E35" i="108"/>
  <c r="G35" i="108"/>
  <c r="B3258" i="106"/>
  <c r="D3258" i="106" s="1"/>
  <c r="G77" i="4"/>
  <c r="B3261" i="106" s="1"/>
  <c r="D3261" i="106" s="1"/>
  <c r="B180" i="106"/>
  <c r="D180" i="106" s="1"/>
  <c r="B2805" i="106"/>
  <c r="D2805" i="106" s="1"/>
  <c r="D14" i="4"/>
  <c r="B2570" i="106" s="1"/>
  <c r="D2570" i="106" s="1"/>
  <c r="F56" i="34"/>
  <c r="D31" i="108"/>
  <c r="E16" i="145"/>
  <c r="G16" i="145" s="1"/>
  <c r="B1131" i="106"/>
  <c r="D1131" i="106" s="1"/>
  <c r="F31" i="108"/>
  <c r="B5260" i="106"/>
  <c r="D5260" i="106" s="1"/>
  <c r="F130" i="34"/>
  <c r="H149" i="29"/>
  <c r="B7047" i="106"/>
  <c r="D7047" i="106" s="1"/>
  <c r="B5899" i="106"/>
  <c r="D5899" i="106" s="1"/>
  <c r="H173" i="5"/>
  <c r="B1478" i="106"/>
  <c r="D1478" i="106" s="1"/>
  <c r="K238" i="29"/>
  <c r="B1107" i="106"/>
  <c r="D1107" i="106" s="1"/>
  <c r="F38" i="34"/>
  <c r="B4087" i="106"/>
  <c r="D4087" i="106" s="1"/>
  <c r="K184" i="29"/>
  <c r="B778" i="106"/>
  <c r="D778" i="106" s="1"/>
  <c r="H273" i="5"/>
  <c r="B4441" i="106" s="1"/>
  <c r="D4441" i="106" s="1"/>
  <c r="B6838" i="106"/>
  <c r="D6838" i="106" s="1"/>
  <c r="B901" i="106"/>
  <c r="D901" i="106" s="1"/>
  <c r="F74" i="29"/>
  <c r="B5161" i="106"/>
  <c r="D5161" i="106" s="1"/>
  <c r="F106" i="34"/>
  <c r="B3252" i="106"/>
  <c r="D3252" i="106" s="1"/>
  <c r="F77" i="4"/>
  <c r="B3255" i="106" s="1"/>
  <c r="D3255" i="106" s="1"/>
  <c r="B1053" i="106"/>
  <c r="D1053" i="106" s="1"/>
  <c r="H112" i="29"/>
  <c r="B7018" i="106" s="1"/>
  <c r="D7018" i="106" s="1"/>
  <c r="K92" i="29"/>
  <c r="B2089" i="106" s="1"/>
  <c r="D2089" i="106" s="1"/>
  <c r="B6995" i="106"/>
  <c r="D6995" i="106" s="1"/>
  <c r="B1116" i="106"/>
  <c r="D1116" i="106" s="1"/>
  <c r="K47" i="29"/>
  <c r="B5534" i="106"/>
  <c r="D5534" i="106" s="1"/>
  <c r="E173" i="5"/>
  <c r="I275" i="5"/>
  <c r="B5946" i="106" s="1"/>
  <c r="D5946" i="106" s="1"/>
  <c r="G273" i="5"/>
  <c r="B5863" i="106" s="1"/>
  <c r="D5863" i="106" s="1"/>
  <c r="B3668" i="106"/>
  <c r="D3668" i="106" s="1"/>
  <c r="F14" i="4"/>
  <c r="B2597" i="106" s="1"/>
  <c r="D2597" i="106" s="1"/>
  <c r="B2836" i="106"/>
  <c r="D2836" i="106" s="1"/>
  <c r="F62" i="34"/>
  <c r="F15" i="145"/>
  <c r="F19" i="145" s="1"/>
  <c r="K127" i="29"/>
  <c r="B1279" i="106" s="1"/>
  <c r="D1279" i="106" s="1"/>
  <c r="B1274" i="106"/>
  <c r="D1274" i="106" s="1"/>
  <c r="G26" i="108"/>
  <c r="E26" i="108"/>
  <c r="E14" i="145"/>
  <c r="G14" i="145" s="1"/>
  <c r="B1124" i="106"/>
  <c r="D1124" i="106" s="1"/>
  <c r="B5246" i="106"/>
  <c r="D5246" i="106" s="1"/>
  <c r="F129" i="34"/>
  <c r="C273" i="5"/>
  <c r="B5320" i="106" s="1"/>
  <c r="D5320" i="106" s="1"/>
  <c r="B4080" i="106"/>
  <c r="D4080" i="106" s="1"/>
  <c r="B6858" i="106"/>
  <c r="D6858" i="106" s="1"/>
  <c r="F36" i="34"/>
  <c r="B1529" i="106"/>
  <c r="D1529" i="106" s="1"/>
  <c r="D312" i="29"/>
  <c r="B1530" i="106" s="1"/>
  <c r="D1530" i="106" s="1"/>
  <c r="E44" i="4"/>
  <c r="B6881" i="106"/>
  <c r="D6881" i="106" s="1"/>
  <c r="F41" i="34"/>
  <c r="B7203" i="106"/>
  <c r="D7203" i="106" s="1"/>
  <c r="G342" i="29"/>
  <c r="B7220" i="106" s="1"/>
  <c r="D7220" i="106" s="1"/>
  <c r="B792" i="106"/>
  <c r="D792" i="106" s="1"/>
  <c r="D74" i="29"/>
  <c r="B813" i="106" s="1"/>
  <c r="D813" i="106" s="1"/>
  <c r="B1496" i="106"/>
  <c r="D1496" i="106" s="1"/>
  <c r="K270" i="29"/>
  <c r="B1500" i="106" s="1"/>
  <c r="D1500" i="106" s="1"/>
  <c r="B1325" i="106"/>
  <c r="D1325" i="106" s="1"/>
  <c r="K168" i="29"/>
  <c r="B7234" i="106"/>
  <c r="D7234" i="106" s="1"/>
  <c r="I367" i="29"/>
  <c r="B7244" i="106" s="1"/>
  <c r="D7244" i="106" s="1"/>
  <c r="B1104" i="106"/>
  <c r="D1104" i="106" s="1"/>
  <c r="F37" i="34"/>
  <c r="K204" i="29"/>
  <c r="B2842" i="106"/>
  <c r="D2842" i="106" s="1"/>
  <c r="F131" i="34"/>
  <c r="H74" i="29"/>
  <c r="B122" i="106"/>
  <c r="D122" i="106" s="1"/>
  <c r="D41" i="3"/>
  <c r="B124" i="106" s="1"/>
  <c r="D124" i="106" s="1"/>
  <c r="E13" i="145"/>
  <c r="G13" i="145" s="1"/>
  <c r="B2724" i="106"/>
  <c r="D2724" i="106" s="1"/>
  <c r="C41" i="3"/>
  <c r="B93" i="106" s="1"/>
  <c r="D93" i="106" s="1"/>
  <c r="B5444" i="106"/>
  <c r="D5444" i="106" s="1"/>
  <c r="D273" i="5"/>
  <c r="B5501" i="106" s="1"/>
  <c r="D5501" i="106" s="1"/>
  <c r="B1123" i="106"/>
  <c r="D1123" i="106" s="1"/>
  <c r="K57" i="29"/>
  <c r="B7201" i="106"/>
  <c r="D7201" i="106" s="1"/>
  <c r="E342" i="29"/>
  <c r="B7218" i="106" s="1"/>
  <c r="D7218" i="106" s="1"/>
  <c r="B1502" i="106"/>
  <c r="D1502" i="106" s="1"/>
  <c r="K277" i="29"/>
  <c r="B1508" i="106" s="1"/>
  <c r="D1508" i="106" s="1"/>
  <c r="B1410" i="106"/>
  <c r="D1410" i="106" s="1"/>
  <c r="B7011" i="106"/>
  <c r="D7011" i="106" s="1"/>
  <c r="E102" i="29"/>
  <c r="B2790" i="106" s="1"/>
  <c r="D2790" i="106" s="1"/>
  <c r="E15" i="145"/>
  <c r="B1126" i="106"/>
  <c r="D1126" i="106" s="1"/>
  <c r="F26" i="108"/>
  <c r="D26" i="108"/>
  <c r="K65" i="29"/>
  <c r="B1133" i="106" s="1"/>
  <c r="D1133" i="106" s="1"/>
  <c r="B3633" i="106"/>
  <c r="D3633" i="106" s="1"/>
  <c r="E352" i="29"/>
  <c r="B1120" i="106"/>
  <c r="D1120" i="106" s="1"/>
  <c r="K53" i="29"/>
  <c r="B1122" i="106" s="1"/>
  <c r="D1122" i="106" s="1"/>
  <c r="C77" i="4"/>
  <c r="B3232" i="106" s="1"/>
  <c r="D3232" i="106" s="1"/>
  <c r="B3229" i="106"/>
  <c r="D3229" i="106" s="1"/>
  <c r="B5360" i="106"/>
  <c r="D5360" i="106" s="1"/>
  <c r="D5" i="4"/>
  <c r="B3406" i="106" s="1"/>
  <c r="D3406" i="106" s="1"/>
  <c r="B2081" i="106"/>
  <c r="D2081" i="106" s="1"/>
  <c r="H102" i="29"/>
  <c r="B1047" i="106" s="1"/>
  <c r="D1047" i="106" s="1"/>
  <c r="B1129" i="106"/>
  <c r="D1129" i="106" s="1"/>
  <c r="E29" i="108"/>
  <c r="G29" i="108"/>
  <c r="B6026" i="106"/>
  <c r="D6026" i="106" s="1"/>
  <c r="I4" i="4"/>
  <c r="B3225" i="106" s="1"/>
  <c r="D3225" i="106" s="1"/>
  <c r="K33" i="29"/>
  <c r="C12" i="4" s="1"/>
  <c r="D27" i="108"/>
  <c r="F27" i="108"/>
  <c r="B1127" i="106"/>
  <c r="D1127" i="106" s="1"/>
  <c r="F127" i="34"/>
  <c r="K173" i="5"/>
  <c r="K6" i="4" s="1"/>
  <c r="B3570" i="106" s="1"/>
  <c r="D3570" i="106" s="1"/>
  <c r="B109" i="106"/>
  <c r="D109" i="106" s="1"/>
  <c r="B2726" i="106"/>
  <c r="D2726" i="106" s="1"/>
  <c r="K257" i="29"/>
  <c r="B1488" i="106" s="1"/>
  <c r="D1488" i="106" s="1"/>
  <c r="J77" i="4"/>
  <c r="B6262" i="106" s="1"/>
  <c r="D6262" i="106" s="1"/>
  <c r="B6238" i="106"/>
  <c r="D6238" i="106" s="1"/>
  <c r="B5579" i="106"/>
  <c r="D5579" i="106" s="1"/>
  <c r="F109" i="5"/>
  <c r="B7074" i="106"/>
  <c r="D7074" i="106" s="1"/>
  <c r="F67" i="34"/>
  <c r="K229" i="29"/>
  <c r="B5592" i="106"/>
  <c r="D5592" i="106" s="1"/>
  <c r="F5" i="4"/>
  <c r="B3408" i="106" s="1"/>
  <c r="D3408" i="106" s="1"/>
  <c r="B2910" i="106"/>
  <c r="D2910" i="106" s="1"/>
  <c r="I41" i="3"/>
  <c r="B1473" i="106"/>
  <c r="D1473" i="106" s="1"/>
  <c r="F71" i="34"/>
  <c r="J109" i="5"/>
  <c r="H208" i="29"/>
  <c r="B4156" i="106"/>
  <c r="D4156" i="106" s="1"/>
  <c r="B1314" i="106"/>
  <c r="D1314" i="106" s="1"/>
  <c r="H172" i="29"/>
  <c r="B2975" i="106"/>
  <c r="D2975" i="106" s="1"/>
  <c r="K84" i="29"/>
  <c r="B5121" i="106"/>
  <c r="D5121" i="106" s="1"/>
  <c r="B77" i="106"/>
  <c r="D77" i="106" s="1"/>
  <c r="E19" i="108"/>
  <c r="B1108" i="106"/>
  <c r="D1108" i="106" s="1"/>
  <c r="H342" i="29"/>
  <c r="B7221" i="106" s="1"/>
  <c r="D7221" i="106" s="1"/>
  <c r="B7204" i="106"/>
  <c r="D7204" i="106" s="1"/>
  <c r="B3675" i="106"/>
  <c r="D3675" i="106" s="1"/>
  <c r="K362" i="29"/>
  <c r="K330" i="29"/>
  <c r="B869" i="106"/>
  <c r="D869" i="106" s="1"/>
  <c r="E74" i="29"/>
  <c r="G40" i="108"/>
  <c r="E40" i="108"/>
  <c r="B7799" i="106"/>
  <c r="D7799" i="106" s="1"/>
  <c r="B1983" i="106"/>
  <c r="D1983" i="106" s="1"/>
  <c r="H26" i="12"/>
  <c r="B7740" i="106" s="1"/>
  <c r="D7740" i="106" s="1"/>
  <c r="B7222" i="106"/>
  <c r="D7222" i="106" s="1"/>
  <c r="E33" i="108"/>
  <c r="E17" i="145"/>
  <c r="B1134" i="106"/>
  <c r="D1134" i="106" s="1"/>
  <c r="G33" i="108"/>
  <c r="K72" i="29"/>
  <c r="B203" i="106"/>
  <c r="D203" i="106" s="1"/>
  <c r="B3628" i="106"/>
  <c r="D3628" i="106" s="1"/>
  <c r="D367" i="29"/>
  <c r="B3629" i="106" s="1"/>
  <c r="D3629" i="106" s="1"/>
  <c r="K77" i="4"/>
  <c r="B3587" i="106" s="1"/>
  <c r="D3587" i="106" s="1"/>
  <c r="B3584" i="106"/>
  <c r="D3584" i="106" s="1"/>
  <c r="K109" i="5"/>
  <c r="B5214" i="106"/>
  <c r="D5214" i="106" s="1"/>
  <c r="C173" i="5"/>
  <c r="I7" i="4"/>
  <c r="B4444" i="106" s="1"/>
  <c r="D4444" i="106" s="1"/>
  <c r="B4435" i="106"/>
  <c r="D4435" i="106" s="1"/>
  <c r="B5356" i="106"/>
  <c r="D5356" i="106" s="1"/>
  <c r="D4" i="4"/>
  <c r="F342" i="29"/>
  <c r="B7219" i="106" s="1"/>
  <c r="D7219" i="106" s="1"/>
  <c r="B7202" i="106"/>
  <c r="D7202" i="106" s="1"/>
  <c r="B3640" i="106"/>
  <c r="D3640" i="106" s="1"/>
  <c r="F352" i="29"/>
  <c r="B4103" i="106"/>
  <c r="D4103" i="106" s="1"/>
  <c r="D18" i="7"/>
  <c r="B4105" i="106" s="1"/>
  <c r="D4105" i="106" s="1"/>
  <c r="B1045" i="106"/>
  <c r="D1045" i="106" s="1"/>
  <c r="B3318" i="106"/>
  <c r="D3318" i="106" s="1"/>
  <c r="I77" i="4"/>
  <c r="B3319" i="106" s="1"/>
  <c r="D3319" i="106" s="1"/>
  <c r="B1769" i="106"/>
  <c r="D1769" i="106" s="1"/>
  <c r="D52" i="36"/>
  <c r="B7786" i="106"/>
  <c r="D7786" i="106" s="1"/>
  <c r="K334" i="29"/>
  <c r="E4" i="4"/>
  <c r="B5527" i="106"/>
  <c r="D5527" i="106" s="1"/>
  <c r="B141" i="106"/>
  <c r="D141" i="106" s="1"/>
  <c r="B3654" i="106"/>
  <c r="D3654" i="106" s="1"/>
  <c r="H352" i="29"/>
  <c r="B4216" i="106"/>
  <c r="D4216" i="106" s="1"/>
  <c r="I6" i="4"/>
  <c r="D47" i="36"/>
  <c r="B171" i="106"/>
  <c r="D171" i="106" s="1"/>
  <c r="B285" i="106"/>
  <c r="D285" i="106" s="1"/>
  <c r="H37" i="37"/>
  <c r="N37" i="3"/>
  <c r="G274" i="5"/>
  <c r="B7200" i="106"/>
  <c r="D7200" i="106" s="1"/>
  <c r="D342" i="29"/>
  <c r="B7217" i="106" s="1"/>
  <c r="D7217" i="106" s="1"/>
  <c r="B2031" i="106"/>
  <c r="D2031" i="106" s="1"/>
  <c r="L16" i="11"/>
  <c r="B2061" i="106" s="1"/>
  <c r="D2061" i="106" s="1"/>
  <c r="G15" i="145" l="1"/>
  <c r="B6978" i="106"/>
  <c r="D6978" i="106" s="1"/>
  <c r="C114" i="29"/>
  <c r="B757" i="106" s="1"/>
  <c r="D757" i="106" s="1"/>
  <c r="B6024" i="106"/>
  <c r="D6024" i="106" s="1"/>
  <c r="L114" i="29"/>
  <c r="B6025" i="106"/>
  <c r="D6025" i="106" s="1"/>
  <c r="B6397" i="106"/>
  <c r="D6397" i="106" s="1"/>
  <c r="K352" i="29"/>
  <c r="B3672" i="106" s="1"/>
  <c r="D3672" i="106" s="1"/>
  <c r="D49" i="36"/>
  <c r="J275" i="5"/>
  <c r="B7055" i="106" s="1"/>
  <c r="D7055" i="106" s="1"/>
  <c r="G19" i="108"/>
  <c r="C367" i="29"/>
  <c r="B3622" i="106" s="1"/>
  <c r="D3622" i="106" s="1"/>
  <c r="B3621" i="106"/>
  <c r="D3621" i="106" s="1"/>
  <c r="D45" i="36"/>
  <c r="D114" i="29"/>
  <c r="B815" i="106" s="1"/>
  <c r="D815" i="106" s="1"/>
  <c r="B6977" i="106"/>
  <c r="D6977" i="106" s="1"/>
  <c r="I114" i="29"/>
  <c r="H114" i="29"/>
  <c r="B1054" i="106" s="1"/>
  <c r="D1054" i="106" s="1"/>
  <c r="A7256" i="106"/>
  <c r="D7255" i="106"/>
  <c r="G16" i="4"/>
  <c r="B2611" i="106" s="1"/>
  <c r="D2611" i="106" s="1"/>
  <c r="B1515" i="106"/>
  <c r="D1515" i="106" s="1"/>
  <c r="F178" i="34"/>
  <c r="B6216" i="106"/>
  <c r="D6216" i="106" s="1"/>
  <c r="D51" i="36"/>
  <c r="B1249" i="106"/>
  <c r="D1249" i="106" s="1"/>
  <c r="F151" i="29"/>
  <c r="B1250" i="106" s="1"/>
  <c r="D1250" i="106" s="1"/>
  <c r="B5713" i="106"/>
  <c r="D5713" i="106" s="1"/>
  <c r="F274" i="5"/>
  <c r="J16" i="4"/>
  <c r="B6226" i="106" s="1"/>
  <c r="D6226" i="106" s="1"/>
  <c r="B7215" i="106"/>
  <c r="D7215" i="106" s="1"/>
  <c r="D48" i="36"/>
  <c r="B6022" i="106"/>
  <c r="D6022" i="106" s="1"/>
  <c r="K7" i="4"/>
  <c r="B3718" i="106" s="1"/>
  <c r="D3718" i="106" s="1"/>
  <c r="F65" i="34"/>
  <c r="B1365" i="106"/>
  <c r="D1365" i="106" s="1"/>
  <c r="D274" i="5"/>
  <c r="K139" i="29"/>
  <c r="B2093" i="106"/>
  <c r="D2093" i="106" s="1"/>
  <c r="G15" i="4"/>
  <c r="B6032" i="106" s="1"/>
  <c r="D6032" i="106" s="1"/>
  <c r="F73" i="34"/>
  <c r="B3724" i="106"/>
  <c r="D3724" i="106" s="1"/>
  <c r="B2088" i="106"/>
  <c r="D2088" i="106" s="1"/>
  <c r="K102" i="29"/>
  <c r="G173" i="5"/>
  <c r="B5770" i="106"/>
  <c r="D5770" i="106" s="1"/>
  <c r="D19" i="7"/>
  <c r="B1775" i="106" s="1"/>
  <c r="D1775" i="106" s="1"/>
  <c r="B5544" i="106"/>
  <c r="D5544" i="106" s="1"/>
  <c r="E6" i="4"/>
  <c r="B2631" i="106" s="1"/>
  <c r="D2631" i="106" s="1"/>
  <c r="B1115" i="106"/>
  <c r="D1115" i="106" s="1"/>
  <c r="E21" i="108"/>
  <c r="G21" i="108"/>
  <c r="K312" i="29"/>
  <c r="B1560" i="106" s="1"/>
  <c r="D1560" i="106" s="1"/>
  <c r="B1559" i="106"/>
  <c r="D1559" i="106" s="1"/>
  <c r="H13" i="4"/>
  <c r="B6014" i="106"/>
  <c r="D6014" i="106" s="1"/>
  <c r="H174" i="29"/>
  <c r="B1318" i="106" s="1"/>
  <c r="D1318" i="106" s="1"/>
  <c r="B1317" i="106"/>
  <c r="D1317" i="106" s="1"/>
  <c r="B2837" i="106"/>
  <c r="D2837" i="106" s="1"/>
  <c r="K196" i="29"/>
  <c r="I151" i="29"/>
  <c r="B7037" i="106"/>
  <c r="D7037" i="106" s="1"/>
  <c r="G275" i="5"/>
  <c r="D44" i="36"/>
  <c r="E367" i="29"/>
  <c r="B3636" i="106" s="1"/>
  <c r="D3636" i="106" s="1"/>
  <c r="B3635" i="106"/>
  <c r="D3635" i="106" s="1"/>
  <c r="G22" i="108"/>
  <c r="B1119" i="106"/>
  <c r="D1119" i="106" s="1"/>
  <c r="E22" i="108"/>
  <c r="B1381" i="106"/>
  <c r="D1381" i="106" s="1"/>
  <c r="F13" i="4"/>
  <c r="F60" i="34"/>
  <c r="E15" i="4"/>
  <c r="B2102" i="106"/>
  <c r="D2102" i="106" s="1"/>
  <c r="H15" i="4"/>
  <c r="B2660" i="106" s="1"/>
  <c r="D2660" i="106" s="1"/>
  <c r="B2917" i="106"/>
  <c r="D2917" i="106" s="1"/>
  <c r="D53" i="36"/>
  <c r="B4203" i="106"/>
  <c r="D4203" i="106" s="1"/>
  <c r="E151" i="29"/>
  <c r="B1242" i="106" s="1"/>
  <c r="D1242" i="106" s="1"/>
  <c r="D295" i="29"/>
  <c r="B1448" i="106" s="1"/>
  <c r="D1448" i="106" s="1"/>
  <c r="G24" i="108"/>
  <c r="B1125" i="106"/>
  <c r="D1125" i="106" s="1"/>
  <c r="E24" i="108"/>
  <c r="B1272" i="106"/>
  <c r="D1272" i="106" s="1"/>
  <c r="H151" i="29"/>
  <c r="B1273" i="106" s="1"/>
  <c r="D1273" i="106" s="1"/>
  <c r="B3296" i="106"/>
  <c r="D3296" i="106" s="1"/>
  <c r="H77" i="4"/>
  <c r="B3299" i="106" s="1"/>
  <c r="D3299" i="106" s="1"/>
  <c r="G114" i="29"/>
  <c r="B987" i="106"/>
  <c r="D987" i="106" s="1"/>
  <c r="B1375" i="106"/>
  <c r="D1375" i="106" s="1"/>
  <c r="H210" i="29"/>
  <c r="B1376" i="106" s="1"/>
  <c r="D1376" i="106" s="1"/>
  <c r="G12" i="4"/>
  <c r="B1474" i="106"/>
  <c r="D1474" i="106" s="1"/>
  <c r="B929" i="106"/>
  <c r="D929" i="106" s="1"/>
  <c r="F114" i="29"/>
  <c r="B931" i="106" s="1"/>
  <c r="D931" i="106" s="1"/>
  <c r="K112" i="29"/>
  <c r="B1151" i="106"/>
  <c r="D1151" i="106" s="1"/>
  <c r="C274" i="5"/>
  <c r="B5644" i="106"/>
  <c r="D5644" i="106" s="1"/>
  <c r="F173" i="5"/>
  <c r="B5412" i="106"/>
  <c r="D5412" i="106" s="1"/>
  <c r="D173" i="5"/>
  <c r="F4" i="4"/>
  <c r="B5588" i="106"/>
  <c r="D5588" i="106" s="1"/>
  <c r="B3274" i="106"/>
  <c r="D3274" i="106" s="1"/>
  <c r="E77" i="4"/>
  <c r="B3277" i="106" s="1"/>
  <c r="D3277" i="106" s="1"/>
  <c r="B5906" i="106"/>
  <c r="D5906" i="106" s="1"/>
  <c r="H6" i="4"/>
  <c r="B2656" i="106" s="1"/>
  <c r="D2656" i="106" s="1"/>
  <c r="J4" i="4"/>
  <c r="B6220" i="106" s="1"/>
  <c r="D6220" i="106" s="1"/>
  <c r="B6352" i="106"/>
  <c r="D6352" i="106" s="1"/>
  <c r="D41" i="108"/>
  <c r="E43" i="108" s="1"/>
  <c r="K172" i="29"/>
  <c r="B1328" i="106"/>
  <c r="D1328" i="106" s="1"/>
  <c r="B7747" i="106"/>
  <c r="D7747" i="106" s="1"/>
  <c r="E274" i="5"/>
  <c r="F41" i="108"/>
  <c r="G43" i="108" s="1"/>
  <c r="B1352" i="106"/>
  <c r="D1352" i="106" s="1"/>
  <c r="E210" i="29"/>
  <c r="B1353" i="106" s="1"/>
  <c r="D1353" i="106" s="1"/>
  <c r="B3649" i="106"/>
  <c r="D3649" i="106" s="1"/>
  <c r="G367" i="29"/>
  <c r="B3650" i="106" s="1"/>
  <c r="D3650" i="106" s="1"/>
  <c r="D50" i="36"/>
  <c r="B2913" i="106"/>
  <c r="D2913" i="106" s="1"/>
  <c r="K208" i="29"/>
  <c r="B4157" i="106"/>
  <c r="D4157" i="106" s="1"/>
  <c r="K149" i="29"/>
  <c r="B7048" i="106"/>
  <c r="D7048" i="106" s="1"/>
  <c r="B5507" i="106"/>
  <c r="D5507" i="106" s="1"/>
  <c r="D7" i="4"/>
  <c r="B2567" i="106" s="1"/>
  <c r="D2567" i="106" s="1"/>
  <c r="K129" i="29"/>
  <c r="K279" i="29"/>
  <c r="K295" i="29" s="1"/>
  <c r="K296" i="29" s="1"/>
  <c r="B1518" i="106" s="1"/>
  <c r="D1518" i="106" s="1"/>
  <c r="B1481" i="106"/>
  <c r="D1481" i="106" s="1"/>
  <c r="H274" i="5"/>
  <c r="B5870" i="106"/>
  <c r="D5870" i="106" s="1"/>
  <c r="G17" i="145"/>
  <c r="G19" i="145" s="1"/>
  <c r="J20" i="145" s="1"/>
  <c r="E19" i="145"/>
  <c r="H367" i="29"/>
  <c r="B3660" i="106" s="1"/>
  <c r="D3660" i="106" s="1"/>
  <c r="B3656" i="106"/>
  <c r="D3656" i="106" s="1"/>
  <c r="B2564" i="106"/>
  <c r="D2564" i="106" s="1"/>
  <c r="B3676" i="106"/>
  <c r="D3676" i="106" s="1"/>
  <c r="K365" i="29"/>
  <c r="F367" i="29"/>
  <c r="B3643" i="106" s="1"/>
  <c r="D3643" i="106" s="1"/>
  <c r="B3642" i="106"/>
  <c r="D3642" i="106" s="1"/>
  <c r="B2655" i="106"/>
  <c r="D2655" i="106" s="1"/>
  <c r="B2556" i="106"/>
  <c r="D2556" i="106" s="1"/>
  <c r="G7" i="4"/>
  <c r="B5869" i="106"/>
  <c r="D5869" i="106" s="1"/>
  <c r="B2630" i="106"/>
  <c r="D2630" i="106" s="1"/>
  <c r="B2551" i="106"/>
  <c r="D2551" i="106" s="1"/>
  <c r="B2603" i="106"/>
  <c r="D2603" i="106" s="1"/>
  <c r="N41" i="3"/>
  <c r="B287" i="106"/>
  <c r="D287" i="106" s="1"/>
  <c r="C6" i="4"/>
  <c r="B2553" i="106" s="1"/>
  <c r="D2553" i="106" s="1"/>
  <c r="B5223" i="106"/>
  <c r="D5223" i="106" s="1"/>
  <c r="B1141" i="106"/>
  <c r="D1141" i="106" s="1"/>
  <c r="K74" i="29"/>
  <c r="E114" i="29"/>
  <c r="B873" i="106" s="1"/>
  <c r="D873" i="106" s="1"/>
  <c r="B871" i="106"/>
  <c r="D871" i="106" s="1"/>
  <c r="B4997" i="106"/>
  <c r="D4997" i="106" s="1"/>
  <c r="H32" i="118"/>
  <c r="K32" i="118" s="1"/>
  <c r="O31" i="118" s="1"/>
  <c r="O33" i="118" s="1"/>
  <c r="B7790" i="106"/>
  <c r="D7790" i="106" s="1"/>
  <c r="J15" i="4"/>
  <c r="B7796" i="106" s="1"/>
  <c r="D7796" i="106" s="1"/>
  <c r="F74" i="34"/>
  <c r="B5011" i="106"/>
  <c r="D5011" i="106" s="1"/>
  <c r="I8" i="4"/>
  <c r="K4" i="4"/>
  <c r="B6028" i="106"/>
  <c r="D6028" i="106" s="1"/>
  <c r="K275" i="5"/>
  <c r="E23" i="108"/>
  <c r="B7207" i="106"/>
  <c r="D7207" i="106" s="1"/>
  <c r="K342" i="29"/>
  <c r="G23" i="108"/>
  <c r="J13" i="4"/>
  <c r="K13" i="4" l="1"/>
  <c r="K367" i="29"/>
  <c r="B3678" i="106" s="1"/>
  <c r="D3678" i="106" s="1"/>
  <c r="B7020" i="106"/>
  <c r="D7020" i="106" s="1"/>
  <c r="F55" i="34"/>
  <c r="E41" i="108"/>
  <c r="E44" i="108" s="1"/>
  <c r="E45" i="108" s="1"/>
  <c r="G41" i="108"/>
  <c r="G44" i="108" s="1"/>
  <c r="G45" i="108" s="1"/>
  <c r="D15" i="4"/>
  <c r="B2571" i="106" s="1"/>
  <c r="D2571" i="106" s="1"/>
  <c r="F57" i="34"/>
  <c r="B1282" i="106"/>
  <c r="D1282" i="106" s="1"/>
  <c r="F7" i="4"/>
  <c r="B2594" i="106" s="1"/>
  <c r="D2594" i="106" s="1"/>
  <c r="B5719" i="106"/>
  <c r="D5719" i="106" s="1"/>
  <c r="A7257" i="106"/>
  <c r="D7256" i="106"/>
  <c r="B1387" i="106"/>
  <c r="D1387" i="106" s="1"/>
  <c r="F16" i="4"/>
  <c r="B2599" i="106" s="1"/>
  <c r="D2599" i="106" s="1"/>
  <c r="B4434" i="106"/>
  <c r="D4434" i="106" s="1"/>
  <c r="E7" i="4"/>
  <c r="E275" i="5"/>
  <c r="F6" i="4"/>
  <c r="B2593" i="106" s="1"/>
  <c r="D2593" i="106" s="1"/>
  <c r="B5653" i="106"/>
  <c r="D5653" i="106" s="1"/>
  <c r="B2596" i="106"/>
  <c r="D2596" i="106" s="1"/>
  <c r="G13" i="4"/>
  <c r="B2608" i="106" s="1"/>
  <c r="D2608" i="106" s="1"/>
  <c r="B1510" i="106"/>
  <c r="D1510" i="106" s="1"/>
  <c r="B2607" i="106"/>
  <c r="D2607" i="106" s="1"/>
  <c r="K210" i="29"/>
  <c r="H17" i="4"/>
  <c r="B2659" i="106"/>
  <c r="D2659" i="106" s="1"/>
  <c r="D13" i="4"/>
  <c r="K151" i="29"/>
  <c r="B1281" i="106"/>
  <c r="D1281" i="106" s="1"/>
  <c r="B5326" i="106"/>
  <c r="D5326" i="106" s="1"/>
  <c r="C7" i="4"/>
  <c r="B2554" i="106" s="1"/>
  <c r="D2554" i="106" s="1"/>
  <c r="B989" i="106"/>
  <c r="D989" i="106" s="1"/>
  <c r="F54" i="34"/>
  <c r="B2633" i="106"/>
  <c r="D2633" i="106" s="1"/>
  <c r="J8" i="4"/>
  <c r="B6223" i="106" s="1"/>
  <c r="D6223" i="106" s="1"/>
  <c r="B1331" i="106"/>
  <c r="D1331" i="106" s="1"/>
  <c r="E16" i="4"/>
  <c r="B2634" i="106" s="1"/>
  <c r="D2634" i="106" s="1"/>
  <c r="F275" i="5"/>
  <c r="F59" i="34"/>
  <c r="B7051" i="106"/>
  <c r="D7051" i="106" s="1"/>
  <c r="F17" i="11"/>
  <c r="B5778" i="106"/>
  <c r="D5778" i="106" s="1"/>
  <c r="G6" i="4"/>
  <c r="B2604" i="106" s="1"/>
  <c r="D2604" i="106" s="1"/>
  <c r="B1287" i="106"/>
  <c r="D1287" i="106" s="1"/>
  <c r="D16" i="4"/>
  <c r="B2572" i="106" s="1"/>
  <c r="D2572" i="106" s="1"/>
  <c r="F12" i="34"/>
  <c r="B1517" i="106"/>
  <c r="D1517" i="106" s="1"/>
  <c r="C16" i="4"/>
  <c r="B2560" i="106" s="1"/>
  <c r="D2560" i="106" s="1"/>
  <c r="B7019" i="106"/>
  <c r="D7019" i="106" s="1"/>
  <c r="C275" i="5"/>
  <c r="B5327" i="106" s="1"/>
  <c r="D5327" i="106" s="1"/>
  <c r="B1382" i="106"/>
  <c r="D1382" i="106" s="1"/>
  <c r="F63" i="34"/>
  <c r="F15" i="4"/>
  <c r="B2598" i="106" s="1"/>
  <c r="D2598" i="106" s="1"/>
  <c r="B1145" i="106"/>
  <c r="D1145" i="106" s="1"/>
  <c r="F53" i="34"/>
  <c r="C15" i="4"/>
  <c r="B2559" i="106" s="1"/>
  <c r="D2559" i="106" s="1"/>
  <c r="B5421" i="106"/>
  <c r="D5421" i="106" s="1"/>
  <c r="D6" i="4"/>
  <c r="D275" i="5"/>
  <c r="H7" i="4"/>
  <c r="B2657" i="106" s="1"/>
  <c r="D2657" i="106" s="1"/>
  <c r="B5914" i="106"/>
  <c r="D5914" i="106" s="1"/>
  <c r="H275" i="5"/>
  <c r="B2591" i="106"/>
  <c r="D2591" i="106" s="1"/>
  <c r="K174" i="29"/>
  <c r="J10" i="4"/>
  <c r="B6225" i="106" s="1"/>
  <c r="D6225" i="106" s="1"/>
  <c r="B7042" i="106"/>
  <c r="D7042" i="106" s="1"/>
  <c r="J17" i="4"/>
  <c r="B7224" i="106"/>
  <c r="D7224" i="106" s="1"/>
  <c r="F13" i="34"/>
  <c r="K343" i="29"/>
  <c r="B7225" i="106" s="1"/>
  <c r="D7225" i="106" s="1"/>
  <c r="E8" i="146"/>
  <c r="E10" i="146" s="1"/>
  <c r="I20" i="4"/>
  <c r="I10" i="4"/>
  <c r="B4128" i="106" s="1"/>
  <c r="D4128" i="106" s="1"/>
  <c r="B3226" i="106"/>
  <c r="D3226" i="106" s="1"/>
  <c r="B288" i="106"/>
  <c r="D288" i="106" s="1"/>
  <c r="D55" i="36"/>
  <c r="K16" i="4"/>
  <c r="B3574" i="106" s="1"/>
  <c r="D3574" i="106" s="1"/>
  <c r="B7243" i="106"/>
  <c r="D7243" i="106" s="1"/>
  <c r="B3572" i="106"/>
  <c r="D3572" i="106" s="1"/>
  <c r="B2605" i="106"/>
  <c r="D2605" i="106" s="1"/>
  <c r="B6023" i="106"/>
  <c r="D6023" i="106" s="1"/>
  <c r="K368" i="29"/>
  <c r="B3681" i="106" s="1"/>
  <c r="D3681" i="106" s="1"/>
  <c r="C13" i="4"/>
  <c r="B1143" i="106"/>
  <c r="D1143" i="106" s="1"/>
  <c r="K114" i="29"/>
  <c r="B3569" i="106"/>
  <c r="D3569" i="106" s="1"/>
  <c r="K8" i="4"/>
  <c r="F76" i="34" l="1"/>
  <c r="C8" i="4"/>
  <c r="F8" i="4"/>
  <c r="E17" i="4"/>
  <c r="A7258" i="106"/>
  <c r="D7257" i="106"/>
  <c r="H8" i="4"/>
  <c r="J20" i="4"/>
  <c r="J78" i="4" s="1"/>
  <c r="G8" i="4"/>
  <c r="G10" i="4" s="1"/>
  <c r="B4126" i="106" s="1"/>
  <c r="D4126" i="106" s="1"/>
  <c r="G17" i="4"/>
  <c r="I17" i="11"/>
  <c r="B7624" i="106"/>
  <c r="B1388" i="106"/>
  <c r="D1388" i="106" s="1"/>
  <c r="F11" i="34"/>
  <c r="H19" i="4"/>
  <c r="B4141" i="106" s="1"/>
  <c r="D4141" i="106" s="1"/>
  <c r="B2661" i="106"/>
  <c r="D2661" i="106" s="1"/>
  <c r="B5915" i="106"/>
  <c r="D5915" i="106" s="1"/>
  <c r="K313" i="29"/>
  <c r="B1561" i="106" s="1"/>
  <c r="D1561" i="106" s="1"/>
  <c r="B5720" i="106"/>
  <c r="D5720" i="106" s="1"/>
  <c r="K211" i="29"/>
  <c r="B1389" i="106" s="1"/>
  <c r="D1389" i="106" s="1"/>
  <c r="K175" i="29"/>
  <c r="B1333" i="106" s="1"/>
  <c r="D1333" i="106" s="1"/>
  <c r="B5552" i="106"/>
  <c r="D5552" i="106" s="1"/>
  <c r="B2635" i="106"/>
  <c r="D2635" i="106" s="1"/>
  <c r="E19" i="4"/>
  <c r="B4138" i="106" s="1"/>
  <c r="D4138" i="106" s="1"/>
  <c r="K17" i="4"/>
  <c r="K19" i="4" s="1"/>
  <c r="B4144" i="106" s="1"/>
  <c r="D4144" i="106" s="1"/>
  <c r="B4443" i="106"/>
  <c r="D4443" i="106" s="1"/>
  <c r="E8" i="4"/>
  <c r="D10" i="171"/>
  <c r="D19" i="171" s="1"/>
  <c r="D32" i="171" s="1"/>
  <c r="D49" i="171" s="1"/>
  <c r="F10" i="34"/>
  <c r="B1332" i="106"/>
  <c r="D1332" i="106" s="1"/>
  <c r="B5508" i="106"/>
  <c r="D5508" i="106" s="1"/>
  <c r="K152" i="29"/>
  <c r="B1289" i="106" s="1"/>
  <c r="D1289" i="106" s="1"/>
  <c r="B1288" i="106"/>
  <c r="D1288" i="106" s="1"/>
  <c r="F9" i="34"/>
  <c r="B2595" i="106"/>
  <c r="D2595" i="106" s="1"/>
  <c r="D8" i="146"/>
  <c r="F10" i="4"/>
  <c r="B4125" i="106" s="1"/>
  <c r="D4125" i="106" s="1"/>
  <c r="B2566" i="106"/>
  <c r="D2566" i="106" s="1"/>
  <c r="D8" i="4"/>
  <c r="H18" i="118" s="1"/>
  <c r="B2569" i="106"/>
  <c r="D2569" i="106" s="1"/>
  <c r="D17" i="4"/>
  <c r="F17" i="4"/>
  <c r="B2557" i="106"/>
  <c r="D2557" i="106" s="1"/>
  <c r="C17" i="4"/>
  <c r="C20" i="4" s="1"/>
  <c r="B2606" i="106"/>
  <c r="D2606" i="106" s="1"/>
  <c r="B8" i="146"/>
  <c r="B2555" i="106"/>
  <c r="D2555" i="106" s="1"/>
  <c r="C10" i="4"/>
  <c r="B4122" i="106" s="1"/>
  <c r="D4122" i="106" s="1"/>
  <c r="B3571" i="106"/>
  <c r="D3571" i="106" s="1"/>
  <c r="K10" i="4"/>
  <c r="B4130" i="106" s="1"/>
  <c r="D4130" i="106" s="1"/>
  <c r="J19" i="4"/>
  <c r="B6229" i="106" s="1"/>
  <c r="D6229" i="106" s="1"/>
  <c r="B6227" i="106"/>
  <c r="D6227" i="106" s="1"/>
  <c r="B3227" i="106"/>
  <c r="D3227" i="106" s="1"/>
  <c r="I78" i="4"/>
  <c r="F8" i="34"/>
  <c r="B1152" i="106"/>
  <c r="D1152" i="106" s="1"/>
  <c r="K115" i="29"/>
  <c r="B1153" i="106" s="1"/>
  <c r="D1153" i="106" s="1"/>
  <c r="B6230" i="106" l="1"/>
  <c r="D6230" i="106" s="1"/>
  <c r="F14" i="34"/>
  <c r="F77" i="34" s="1"/>
  <c r="G20" i="4"/>
  <c r="G19" i="4"/>
  <c r="B4140" i="106" s="1"/>
  <c r="D4140" i="106" s="1"/>
  <c r="B2612" i="106"/>
  <c r="D2612" i="106" s="1"/>
  <c r="H20" i="4"/>
  <c r="B2658" i="106"/>
  <c r="D2658" i="106" s="1"/>
  <c r="H10" i="4"/>
  <c r="B4127" i="106" s="1"/>
  <c r="D4127" i="106" s="1"/>
  <c r="K20" i="4"/>
  <c r="K78" i="4" s="1"/>
  <c r="B3575" i="106"/>
  <c r="D3575" i="106" s="1"/>
  <c r="D7258" i="106"/>
  <c r="A7259" i="106"/>
  <c r="D10" i="4"/>
  <c r="B4123" i="106" s="1"/>
  <c r="D4123" i="106" s="1"/>
  <c r="D20" i="4"/>
  <c r="C8" i="146"/>
  <c r="F8" i="146" s="1"/>
  <c r="B2568" i="106"/>
  <c r="D2568" i="106" s="1"/>
  <c r="H13" i="118"/>
  <c r="D16" i="37"/>
  <c r="B2600" i="106"/>
  <c r="D2600" i="106" s="1"/>
  <c r="F19" i="4"/>
  <c r="B4139" i="106" s="1"/>
  <c r="D4139" i="106" s="1"/>
  <c r="D9" i="146"/>
  <c r="D10" i="146" s="1"/>
  <c r="F20" i="4"/>
  <c r="E20" i="4"/>
  <c r="B2632" i="106"/>
  <c r="D2632" i="106" s="1"/>
  <c r="E10" i="4"/>
  <c r="B4124" i="106" s="1"/>
  <c r="D4124" i="106" s="1"/>
  <c r="B2573" i="106"/>
  <c r="D2573" i="106" s="1"/>
  <c r="D19" i="4"/>
  <c r="B4137" i="106" s="1"/>
  <c r="D4137" i="106" s="1"/>
  <c r="C9" i="146"/>
  <c r="I18" i="11"/>
  <c r="B7625" i="106"/>
  <c r="B2562" i="106"/>
  <c r="D2562" i="106" s="1"/>
  <c r="C78" i="4"/>
  <c r="B2613" i="106"/>
  <c r="D2613" i="106" s="1"/>
  <c r="G78" i="4"/>
  <c r="B3320" i="106"/>
  <c r="D3320" i="106" s="1"/>
  <c r="I81" i="4"/>
  <c r="F79" i="34"/>
  <c r="F179" i="34"/>
  <c r="J81" i="4"/>
  <c r="B6263" i="106"/>
  <c r="D6263" i="106" s="1"/>
  <c r="B9" i="146"/>
  <c r="F16" i="37"/>
  <c r="B2561" i="106"/>
  <c r="D2561" i="106" s="1"/>
  <c r="C19" i="4"/>
  <c r="B4136" i="106" s="1"/>
  <c r="D4136" i="106" s="1"/>
  <c r="H17" i="118"/>
  <c r="B3576" i="106" l="1"/>
  <c r="D3576" i="106" s="1"/>
  <c r="H16" i="37"/>
  <c r="A7260" i="106"/>
  <c r="D7259" i="106"/>
  <c r="F9" i="146"/>
  <c r="F10" i="146" s="1"/>
  <c r="H78" i="4"/>
  <c r="B2662" i="106"/>
  <c r="D2662" i="106" s="1"/>
  <c r="E78" i="4"/>
  <c r="B2636" i="106"/>
  <c r="D2636" i="106" s="1"/>
  <c r="C10" i="146"/>
  <c r="F78" i="4"/>
  <c r="B2601" i="106"/>
  <c r="D2601" i="106" s="1"/>
  <c r="D78" i="4"/>
  <c r="B2574" i="106"/>
  <c r="D2574" i="106" s="1"/>
  <c r="F180" i="34"/>
  <c r="F181" i="34" s="1"/>
  <c r="F183" i="34" s="1"/>
  <c r="B7631" i="106"/>
  <c r="D64" i="36"/>
  <c r="B6266" i="106"/>
  <c r="D6266" i="106" s="1"/>
  <c r="J82" i="4"/>
  <c r="K17" i="118"/>
  <c r="H25" i="118"/>
  <c r="K24" i="118" s="1"/>
  <c r="O23" i="118" s="1"/>
  <c r="O25" i="118" s="1"/>
  <c r="B3262" i="106"/>
  <c r="D3262" i="106" s="1"/>
  <c r="G81" i="4"/>
  <c r="B3588" i="106"/>
  <c r="D3588" i="106" s="1"/>
  <c r="K81" i="4"/>
  <c r="B10" i="146"/>
  <c r="I82" i="4"/>
  <c r="E11" i="146"/>
  <c r="D63" i="36"/>
  <c r="B3323" i="106"/>
  <c r="D3323" i="106" s="1"/>
  <c r="C81" i="4"/>
  <c r="B3233" i="106"/>
  <c r="D3233" i="106" s="1"/>
  <c r="B3300" i="106" l="1"/>
  <c r="D3300" i="106" s="1"/>
  <c r="H81" i="4"/>
  <c r="D7260" i="106"/>
  <c r="A7261" i="106"/>
  <c r="B3239" i="106"/>
  <c r="D3239" i="106" s="1"/>
  <c r="D81" i="4"/>
  <c r="F81" i="4"/>
  <c r="J16" i="37" s="1"/>
  <c r="B4269" i="106" s="1"/>
  <c r="D4269" i="106" s="1"/>
  <c r="B3256" i="106"/>
  <c r="D3256" i="106" s="1"/>
  <c r="E81" i="4"/>
  <c r="B3278" i="106"/>
  <c r="D3278" i="106" s="1"/>
  <c r="K82" i="4"/>
  <c r="B3591" i="106"/>
  <c r="D3591" i="106" s="1"/>
  <c r="D65" i="36"/>
  <c r="O16" i="118"/>
  <c r="K20" i="118"/>
  <c r="J20" i="118"/>
  <c r="J83" i="4"/>
  <c r="B6283" i="106" s="1"/>
  <c r="D6283" i="106" s="1"/>
  <c r="B6274" i="106"/>
  <c r="D6274" i="106" s="1"/>
  <c r="B1630" i="106"/>
  <c r="D1630" i="106" s="1"/>
  <c r="D57" i="36"/>
  <c r="B11" i="146"/>
  <c r="C82" i="4"/>
  <c r="I83" i="4"/>
  <c r="B6282" i="106" s="1"/>
  <c r="D6282" i="106" s="1"/>
  <c r="B6273" i="106"/>
  <c r="D6273" i="106" s="1"/>
  <c r="D61" i="36"/>
  <c r="G82" i="4"/>
  <c r="B1686" i="106"/>
  <c r="D1686" i="106" s="1"/>
  <c r="H12" i="118" l="1"/>
  <c r="K12" i="118" s="1"/>
  <c r="O11" i="118" s="1"/>
  <c r="O13" i="118" s="1"/>
  <c r="D7261" i="106"/>
  <c r="A7262" i="106"/>
  <c r="B1700" i="106"/>
  <c r="D1700" i="106" s="1"/>
  <c r="H82" i="4"/>
  <c r="D62" i="36"/>
  <c r="E82" i="4"/>
  <c r="B1658" i="106"/>
  <c r="D1658" i="106" s="1"/>
  <c r="D59" i="36"/>
  <c r="B1672" i="106"/>
  <c r="D1672" i="106" s="1"/>
  <c r="D11" i="146"/>
  <c r="D60" i="36"/>
  <c r="F82" i="4"/>
  <c r="D82" i="4"/>
  <c r="C11" i="146"/>
  <c r="B1644" i="106"/>
  <c r="D1644" i="106" s="1"/>
  <c r="D58" i="36"/>
  <c r="C83" i="4"/>
  <c r="B6276" i="106" s="1"/>
  <c r="D6276" i="106" s="1"/>
  <c r="B6267" i="106"/>
  <c r="D6267" i="106" s="1"/>
  <c r="O17" i="118"/>
  <c r="O20" i="118" s="1"/>
  <c r="O35" i="118" s="1"/>
  <c r="O37" i="118" s="1"/>
  <c r="B6271" i="106"/>
  <c r="D6271" i="106" s="1"/>
  <c r="G83" i="4"/>
  <c r="B6280" i="106" s="1"/>
  <c r="D6280" i="106" s="1"/>
  <c r="B6275" i="106"/>
  <c r="D6275" i="106" s="1"/>
  <c r="K83" i="4"/>
  <c r="B6284" i="106" s="1"/>
  <c r="D6284" i="106" s="1"/>
  <c r="B6272" i="106" l="1"/>
  <c r="D6272" i="106" s="1"/>
  <c r="H83" i="4"/>
  <c r="B6281" i="106" s="1"/>
  <c r="D6281" i="106" s="1"/>
  <c r="F11" i="146"/>
  <c r="D7262" i="106"/>
  <c r="A7263" i="106"/>
  <c r="C12" i="146"/>
  <c r="D29" i="36"/>
  <c r="J24" i="24" s="1"/>
  <c r="F83" i="4"/>
  <c r="B6279" i="106" s="1"/>
  <c r="D6279" i="106" s="1"/>
  <c r="B6270" i="106"/>
  <c r="D6270" i="106" s="1"/>
  <c r="D83" i="4"/>
  <c r="B6277" i="106" s="1"/>
  <c r="D6277" i="106" s="1"/>
  <c r="B6268" i="106"/>
  <c r="D6268" i="106" s="1"/>
  <c r="B6269" i="106"/>
  <c r="D6269" i="106" s="1"/>
  <c r="E83" i="4"/>
  <c r="B6278" i="106" s="1"/>
  <c r="D6278" i="106" s="1"/>
  <c r="A7264" i="106" l="1"/>
  <c r="D7263" i="106"/>
  <c r="A7265" i="106" l="1"/>
  <c r="D7264" i="106"/>
  <c r="A7266" i="106" l="1"/>
  <c r="D7265" i="106"/>
  <c r="D7266" i="106" l="1"/>
  <c r="A7267" i="106"/>
  <c r="A7268" i="106" l="1"/>
  <c r="D7267" i="106"/>
  <c r="A7269" i="106" l="1"/>
  <c r="D7268" i="106"/>
  <c r="D7269" i="106" l="1"/>
  <c r="A7270" i="106"/>
  <c r="D7270" i="106" l="1"/>
  <c r="A7271" i="106"/>
  <c r="D7271" i="106" l="1"/>
  <c r="A7272" i="106"/>
  <c r="A7273" i="106" l="1"/>
  <c r="D7272" i="106"/>
  <c r="D7273" i="106" l="1"/>
  <c r="A7274" i="106"/>
  <c r="A7275" i="106" l="1"/>
  <c r="D7274" i="106"/>
  <c r="A7276" i="106" l="1"/>
  <c r="D7275" i="106"/>
  <c r="A7277" i="106" l="1"/>
  <c r="D7276" i="106"/>
  <c r="D7277" i="106" l="1"/>
  <c r="A7278" i="106"/>
  <c r="D7278" i="106" l="1"/>
  <c r="A7279" i="106"/>
  <c r="A7280" i="106" l="1"/>
  <c r="D7279" i="106"/>
  <c r="A7281" i="106" l="1"/>
  <c r="D7280" i="106"/>
  <c r="A7282" i="106" l="1"/>
  <c r="D7281" i="106"/>
  <c r="D7282" i="106" l="1"/>
  <c r="A7283" i="106"/>
  <c r="A7284" i="106" l="1"/>
  <c r="D7283" i="106"/>
  <c r="A7285" i="106" l="1"/>
  <c r="D7284" i="106"/>
  <c r="D7285" i="106" l="1"/>
  <c r="A7286" i="106"/>
  <c r="A7287" i="106" l="1"/>
  <c r="D7286" i="106"/>
  <c r="D7287" i="106" l="1"/>
  <c r="A7288" i="106"/>
  <c r="A7289" i="106" l="1"/>
  <c r="D7288" i="106"/>
  <c r="D7289" i="106" l="1"/>
  <c r="A7290" i="106"/>
  <c r="A7291" i="106" l="1"/>
  <c r="D7290" i="106"/>
  <c r="A7292" i="106" l="1"/>
  <c r="D7291" i="106"/>
  <c r="A7293" i="106" l="1"/>
  <c r="D7292" i="106"/>
  <c r="D7293" i="106" l="1"/>
  <c r="A7294" i="106"/>
  <c r="D7294" i="106" l="1"/>
  <c r="A7295" i="106"/>
  <c r="A7296" i="106" l="1"/>
  <c r="D7295" i="106"/>
  <c r="A7297" i="106" l="1"/>
  <c r="D7296" i="106"/>
  <c r="D7297" i="106" l="1"/>
  <c r="A7298" i="106"/>
  <c r="D7298" i="106" l="1"/>
  <c r="A7299" i="106"/>
  <c r="D7299" i="106" l="1"/>
  <c r="A7300" i="106"/>
  <c r="A7301" i="106" l="1"/>
  <c r="D7300" i="106"/>
  <c r="D7301" i="106" l="1"/>
  <c r="A7302" i="106"/>
  <c r="A7303" i="106" l="1"/>
  <c r="D7302" i="106"/>
  <c r="D7303" i="106" l="1"/>
  <c r="A7304" i="106"/>
  <c r="A7305" i="106" l="1"/>
  <c r="D7304" i="106"/>
  <c r="D7305" i="106" l="1"/>
  <c r="A7306" i="106"/>
  <c r="D7306" i="106" l="1"/>
  <c r="A7307" i="106"/>
  <c r="D7307" i="106" l="1"/>
  <c r="A7308" i="106"/>
  <c r="A7309" i="106" l="1"/>
  <c r="D7308" i="106"/>
  <c r="D7309" i="106" l="1"/>
  <c r="A7310" i="106"/>
  <c r="D7310" i="106" l="1"/>
  <c r="A7311" i="106"/>
  <c r="A7312" i="106" l="1"/>
  <c r="D7311" i="106"/>
  <c r="A7313" i="106" l="1"/>
  <c r="D7312" i="106"/>
  <c r="A7314" i="106" l="1"/>
  <c r="D7313" i="106"/>
  <c r="D7314" i="106" l="1"/>
  <c r="A7315" i="106"/>
  <c r="A7316" i="106" l="1"/>
  <c r="D7315" i="106"/>
  <c r="D7316" i="106" l="1"/>
  <c r="A7317" i="106"/>
  <c r="A7318" i="106" l="1"/>
  <c r="D7317" i="106"/>
  <c r="A7319" i="106" l="1"/>
  <c r="D7318" i="106"/>
  <c r="D7319" i="106" l="1"/>
  <c r="A7320" i="106"/>
  <c r="A7321" i="106" l="1"/>
  <c r="D7320" i="106"/>
  <c r="D7321" i="106" l="1"/>
  <c r="A7322" i="106"/>
  <c r="A7323" i="106" l="1"/>
  <c r="D7322" i="106"/>
  <c r="A7324" i="106" l="1"/>
  <c r="D7323" i="106"/>
  <c r="A7325" i="106" l="1"/>
  <c r="D7324" i="106"/>
  <c r="A7326" i="106" l="1"/>
  <c r="D7325" i="106"/>
  <c r="D7326" i="106" l="1"/>
  <c r="A7327" i="106"/>
  <c r="A7328" i="106" l="1"/>
  <c r="D7327" i="106"/>
  <c r="A7329" i="106" l="1"/>
  <c r="D7328" i="106"/>
  <c r="D7329" i="106" l="1"/>
  <c r="A7330" i="106"/>
  <c r="A7331" i="106" l="1"/>
  <c r="D7330" i="106"/>
  <c r="A7332" i="106" l="1"/>
  <c r="D7331" i="106"/>
  <c r="D7332" i="106" l="1"/>
  <c r="A7333" i="106"/>
  <c r="D7333" i="106" l="1"/>
  <c r="A7334"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D7345" i="106" l="1"/>
  <c r="A7346" i="106"/>
  <c r="A7347" i="106" l="1"/>
  <c r="D7346" i="106"/>
  <c r="A7348" i="106" l="1"/>
  <c r="D7347" i="106"/>
  <c r="A7349" i="106" l="1"/>
  <c r="D7348" i="106"/>
  <c r="A7350" i="106" l="1"/>
  <c r="D7349" i="106"/>
  <c r="D7350" i="106" l="1"/>
  <c r="A7351" i="106"/>
  <c r="D7351" i="106" l="1"/>
  <c r="A7352" i="106"/>
  <c r="D7352" i="106" l="1"/>
  <c r="A7353" i="106"/>
  <c r="A7354" i="106" l="1"/>
  <c r="D7353" i="106"/>
  <c r="A7355" i="106" l="1"/>
  <c r="D7354" i="106"/>
  <c r="A7356" i="106" l="1"/>
  <c r="D7355" i="106"/>
  <c r="A7357" i="106" l="1"/>
  <c r="D7356" i="106"/>
  <c r="D7357" i="106" l="1"/>
  <c r="A7358" i="106"/>
  <c r="D7358" i="106" l="1"/>
  <c r="A7359" i="106"/>
  <c r="A7360" i="106" l="1"/>
  <c r="D7359" i="106"/>
  <c r="A7361" i="106" l="1"/>
  <c r="D7360" i="106"/>
  <c r="A7362" i="106" l="1"/>
  <c r="D7361" i="106"/>
  <c r="A7363" i="106" l="1"/>
  <c r="D7362" i="106"/>
  <c r="A7364" i="106" l="1"/>
  <c r="D7363" i="106"/>
  <c r="A7365" i="106" l="1"/>
  <c r="D7364" i="106"/>
  <c r="D7365" i="106" l="1"/>
  <c r="A7366" i="106"/>
  <c r="D7366" i="106" l="1"/>
  <c r="A7367" i="106"/>
  <c r="A7368" i="106" l="1"/>
  <c r="D7367" i="106"/>
  <c r="D7368" i="106" l="1"/>
  <c r="A7369" i="106"/>
  <c r="A7370" i="106" l="1"/>
  <c r="D7369" i="106"/>
  <c r="A7371" i="106" l="1"/>
  <c r="D7370" i="106"/>
  <c r="A7372" i="106" l="1"/>
  <c r="D7371" i="106"/>
  <c r="A7373" i="106" l="1"/>
  <c r="D7372" i="106"/>
  <c r="D7373" i="106" l="1"/>
  <c r="A7374" i="106"/>
  <c r="A7375" i="106" l="1"/>
  <c r="D7374" i="106"/>
  <c r="D7375" i="106" l="1"/>
  <c r="A7376" i="106"/>
  <c r="A7377" i="106" l="1"/>
  <c r="D7376" i="106"/>
  <c r="A7378" i="106" l="1"/>
  <c r="D7377" i="106"/>
  <c r="A7379" i="106" l="1"/>
  <c r="D7378" i="106"/>
  <c r="D7379" i="106" l="1"/>
  <c r="A7380" i="106"/>
  <c r="A7381" i="106" l="1"/>
  <c r="D7380" i="106"/>
  <c r="A7382" i="106" l="1"/>
  <c r="D7381" i="106"/>
  <c r="D7382" i="106" l="1"/>
  <c r="A7383" i="106"/>
  <c r="D7383" i="106" l="1"/>
  <c r="A7384" i="106"/>
  <c r="A7385" i="106" l="1"/>
  <c r="D7384" i="106"/>
  <c r="A7386" i="106" l="1"/>
  <c r="D7385" i="106"/>
  <c r="D7386" i="106" l="1"/>
  <c r="A7387" i="106"/>
  <c r="A7388" i="106" l="1"/>
  <c r="D7387" i="106"/>
  <c r="A7389" i="106" l="1"/>
  <c r="D7388" i="106"/>
  <c r="D7389" i="106" l="1"/>
  <c r="A7390" i="106"/>
  <c r="A7391" i="106" l="1"/>
  <c r="D7390" i="106"/>
  <c r="A7392" i="106" l="1"/>
  <c r="D7391" i="106"/>
  <c r="A7393" i="106" l="1"/>
  <c r="D7392" i="106"/>
  <c r="D7393" i="106" l="1"/>
  <c r="A7394" i="106"/>
  <c r="D7394" i="106" l="1"/>
  <c r="A7395" i="106"/>
  <c r="A7396" i="106" l="1"/>
  <c r="D7395" i="106"/>
  <c r="A7397" i="106" l="1"/>
  <c r="D7396" i="106"/>
  <c r="D7397" i="106" l="1"/>
  <c r="A7398" i="106"/>
  <c r="D7398" i="106" l="1"/>
  <c r="A7399" i="106"/>
  <c r="A7400" i="106" l="1"/>
  <c r="D7399" i="106"/>
  <c r="A7401" i="106" l="1"/>
  <c r="D7400" i="106"/>
  <c r="D7401" i="106" l="1"/>
  <c r="A7402" i="106"/>
  <c r="D7402" i="106" l="1"/>
  <c r="A7403" i="106"/>
  <c r="A7404" i="106" l="1"/>
  <c r="D7403" i="106"/>
  <c r="A7405" i="106" l="1"/>
  <c r="D7404" i="106"/>
  <c r="D7405" i="106" l="1"/>
  <c r="A7406" i="106"/>
  <c r="D7406" i="106" l="1"/>
  <c r="A7407" i="106"/>
  <c r="D7407" i="106" l="1"/>
  <c r="A7408" i="106"/>
  <c r="D7408" i="106" l="1"/>
  <c r="A7409" i="106"/>
  <c r="A7410" i="106" l="1"/>
  <c r="D7409" i="106"/>
  <c r="A7411" i="106" l="1"/>
  <c r="D7410" i="106"/>
  <c r="A7412" i="106" l="1"/>
  <c r="D7411" i="106"/>
  <c r="A7413" i="106" l="1"/>
  <c r="D7412" i="106"/>
  <c r="D7413" i="106" l="1"/>
  <c r="A7414"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D7425" i="106" l="1"/>
  <c r="A7426" i="106"/>
  <c r="A7427" i="106" l="1"/>
  <c r="D7426" i="106"/>
  <c r="A7428" i="106" l="1"/>
  <c r="D7427" i="106"/>
  <c r="A7429" i="106" l="1"/>
  <c r="D7428" i="106"/>
  <c r="D7429" i="106" l="1"/>
  <c r="A7430"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D7439" i="106" l="1"/>
  <c r="A7440" i="106"/>
  <c r="D7440" i="106" l="1"/>
  <c r="A7441" i="106"/>
  <c r="A7442" i="106" l="1"/>
  <c r="D7441" i="106"/>
  <c r="A7443" i="106" l="1"/>
  <c r="D7442" i="106"/>
  <c r="D7443" i="106" l="1"/>
  <c r="A7444" i="106"/>
  <c r="A7445" i="106" l="1"/>
  <c r="D7444" i="106"/>
  <c r="A7446" i="106" l="1"/>
  <c r="D7445" i="106"/>
  <c r="D7446" i="106" l="1"/>
  <c r="A7447" i="106"/>
  <c r="D7447" i="106" l="1"/>
  <c r="A7448" i="106"/>
  <c r="A7449" i="106" l="1"/>
  <c r="D7448" i="106"/>
  <c r="A7450" i="106" l="1"/>
  <c r="D7449" i="106"/>
  <c r="A7451" i="106" l="1"/>
  <c r="D7450" i="106"/>
  <c r="A7452" i="106" l="1"/>
  <c r="D7451" i="106"/>
  <c r="A7453" i="106" l="1"/>
  <c r="D7452" i="106"/>
  <c r="D7453" i="106" l="1"/>
  <c r="A7454" i="106"/>
  <c r="A7455" i="106" l="1"/>
  <c r="D7454" i="106"/>
  <c r="A7456" i="106" l="1"/>
  <c r="D7455" i="106"/>
  <c r="A7457" i="106" l="1"/>
  <c r="D7456" i="106"/>
  <c r="A7458" i="106" l="1"/>
  <c r="D7457" i="106"/>
  <c r="D7458" i="106" l="1"/>
  <c r="A7459" i="106"/>
  <c r="A7460" i="106" l="1"/>
  <c r="D7459" i="106"/>
  <c r="A7461" i="106" l="1"/>
  <c r="D7460" i="106"/>
  <c r="D7461" i="106" l="1"/>
  <c r="A7462" i="106"/>
  <c r="A7463" i="106" l="1"/>
  <c r="D7462" i="106"/>
  <c r="A7464" i="106" l="1"/>
  <c r="D7463" i="106"/>
  <c r="D7464" i="106" l="1"/>
  <c r="A7465" i="106"/>
  <c r="D7465" i="106" l="1"/>
  <c r="A7466" i="106"/>
  <c r="A7467" i="106" l="1"/>
  <c r="D7466" i="106"/>
  <c r="A7468" i="106" l="1"/>
  <c r="D7467" i="106"/>
  <c r="D7468" i="106" l="1"/>
  <c r="A7469" i="106"/>
  <c r="D7469" i="106" l="1"/>
  <c r="A7470" i="106"/>
  <c r="D7470" i="106" l="1"/>
  <c r="A7471" i="106"/>
  <c r="A7472" i="106" l="1"/>
  <c r="D7471" i="106"/>
  <c r="A7473" i="106" l="1"/>
  <c r="D7472" i="106"/>
  <c r="A7474" i="106" l="1"/>
  <c r="D7473" i="106"/>
  <c r="D7474" i="106" l="1"/>
  <c r="A7475" i="106"/>
  <c r="D7475" i="106" l="1"/>
  <c r="A7476" i="106"/>
  <c r="A7477" i="106" l="1"/>
  <c r="D7476" i="106"/>
  <c r="D7477" i="106" l="1"/>
  <c r="A7478" i="106"/>
  <c r="D7478" i="106" l="1"/>
  <c r="A7479" i="106"/>
  <c r="A7480" i="106" l="1"/>
  <c r="D7479" i="106"/>
  <c r="A7481" i="106" l="1"/>
  <c r="D7480" i="106"/>
  <c r="D7481" i="106" l="1"/>
  <c r="A7482" i="106"/>
  <c r="D7482" i="106" l="1"/>
  <c r="A7483" i="106"/>
  <c r="A7484" i="106" l="1"/>
  <c r="D7483" i="106"/>
  <c r="A7485" i="106" l="1"/>
  <c r="D7484" i="106"/>
  <c r="D7485" i="106" l="1"/>
  <c r="A7486" i="106"/>
  <c r="A7487" i="106" l="1"/>
  <c r="D7486" i="106"/>
  <c r="A7488" i="106" l="1"/>
  <c r="D7487" i="106"/>
  <c r="D7488" i="106" l="1"/>
  <c r="A7489" i="106"/>
  <c r="D7489" i="106" l="1"/>
  <c r="A7490" i="106"/>
  <c r="D7490" i="106" l="1"/>
  <c r="A7491" i="106"/>
  <c r="A7492" i="106" l="1"/>
  <c r="D7491" i="106"/>
  <c r="A7493" i="106" l="1"/>
  <c r="D7492" i="106"/>
  <c r="D7493" i="106" l="1"/>
  <c r="A7494" i="106"/>
  <c r="D7494" i="106" l="1"/>
  <c r="A7495" i="106"/>
  <c r="A7496" i="106" l="1"/>
  <c r="D7495" i="106"/>
  <c r="A7497" i="106" l="1"/>
  <c r="D7496" i="106"/>
  <c r="D7497" i="106" l="1"/>
  <c r="A7498" i="106"/>
  <c r="D7498" i="106" l="1"/>
  <c r="A7499" i="106"/>
  <c r="A7500" i="106" l="1"/>
  <c r="D7499" i="106"/>
  <c r="A7501" i="106" l="1"/>
  <c r="D7500" i="106"/>
  <c r="D7501" i="106" l="1"/>
  <c r="A7502" i="106"/>
  <c r="D7502" i="106" l="1"/>
  <c r="A7503" i="106"/>
  <c r="A7504" i="106" l="1"/>
  <c r="D7503" i="106"/>
  <c r="A7505" i="106" l="1"/>
  <c r="D7504" i="106"/>
  <c r="A7506" i="106" l="1"/>
  <c r="D7505" i="106"/>
  <c r="D7506" i="106" l="1"/>
  <c r="A7507" i="106"/>
  <c r="D7507" i="106" l="1"/>
  <c r="A7508" i="106"/>
  <c r="A7509" i="106" l="1"/>
  <c r="D7508" i="106"/>
  <c r="D7509" i="106" l="1"/>
  <c r="A7510" i="106"/>
  <c r="D7510" i="106" l="1"/>
  <c r="A7511" i="106"/>
  <c r="A7512" i="106" l="1"/>
  <c r="D7511" i="106"/>
  <c r="A7513" i="106" l="1"/>
  <c r="D7512" i="106"/>
  <c r="A7514" i="106" l="1"/>
  <c r="D7513" i="106"/>
  <c r="A7515" i="106" l="1"/>
  <c r="D7514" i="106"/>
  <c r="A7516" i="106" l="1"/>
  <c r="D7515" i="106"/>
  <c r="A7517" i="106" l="1"/>
  <c r="D7516" i="106"/>
  <c r="A7518" i="106" l="1"/>
  <c r="D7517" i="106"/>
  <c r="D7518" i="106" l="1"/>
  <c r="A7519" i="106"/>
  <c r="A7520" i="106" l="1"/>
  <c r="D7519" i="106"/>
  <c r="A7521" i="106" l="1"/>
  <c r="D7520" i="106"/>
  <c r="D7521" i="106" l="1"/>
  <c r="A7522" i="106"/>
  <c r="A7523" i="106" l="1"/>
  <c r="D7522" i="106"/>
  <c r="A7524" i="106" l="1"/>
  <c r="D7523" i="106"/>
  <c r="D7524" i="106" l="1"/>
  <c r="A7525" i="106"/>
  <c r="A7526" i="106" l="1"/>
  <c r="D7525" i="106"/>
  <c r="A7527" i="106" l="1"/>
  <c r="D7526" i="106"/>
  <c r="D7527" i="106" l="1"/>
  <c r="A7528" i="106"/>
  <c r="D7528" i="106" l="1"/>
  <c r="A7529" i="106"/>
  <c r="D7529" i="106" l="1"/>
  <c r="A7530" i="106"/>
  <c r="A7531" i="106" l="1"/>
  <c r="D7530" i="106"/>
  <c r="A7532" i="106" l="1"/>
  <c r="D7531" i="106"/>
  <c r="A7533" i="106" l="1"/>
  <c r="D7532" i="106"/>
  <c r="D7533" i="106" l="1"/>
  <c r="A7534" i="106"/>
  <c r="A7535" i="106" l="1"/>
  <c r="D7534" i="106"/>
  <c r="A7536" i="106" l="1"/>
  <c r="D7535" i="106"/>
  <c r="A7537" i="106" l="1"/>
  <c r="D7536" i="106"/>
  <c r="D7537" i="106" l="1"/>
  <c r="A7538" i="106"/>
  <c r="D7538" i="106" l="1"/>
  <c r="A7539" i="106"/>
  <c r="A7540" i="106" l="1"/>
  <c r="D7539" i="106"/>
  <c r="A7541" i="106" l="1"/>
  <c r="D7540" i="106"/>
  <c r="D7541" i="106" l="1"/>
  <c r="A7542" i="106"/>
  <c r="D7542" i="106" l="1"/>
  <c r="A7543" i="106"/>
  <c r="A7544" i="106" l="1"/>
  <c r="D7543" i="106"/>
  <c r="A7545" i="106" l="1"/>
  <c r="D7544" i="106"/>
  <c r="D7545" i="106" l="1"/>
  <c r="A7546" i="106"/>
  <c r="A7547" i="106" l="1"/>
  <c r="D7546" i="106"/>
  <c r="A7548" i="106" l="1"/>
  <c r="D7547" i="106"/>
  <c r="A7549" i="106" l="1"/>
  <c r="D7548" i="106"/>
  <c r="D7549" i="106" l="1"/>
  <c r="A7550" i="106"/>
  <c r="A7551" i="106" l="1"/>
  <c r="D7550" i="106"/>
  <c r="D7551" i="106" l="1"/>
  <c r="A7552" i="106"/>
  <c r="D7552" i="106" l="1"/>
  <c r="A7553" i="106"/>
  <c r="D7553" i="106" l="1"/>
  <c r="A7554" i="106"/>
  <c r="A7555" i="106" l="1"/>
  <c r="D7554" i="106"/>
  <c r="A7556" i="106" l="1"/>
  <c r="D7555" i="106"/>
  <c r="D7556" i="106" l="1"/>
  <c r="A7557" i="106"/>
  <c r="D7557" i="106" l="1"/>
  <c r="A7558" i="106"/>
  <c r="A7559" i="106" l="1"/>
  <c r="D7558" i="106"/>
  <c r="A7560" i="106" l="1"/>
  <c r="D7559" i="106"/>
  <c r="D7560" i="106" l="1"/>
  <c r="A7561" i="106"/>
  <c r="A7562" i="106" l="1"/>
  <c r="D7561" i="106"/>
  <c r="A7563" i="106" l="1"/>
  <c r="D7562" i="106"/>
  <c r="D7563" i="106" l="1"/>
  <c r="A7564" i="106"/>
  <c r="A7565" i="106" l="1"/>
  <c r="D7564" i="106"/>
  <c r="A7566" i="106" l="1"/>
  <c r="D7565" i="106"/>
  <c r="A7567" i="106" l="1"/>
  <c r="D7566" i="106"/>
  <c r="A7568" i="106" l="1"/>
  <c r="D7567" i="106"/>
  <c r="A7569" i="106" l="1"/>
  <c r="D7568" i="106"/>
  <c r="A7570" i="106" l="1"/>
  <c r="D7569" i="106"/>
  <c r="D7570" i="106" l="1"/>
  <c r="A7571" i="106"/>
  <c r="A7572" i="106" l="1"/>
  <c r="D7571" i="106"/>
  <c r="A7573" i="106" l="1"/>
  <c r="D7572" i="106"/>
  <c r="A7574" i="106" l="1"/>
  <c r="D7573" i="106"/>
  <c r="D7574" i="106" l="1"/>
  <c r="A7575" i="106"/>
  <c r="A7576" i="106" l="1"/>
  <c r="D7575" i="106"/>
  <c r="D7576" i="106" l="1"/>
  <c r="A7577" i="106"/>
  <c r="A7578" i="106" l="1"/>
  <c r="D7577" i="106"/>
  <c r="D7578" i="106" l="1"/>
  <c r="A7579" i="106"/>
  <c r="A7580" i="106" l="1"/>
  <c r="D7579" i="106"/>
  <c r="A7581" i="106" l="1"/>
  <c r="D7580" i="106"/>
  <c r="D7581" i="106" l="1"/>
  <c r="A7582" i="106"/>
  <c r="D7582" i="106" l="1"/>
  <c r="A7583" i="106"/>
  <c r="A7584" i="106" l="1"/>
  <c r="D7583" i="106"/>
  <c r="A7585" i="106" l="1"/>
  <c r="D7584" i="106"/>
  <c r="D7585" i="106" l="1"/>
  <c r="A7586" i="106"/>
  <c r="A7587" i="106" l="1"/>
  <c r="D7586" i="106"/>
  <c r="D7587" i="106" l="1"/>
  <c r="A7588" i="106"/>
  <c r="D7588" i="106" l="1"/>
  <c r="A7589" i="106"/>
  <c r="A7590" i="106" l="1"/>
  <c r="D7589" i="106"/>
  <c r="A7591" i="106" l="1"/>
  <c r="D7590" i="106"/>
  <c r="A7592" i="106" l="1"/>
  <c r="D7591" i="106"/>
  <c r="A7593" i="106" l="1"/>
  <c r="D7592" i="106"/>
  <c r="D7593" i="106" l="1"/>
  <c r="A7594" i="106"/>
  <c r="D7594" i="106" l="1"/>
  <c r="A7595" i="106"/>
  <c r="A7596" i="106" l="1"/>
  <c r="D7595" i="106"/>
  <c r="A7597" i="106" l="1"/>
  <c r="D7596" i="106"/>
  <c r="D7597" i="106" l="1"/>
  <c r="A7598" i="106"/>
  <c r="A7599" i="106" l="1"/>
  <c r="D7598" i="106"/>
  <c r="A7600" i="106" l="1"/>
  <c r="D7599" i="106"/>
  <c r="A7601" i="106" l="1"/>
  <c r="D7600" i="106"/>
  <c r="D7601" i="106" l="1"/>
  <c r="A7602" i="106"/>
  <c r="D7602" i="106" l="1"/>
  <c r="A7603" i="106"/>
  <c r="A7604" i="106" l="1"/>
  <c r="D7603" i="106"/>
  <c r="A7605" i="106" l="1"/>
  <c r="D7604" i="106"/>
  <c r="D7605" i="106" l="1"/>
  <c r="A7606" i="106"/>
  <c r="D7606" i="106" l="1"/>
  <c r="A7607" i="106"/>
  <c r="A7608" i="106" l="1"/>
  <c r="D7607" i="106"/>
  <c r="A7609" i="106" l="1"/>
  <c r="D7608" i="106"/>
  <c r="A7610" i="106" l="1"/>
  <c r="D7609" i="106"/>
  <c r="D7610" i="106" l="1"/>
  <c r="A7611" i="106"/>
  <c r="D7611" i="106" l="1"/>
  <c r="A7612" i="106"/>
  <c r="A7613" i="106" l="1"/>
  <c r="D7612" i="106"/>
  <c r="D7613" i="106" l="1"/>
  <c r="A7614" i="106"/>
  <c r="D7614" i="106" l="1"/>
  <c r="A7615" i="106"/>
  <c r="A7616" i="106" l="1"/>
  <c r="D7615" i="106"/>
  <c r="A7617" i="106" l="1"/>
  <c r="D7616" i="106"/>
  <c r="A7618" i="106" l="1"/>
  <c r="D7617" i="106"/>
  <c r="A7619" i="106" l="1"/>
  <c r="D7618" i="106"/>
  <c r="D7619" i="106" l="1"/>
  <c r="A7620" i="106"/>
  <c r="A7621" i="106" l="1"/>
  <c r="D7620" i="106"/>
  <c r="D7621" i="106" l="1"/>
  <c r="A7622" i="106"/>
  <c r="D7622" i="106" l="1"/>
  <c r="A7623"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D7646" i="106" l="1"/>
  <c r="A7647"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<sst xmlns="http://schemas.openxmlformats.org/spreadsheetml/2006/main" count="5279" uniqueCount="2235">
  <si>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</si>
  <si>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</si>
  <si>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</si>
  <si>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</si>
  <si>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</si>
  <si>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</si>
  <si>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</si>
  <si>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</si>
  <si>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</si>
  <si>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</si>
  <si>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</si>
  <si>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</si>
  <si>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</si>
  <si>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</si>
  <si>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</si>
  <si>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</si>
  <si>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</si>
  <si>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</si>
  <si>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</si>
  <si>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</si>
  <si>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</si>
  <si>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</si>
  <si>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</si>
  <si>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</si>
  <si>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</si>
  <si>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</si>
  <si>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</si>
  <si>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</si>
  <si>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</si>
  <si>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</si>
  <si>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</si>
  <si>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</si>
  <si>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</si>
  <si>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</si>
  <si>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</si>
  <si>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</si>
  <si>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</si>
  <si>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</si>
  <si>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</si>
  <si>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</si>
  <si>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</si>
  <si>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</si>
  <si>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</si>
  <si>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</si>
  <si>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</si>
  <si>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</si>
  <si>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</si>
  <si>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</si>
  <si>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</si>
  <si>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</si>
  <si>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</si>
  <si>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</si>
  <si>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</si>
  <si>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</si>
  <si>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</si>
  <si>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</si>
  <si>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</si>
  <si>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</si>
  <si>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</si>
  <si>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</si>
  <si>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</si>
  <si>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</si>
  <si>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</si>
  <si>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</si>
  <si>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</si>
  <si>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</si>
  <si>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</si>
  <si>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</si>
  <si>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</si>
  <si>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</si>
  <si>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</si>
  <si>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</si>
  <si>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</si>
  <si>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</si>
  <si>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</si>
  <si>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</si>
  <si>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</si>
  <si>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</si>
  <si>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</si>
  <si>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</si>
  <si>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</si>
  <si>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</si>
  <si>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</si>
  <si>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</si>
  <si>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</si>
  <si>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</si>
  <si>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</si>
  <si>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</si>
  <si>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</si>
  <si>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</si>
  <si>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</si>
  <si>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</si>
  <si>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</si>
  <si>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</si>
  <si>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</si>
  <si>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</si>
  <si>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</si>
  <si>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</si>
  <si>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</si>
  <si>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</si>
  <si>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</si>
  <si>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</si>
  <si>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</si>
  <si>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</si>
  <si>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</si>
  <si>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</si>
  <si>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</si>
  <si>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</si>
  <si>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</si>
  <si>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</si>
  <si>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</si>
  <si>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</si>
  <si>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</si>
  <si>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</si>
  <si>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</si>
  <si>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</si>
  <si>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</si>
  <si>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</si>
  <si>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</si>
  <si>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</si>
  <si>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</si>
  <si>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</si>
  <si>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</si>
  <si>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</si>
  <si>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</si>
  <si>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</si>
  <si>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</si>
  <si>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</si>
  <si>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</si>
  <si>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</si>
  <si>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</si>
  <si>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</si>
  <si>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</si>
  <si>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</si>
  <si>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</si>
  <si>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</si>
  <si>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</si>
  <si>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</si>
  <si>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</si>
  <si>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</si>
  <si>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</si>
  <si>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</si>
  <si>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</si>
  <si>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</si>
  <si>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</si>
  <si>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</si>
  <si>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</si>
  <si>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</si>
  <si>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</si>
  <si>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</si>
  <si>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</si>
  <si>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</si>
  <si>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</si>
  <si>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</si>
  <si>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</si>
  <si>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</si>
  <si>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</si>
  <si>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</si>
  <si>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</si>
  <si>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</si>
  <si>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</si>
  <si>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</si>
  <si>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</si>
  <si>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</si>
  <si>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</si>
  <si>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</si>
  <si>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</si>
  <si>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</si>
  <si>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</si>
  <si>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</si>
  <si>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</si>
  <si>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</si>
  <si>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</si>
  <si>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</si>
  <si>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</si>
  <si>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</si>
  <si>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</si>
  <si>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</si>
  <si>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</si>
  <si>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</si>
  <si>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</si>
  <si>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</si>
  <si>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</si>
  <si>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</si>
  <si>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</si>
  <si>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</si>
  <si>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</si>
  <si>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</si>
  <si>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</si>
  <si>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</si>
  <si>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</si>
  <si>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</si>
  <si>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</si>
  <si>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</si>
  <si>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</si>
  <si>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</si>
  <si>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</si>
  <si>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</si>
  <si>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</si>
  <si>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</si>
  <si>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</si>
  <si>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</si>
  <si>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</si>
  <si>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</si>
  <si>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</si>
  <si>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</si>
  <si>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</si>
  <si>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</si>
  <si>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</si>
  <si>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</si>
  <si>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</si>
  <si>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</si>
  <si>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</si>
  <si>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</si>
  <si>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</si>
  <si>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</si>
  <si>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</si>
  <si>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</si>
  <si>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</si>
  <si>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</si>
  <si>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</si>
  <si>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</si>
  <si>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</si>
  <si>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</si>
  <si>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</si>
  <si>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</si>
  <si>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</si>
  <si>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</si>
  <si>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</si>
  <si>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</si>
  <si>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</si>
  <si>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</si>
  <si>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</si>
  <si>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</si>
  <si>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</si>
  <si>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</si>
  <si>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</si>
  <si>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</si>
  <si>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</si>
  <si>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</si>
  <si>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</si>
  <si>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</si>
  <si>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</si>
  <si>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</si>
  <si>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</si>
  <si>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</si>
  <si>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</si>
  <si>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</si>
  <si>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</si>
  <si>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</si>
  <si>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</si>
  <si>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</si>
  <si>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</si>
  <si>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</si>
  <si>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</si>
  <si>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</si>
  <si>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</si>
  <si>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</si>
  <si>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</si>
  <si>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</si>
  <si>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</si>
  <si>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</si>
  <si>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</si>
  <si>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</si>
  <si>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</si>
  <si>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</si>
  <si>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</si>
  <si>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</si>
  <si>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</si>
  <si>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</si>
  <si>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</si>
  <si>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</si>
  <si>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</si>
  <si>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</si>
  <si>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</si>
  <si>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</si>
  <si>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</si>
  <si>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</si>
  <si>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</si>
  <si>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</si>
  <si>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</si>
  <si>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</si>
  <si>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</si>
  <si>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</si>
  <si>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</si>
  <si>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</si>
  <si>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</si>
  <si>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</si>
  <si>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</si>
  <si>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</si>
  <si>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</si>
  <si>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</si>
  <si>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</si>
  <si>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</si>
  <si>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</si>
  <si>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</si>
  <si>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</si>
  <si>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</si>
  <si>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</si>
  <si>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</si>
  <si>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</si>
  <si>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</si>
  <si>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</si>
  <si>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</si>
  <si>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</si>
  <si>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</si>
  <si>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</si>
  <si>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</si>
  <si>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</si>
  <si>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</si>
  <si>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</si>
  <si>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</si>
  <si>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</si>
  <si>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</si>
  <si>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</si>
  <si>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</si>
  <si>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</si>
  <si>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</si>
  <si>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</si>
  <si>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</si>
  <si>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</si>
  <si>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</si>
  <si>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</si>
  <si>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</si>
  <si>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</si>
  <si>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</si>
  <si>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</si>
  <si>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</si>
  <si>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</si>
  <si>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</si>
  <si>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</si>
  <si>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</si>
  <si>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</si>
  <si>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</si>
  <si>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</si>
  <si>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</si>
  <si>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</si>
  <si>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</si>
  <si>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</si>
  <si>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</si>
  <si>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</si>
  <si>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</si>
  <si>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</si>
  <si>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</si>
  <si>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</si>
  <si>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</si>
  <si>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</si>
  <si>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</si>
  <si>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</si>
  <si>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</si>
  <si>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</si>
  <si>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</si>
  <si>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</si>
  <si>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</si>
  <si>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</si>
  <si>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</si>
  <si>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</si>
  <si>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</si>
  <si>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</si>
  <si>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</si>
  <si>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</si>
  <si>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</si>
  <si>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</si>
  <si>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</si>
  <si>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</si>
  <si>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</si>
  <si>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</si>
  <si>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</si>
  <si>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</si>
  <si>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</si>
  <si>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</si>
  <si>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</si>
  <si>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</si>
  <si>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</si>
  <si>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</si>
  <si>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</si>
  <si>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</si>
  <si>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</si>
  <si>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</si>
  <si>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</si>
  <si>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</si>
  <si>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</si>
  <si>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</si>
  <si>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</si>
  <si>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</si>
  <si>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</si>
  <si>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</si>
  <si>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</si>
  <si>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</si>
  <si>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</si>
  <si>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</si>
  <si>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</si>
  <si>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</si>
  <si>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</si>
  <si>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</si>
  <si>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</si>
  <si>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</si>
  <si>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</si>
  <si>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</si>
  <si>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</si>
  <si>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</si>
  <si>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</si>
  <si>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</si>
  <si>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</si>
  <si>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</si>
  <si>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</si>
  <si>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</si>
  <si>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</si>
  <si>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</si>
  <si>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</si>
  <si>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</si>
  <si>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</si>
  <si>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</si>
  <si>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</si>
  <si>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</si>
  <si>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</si>
  <si>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</si>
  <si>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</si>
  <si>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</si>
  <si>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</si>
  <si>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</si>
  <si>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</si>
  <si>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</si>
  <si>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</si>
  <si>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</si>
  <si>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</si>
  <si>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</si>
  <si>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</si>
  <si>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</si>
  <si>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</si>
  <si>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</si>
  <si>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</si>
  <si>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</si>
  <si>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</si>
  <si>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</si>
  <si>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</si>
  <si>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</si>
  <si>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</si>
  <si>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</si>
  <si>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</si>
  <si>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</si>
  <si>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</si>
  <si>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</si>
  <si>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</si>
  <si>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</si>
  <si>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</si>
  <si>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</si>
  <si>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</si>
  <si>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</si>
  <si>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</si>
  <si>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</si>
  <si>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</si>
  <si>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</si>
  <si>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</si>
  <si>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</si>
  <si>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</si>
  <si>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</si>
  <si>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</si>
  <si>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</si>
  <si>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</si>
  <si>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</si>
  <si>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</si>
  <si>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</si>
  <si>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</si>
  <si>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</si>
  <si>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</si>
  <si>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</si>
  <si>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</si>
  <si>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</si>
  <si>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</si>
  <si>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</si>
  <si>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</si>
  <si>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</si>
  <si>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</si>
  <si>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</si>
  <si>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</si>
  <si>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</si>
  <si>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</si>
  <si>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</si>
  <si>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</si>
  <si>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</si>
  <si>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</si>
  <si>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</si>
  <si>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</si>
  <si>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</si>
  <si>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</si>
  <si>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</si>
  <si>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</si>
  <si>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</si>
  <si>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</si>
  <si>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</si>
  <si>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</si>
  <si>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</si>
  <si>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</si>
  <si>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</si>
  <si>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</si>
  <si>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</si>
  <si>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</si>
  <si>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</si>
  <si>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</si>
  <si>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</si>
  <si>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</si>
  <si>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</si>
  <si>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</si>
  <si>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</si>
  <si>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</si>
  <si>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</si>
  <si>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</si>
  <si>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</si>
  <si>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</si>
  <si>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</si>
  <si>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</si>
  <si>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</si>
  <si>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</si>
  <si>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</si>
  <si>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</si>
  <si>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</si>
  <si>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</si>
  <si>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</si>
  <si>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</si>
  <si>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</si>
  <si>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</si>
  <si>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</si>
  <si>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</si>
  <si>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</si>
  <si>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</si>
  <si>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</si>
  <si>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</si>
  <si>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</si>
  <si>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</si>
  <si>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</si>
  <si>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</si>
  <si>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</si>
  <si>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</si>
  <si>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</si>
  <si>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</si>
  <si>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</si>
  <si>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</si>
  <si>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</si>
  <si>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</si>
  <si>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</si>
  <si>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</si>
  <si>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</si>
  <si>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</si>
  <si>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</si>
  <si>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</si>
  <si>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</si>
  <si>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</si>
  <si>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</si>
  <si>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</si>
  <si>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</si>
  <si>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</si>
  <si>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</si>
  <si>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</si>
  <si>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</si>
  <si>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</si>
  <si>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</si>
  <si>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</si>
  <si>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</si>
  <si>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</si>
  <si>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</si>
  <si>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</si>
  <si>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</si>
  <si>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</si>
  <si>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</si>
  <si>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</si>
  <si>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</si>
  <si>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</si>
  <si>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</si>
  <si>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</si>
  <si>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</si>
  <si>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</si>
  <si>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</si>
  <si>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</si>
  <si>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</si>
  <si>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</si>
  <si>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</si>
  <si>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</si>
  <si>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</si>
  <si>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</si>
  <si>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</si>
  <si>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</si>
  <si>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</si>
  <si>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</si>
  <si>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</si>
  <si>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</si>
  <si>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</si>
  <si>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</si>
  <si>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</si>
  <si>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</si>
  <si>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</si>
  <si>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</si>
  <si>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</si>
  <si>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</si>
  <si>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</si>
  <si>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</si>
  <si>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</si>
  <si>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</si>
  <si>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</si>
  <si>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</si>
  <si>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</si>
  <si>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</si>
  <si>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</si>
  <si>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</si>
  <si>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</si>
  <si>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</si>
  <si>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</si>
  <si>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</si>
  <si>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</si>
  <si>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</si>
  <si>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</si>
  <si>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</si>
  <si>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</si>
  <si>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</si>
  <si>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</si>
  <si>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</si>
  <si>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</si>
  <si>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</si>
  <si>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</si>
  <si>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</si>
  <si>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</si>
  <si>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</si>
  <si>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</si>
  <si>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</si>
  <si>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</si>
  <si>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</si>
  <si>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</si>
  <si>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</si>
  <si>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</si>
  <si>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</si>
  <si>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</si>
  <si>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</si>
  <si>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</si>
  <si>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</si>
  <si>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</si>
  <si>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</si>
  <si>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</si>
  <si>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</si>
  <si>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</si>
  <si>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</si>
  <si>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</si>
  <si>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</si>
  <si>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</si>
  <si>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</si>
  <si>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</si>
  <si>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</si>
  <si>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</si>
  <si>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</si>
  <si>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</si>
  <si>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</si>
  <si>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</si>
  <si>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</si>
  <si>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</si>
  <si>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</si>
  <si>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</si>
  <si>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</si>
  <si>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</si>
  <si>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</si>
  <si>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</si>
  <si>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</si>
  <si>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</si>
  <si>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</si>
  <si>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</si>
  <si>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</si>
  <si>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</si>
  <si>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</si>
  <si>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</si>
  <si>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</si>
  <si>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</si>
  <si>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</si>
  <si>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</si>
  <si>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</si>
  <si>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</si>
  <si>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</si>
  <si>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</si>
  <si>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</si>
  <si>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</si>
  <si>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</si>
  <si>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</si>
  <si>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</si>
  <si>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</si>
  <si>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</si>
  <si>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</si>
  <si>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</si>
  <si>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</si>
  <si>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</si>
  <si>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</si>
  <si>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</si>
  <si>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</si>
  <si>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</si>
  <si>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</si>
  <si>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</si>
  <si>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</si>
  <si>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</si>
  <si>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</si>
  <si>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</si>
  <si>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</si>
  <si>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</si>
  <si>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</si>
  <si>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</si>
  <si>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</si>
  <si>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</si>
  <si>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</si>
  <si>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</si>
  <si>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</si>
  <si>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</si>
  <si>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</si>
  <si>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</si>
  <si>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</si>
  <si>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</si>
  <si>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</si>
  <si>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</si>
  <si>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</si>
  <si>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</si>
  <si>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</si>
  <si>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</si>
  <si>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</si>
  <si>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</si>
  <si>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</si>
  <si>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</si>
  <si>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</si>
  <si>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</si>
  <si>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</si>
  <si>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</si>
  <si>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</si>
  <si>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</si>
  <si>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</si>
  <si>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</si>
  <si>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</si>
  <si>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</si>
  <si>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</si>
  <si>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</si>
  <si>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</si>
  <si>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</si>
  <si>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</si>
  <si>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</si>
  <si>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</si>
  <si>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</si>
  <si>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</si>
  <si>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</si>
  <si>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</si>
  <si>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</si>
  <si>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</si>
  <si>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</si>
  <si>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</si>
  <si>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</si>
  <si>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</si>
  <si>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</si>
  <si>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</si>
  <si>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</si>
  <si>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</si>
  <si>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</si>
  <si>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</si>
  <si>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</si>
  <si>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</si>
  <si>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</si>
  <si>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</si>
  <si>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</si>
  <si>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</si>
  <si>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</si>
  <si>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</si>
  <si>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</si>
  <si>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</si>
  <si>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</si>
  <si>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</si>
  <si>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</si>
  <si>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</si>
  <si>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</si>
  <si>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</si>
  <si>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</si>
  <si>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</si>
  <si>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</si>
  <si>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</si>
  <si>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</si>
  <si>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</si>
  <si>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</si>
  <si>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</si>
  <si>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</si>
  <si>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</si>
  <si>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</si>
  <si>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</si>
  <si>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</si>
  <si>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</si>
  <si>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</si>
  <si>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</si>
  <si>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</si>
  <si>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</si>
  <si>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</si>
  <si>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</si>
  <si>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</si>
  <si>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</si>
  <si>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</si>
  <si>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</si>
  <si>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</si>
  <si>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</si>
  <si>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</si>
  <si>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</si>
  <si>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</si>
  <si>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</si>
  <si>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</si>
  <si>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</si>
  <si>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</si>
  <si>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</si>
  <si>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</si>
  <si>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</si>
  <si>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</si>
  <si>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</si>
  <si>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</si>
  <si>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</si>
  <si>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</si>
  <si>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</si>
  <si>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</si>
  <si>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</si>
  <si>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</si>
  <si>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</si>
  <si>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</si>
  <si>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</si>
  <si>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</si>
  <si>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</si>
  <si>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</si>
  <si>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</si>
  <si>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</si>
  <si>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</si>
  <si>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</si>
  <si>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</si>
  <si>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</si>
  <si>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</si>
  <si>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</si>
  <si>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</si>
  <si>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</si>
  <si>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</si>
  <si>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</si>
  <si>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</si>
  <si>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</si>
  <si>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</si>
  <si>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</si>
  <si>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</si>
  <si>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</si>
  <si>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</si>
  <si>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</si>
  <si>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</si>
  <si>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</si>
  <si>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</si>
  <si>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</si>
  <si>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</si>
  <si>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</si>
  <si>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</si>
  <si>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</si>
  <si>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</si>
  <si>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</si>
  <si>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</si>
  <si>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</si>
  <si>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</si>
  <si>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</si>
  <si>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</si>
  <si>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</si>
  <si>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</si>
  <si>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</si>
  <si>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</si>
  <si>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</si>
  <si>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</si>
  <si>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</si>
  <si>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</si>
  <si>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</si>
  <si>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</si>
  <si>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</si>
  <si>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</si>
  <si>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</si>
  <si>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</si>
  <si>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</si>
  <si>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</si>
  <si>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</si>
  <si>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</si>
  <si>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</si>
  <si>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</si>
  <si>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</si>
  <si>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</si>
  <si>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</si>
  <si>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</si>
  <si>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</si>
  <si>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</si>
  <si>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</si>
  <si>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</si>
  <si>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</si>
  <si>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</si>
  <si>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</si>
  <si>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</si>
  <si>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</si>
  <si>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</si>
  <si>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</si>
  <si>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</si>
  <si>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</si>
  <si>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</si>
  <si>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</si>
  <si>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</si>
  <si>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</si>
  <si>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</si>
  <si>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</si>
  <si>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</si>
  <si>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</si>
  <si>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</si>
  <si>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</si>
  <si>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</si>
  <si>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</si>
  <si>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</si>
  <si>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</si>
  <si>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</si>
  <si>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</si>
  <si>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</si>
  <si>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</si>
  <si>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</si>
  <si>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</si>
  <si>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</si>
  <si>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</si>
  <si>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</si>
  <si>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</si>
  <si>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</si>
  <si>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</si>
  <si>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</si>
  <si>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</si>
  <si>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</si>
  <si>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</si>
  <si>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</si>
  <si>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</si>
  <si>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</si>
  <si>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</si>
  <si>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</si>
  <si>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</si>
  <si>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</si>
  <si>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</si>
  <si>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</si>
  <si>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</si>
  <si>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</si>
  <si>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</si>
  <si>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</si>
  <si>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</si>
  <si>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</si>
  <si>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</si>
  <si>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</si>
  <si>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</si>
  <si>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</si>
  <si>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</si>
  <si>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</si>
  <si>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</si>
  <si>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</si>
  <si>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</si>
  <si>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</si>
  <si>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</si>
  <si>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</si>
  <si>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</si>
  <si>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</si>
  <si>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</si>
  <si>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</si>
  <si>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</si>
  <si>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</si>
  <si>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</si>
  <si>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</si>
  <si>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</si>
  <si>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</si>
  <si>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</si>
  <si>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</si>
  <si>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</si>
  <si>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</si>
  <si>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</si>
  <si>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</si>
  <si>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</si>
  <si>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</si>
  <si>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</si>
  <si>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</si>
  <si>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</si>
  <si>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</si>
  <si>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</si>
  <si>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</si>
  <si>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</si>
  <si>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</si>
  <si>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</si>
  <si>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</si>
  <si>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</si>
  <si>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</si>
  <si>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</si>
  <si>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</si>
  <si>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</si>
  <si>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</si>
  <si>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</si>
  <si>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</si>
  <si>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</si>
  <si>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</si>
  <si>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</si>
  <si>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</si>
  <si>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</si>
  <si>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</si>
  <si>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</si>
  <si>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</si>
  <si>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</si>
  <si>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</si>
  <si>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</si>
  <si>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</si>
  <si>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</si>
  <si>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</si>
  <si>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</si>
  <si>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</si>
  <si>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</si>
  <si>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</si>
  <si>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</si>
  <si>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</si>
  <si>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</si>
  <si>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</si>
  <si>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</si>
  <si>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</si>
  <si>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</si>
  <si>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</si>
  <si>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</si>
  <si>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</si>
  <si>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</si>
  <si>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</si>
  <si>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</si>
  <si>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</si>
  <si>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</si>
  <si>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</si>
  <si>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</si>
  <si>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</si>
  <si>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</si>
  <si>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</si>
  <si>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</si>
  <si>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</si>
  <si>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</si>
  <si>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</si>
  <si>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</si>
  <si>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</si>
  <si>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</si>
  <si>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</si>
  <si>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</si>
  <si>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</si>
  <si>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</si>
  <si>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</si>
  <si>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</si>
  <si>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</si>
  <si>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</si>
  <si>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</si>
  <si>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</si>
  <si>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</si>
  <si>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</si>
  <si>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</si>
  <si>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</si>
  <si>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</si>
  <si>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</si>
  <si>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</si>
  <si>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</si>
  <si>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</si>
  <si>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</si>
  <si>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</si>
  <si>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</si>
  <si>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</si>
  <si>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</si>
  <si>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</si>
  <si>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</si>
  <si>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</si>
  <si>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</si>
  <si>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</si>
  <si>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</si>
  <si>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</si>
  <si>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</si>
  <si>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</si>
  <si>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</si>
  <si>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</si>
  <si>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</si>
  <si>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</si>
  <si>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</si>
  <si>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</si>
  <si>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</si>
  <si>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</si>
  <si>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</si>
  <si>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</si>
  <si>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</si>
  <si>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</si>
  <si>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</si>
  <si>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</si>
  <si>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</si>
  <si>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</si>
  <si>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</si>
  <si>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</si>
  <si>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</si>
  <si>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</si>
  <si>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</si>
  <si>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</si>
  <si>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</si>
  <si>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</si>
  <si>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</si>
  <si>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</si>
  <si>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</si>
  <si>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</si>
  <si>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</si>
  <si>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</si>
  <si>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</si>
  <si>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</si>
  <si>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</si>
  <si>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</si>
  <si>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</si>
  <si>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</si>
  <si>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</si>
  <si>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</si>
  <si>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</si>
  <si>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</si>
  <si>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</si>
  <si>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</si>
  <si>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</si>
  <si>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</si>
  <si>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</si>
  <si>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</si>
  <si>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</si>
  <si>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</si>
  <si>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</si>
  <si>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</si>
  <si>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</si>
  <si>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</si>
  <si>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</si>
  <si>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</si>
  <si>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</si>
  <si>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</si>
  <si>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</si>
  <si>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</si>
  <si>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</si>
  <si>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</si>
  <si>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</si>
  <si>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</si>
  <si>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</si>
  <si>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</si>
  <si>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</si>
  <si>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</si>
  <si>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</si>
  <si>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</si>
  <si>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</si>
  <si>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</si>
  <si>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</si>
  <si>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</si>
  <si>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</si>
  <si>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</si>
  <si>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</si>
  <si>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</si>
  <si>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</si>
  <si>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</si>
  <si>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</si>
  <si>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</si>
  <si>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</si>
  <si>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</si>
  <si>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</si>
  <si>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</si>
  <si>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</si>
  <si>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</si>
  <si>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</si>
  <si>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</si>
  <si>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</si>
  <si>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</si>
  <si>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</si>
  <si>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</si>
  <si>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</si>
  <si>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</si>
  <si>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</si>
  <si>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</si>
  <si>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</si>
  <si>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</si>
  <si>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</si>
  <si>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</si>
  <si>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</si>
  <si>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</si>
  <si>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</si>
  <si>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</si>
  <si>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</si>
  <si>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</si>
  <si>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</si>
  <si>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</si>
  <si>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</si>
  <si>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</si>
  <si>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</si>
  <si>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</si>
  <si>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</si>
  <si>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</si>
  <si>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</si>
  <si>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</si>
  <si>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</si>
  <si>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</si>
  <si>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</si>
  <si>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</si>
  <si>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</si>
  <si>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</si>
  <si>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</si>
  <si>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</si>
  <si>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</si>
  <si>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</si>
  <si>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</si>
  <si>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</si>
  <si>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</si>
  <si>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</si>
  <si>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</si>
  <si>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</si>
  <si>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</si>
  <si>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</si>
  <si>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</si>
  <si>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</si>
  <si>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</si>
  <si>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</si>
  <si>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</si>
  <si>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</si>
  <si>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</si>
  <si>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</si>
  <si>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</si>
  <si>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</si>
  <si>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</si>
  <si>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</si>
  <si>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</si>
  <si>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</si>
  <si>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</si>
  <si>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</si>
  <si>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</si>
  <si>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</si>
  <si>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</si>
  <si>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</si>
  <si>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</si>
  <si>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</si>
  <si>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</si>
  <si>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</si>
  <si>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</si>
  <si>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</si>
  <si>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</si>
  <si>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</si>
  <si>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</si>
  <si>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</si>
  <si>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</si>
  <si>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</si>
  <si>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</si>
  <si>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</si>
  <si>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</si>
  <si>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</si>
  <si>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</si>
  <si>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</si>
  <si>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</si>
  <si>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</si>
  <si>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</si>
  <si>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</si>
  <si>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</si>
  <si>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</si>
  <si>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</si>
  <si>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</si>
  <si>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</si>
  <si>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</si>
  <si>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</si>
  <si>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</si>
  <si>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</si>
  <si>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</si>
  <si>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</si>
  <si>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</si>
  <si>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</si>
  <si>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</si>
  <si>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</si>
  <si>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</si>
  <si>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</si>
  <si>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</si>
  <si>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</si>
  <si>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</si>
  <si>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</si>
  <si>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</si>
  <si>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</si>
  <si>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</si>
  <si>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</si>
  <si>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</si>
  <si>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</si>
  <si>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</si>
  <si>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</si>
  <si>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</si>
  <si>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</si>
  <si>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</si>
  <si>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</si>
  <si>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</si>
  <si>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</si>
  <si>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</si>
  <si>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</si>
  <si>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</si>
  <si>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</si>
  <si>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</si>
  <si>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</si>
  <si>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</si>
  <si>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</si>
  <si>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</si>
  <si>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</si>
  <si>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</si>
  <si>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</si>
  <si>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</si>
  <si>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</si>
  <si>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</si>
  <si>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</si>
  <si>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</si>
  <si>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</si>
  <si>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</si>
  <si>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</si>
  <si>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</si>
  <si>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</si>
  <si>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</si>
  <si>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</si>
  <si>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</si>
  <si>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</si>
  <si>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</si>
  <si>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</si>
  <si>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</si>
  <si>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</si>
  <si>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</si>
  <si>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</si>
  <si>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</si>
  <si>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</si>
  <si>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</si>
  <si>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</si>
  <si>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</si>
  <si>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</si>
  <si>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</si>
  <si>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</si>
  <si>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</si>
  <si>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</si>
  <si>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</si>
  <si>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</si>
  <si>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</si>
  <si>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</si>
  <si>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</si>
  <si>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</si>
  <si>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</si>
  <si>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</si>
  <si>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</si>
  <si>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</si>
  <si>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</si>
  <si>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</si>
  <si>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</si>
  <si>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</si>
  <si>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</si>
  <si>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</si>
  <si>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</si>
  <si>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</si>
  <si>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</si>
  <si>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</si>
  <si>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</si>
  <si>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</si>
  <si>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</si>
  <si>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</si>
  <si>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</si>
  <si>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</si>
  <si>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</si>
  <si>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</si>
  <si>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</si>
  <si>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</si>
  <si>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</si>
  <si>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</si>
  <si>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</si>
  <si>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</si>
  <si>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</si>
  <si>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</si>
  <si>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</si>
  <si>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</si>
  <si>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</si>
  <si>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</si>
  <si>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</si>
  <si>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</si>
  <si>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</si>
  <si>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</si>
  <si>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</si>
  <si>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</si>
  <si>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</si>
  <si>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</si>
  <si>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</si>
  <si>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</si>
  <si>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</si>
  <si>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</si>
  <si>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</si>
  <si>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</si>
  <si>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</si>
  <si>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</si>
  <si>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</si>
  <si>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</si>
  <si>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</si>
  <si>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</si>
  <si>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</si>
  <si>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</si>
  <si>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</si>
  <si>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</si>
  <si>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</si>
  <si>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</si>
  <si>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</si>
  <si>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</si>
  <si>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</si>
  <si>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</si>
  <si>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</si>
  <si>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</si>
  <si>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</si>
  <si>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</si>
  <si>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</si>
  <si>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</si>
  <si>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</si>
  <si>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</si>
  <si>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</si>
  <si>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</si>
  <si>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</si>
  <si>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</si>
  <si>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</si>
  <si>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</si>
  <si>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</si>
  <si>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</si>
  <si>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</si>
  <si>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</si>
  <si>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</si>
  <si>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</si>
  <si>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</si>
  <si>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</si>
  <si>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</si>
  <si>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</si>
  <si>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</si>
  <si>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</si>
  <si>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</si>
  <si>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</si>
  <si>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</si>
  <si>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</si>
  <si>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</si>
  <si>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</si>
  <si>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</si>
  <si>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</si>
  <si>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</si>
  <si>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</si>
  <si>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</si>
  <si>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</si>
  <si>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</si>
  <si>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</si>
  <si>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</si>
  <si>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</si>
  <si>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</si>
  <si>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</si>
  <si>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</si>
  <si>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</si>
  <si>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</si>
  <si>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</si>
  <si>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</si>
  <si>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</si>
  <si>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</si>
  <si>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</si>
  <si>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</si>
  <si>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</si>
  <si>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</si>
  <si>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</si>
  <si>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</si>
  <si>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</si>
  <si>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</si>
  <si>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</si>
  <si>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</si>
  <si>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</si>
  <si>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</si>
  <si>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</si>
  <si>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</si>
  <si>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</si>
  <si>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</si>
  <si>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</si>
  <si>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</si>
  <si>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</si>
  <si>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</si>
  <si>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</si>
  <si>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</si>
  <si>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</si>
  <si>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</si>
  <si>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</si>
  <si>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</si>
  <si>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</si>
  <si>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</si>
  <si>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</si>
  <si>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</si>
  <si>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</si>
  <si>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</si>
  <si>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</si>
  <si>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</si>
  <si>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</si>
  <si>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</si>
  <si>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</si>
  <si>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</si>
  <si>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</si>
  <si>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</si>
  <si>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</si>
  <si>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</si>
  <si>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</si>
  <si>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</si>
  <si>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</si>
  <si>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</si>
  <si>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</si>
  <si>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</si>
  <si>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</si>
  <si>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</si>
  <si>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</si>
  <si>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</si>
  <si>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</si>
  <si>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</si>
  <si>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</si>
  <si>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</si>
  <si>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</si>
  <si>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</si>
  <si>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</si>
  <si>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</si>
  <si>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</si>
  <si>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</si>
  <si>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</si>
  <si>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</si>
  <si>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</si>
  <si>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</si>
  <si>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</si>
  <si>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</si>
  <si>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</si>
  <si>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</si>
  <si>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</si>
  <si>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</si>
  <si>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</si>
  <si>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</si>
  <si>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</si>
  <si>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</si>
  <si>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</si>
  <si>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</si>
  <si>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</si>
  <si>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</si>
  <si>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</si>
  <si>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</si>
  <si>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</si>
  <si>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</si>
  <si>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</si>
  <si>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</si>
  <si>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</si>
  <si>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</si>
  <si>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</si>
  <si>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</si>
  <si>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</si>
  <si>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</si>
  <si>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</si>
  <si>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</si>
  <si>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</si>
  <si>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</si>
  <si>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</si>
  <si>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</si>
  <si>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</si>
  <si>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</si>
  <si>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</si>
  <si>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</si>
  <si>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</si>
  <si>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</si>
  <si>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</si>
  <si>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</si>
  <si>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</si>
  <si>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</si>
  <si>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</si>
  <si>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</si>
  <si>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</si>
  <si>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</si>
  <si>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</si>
  <si>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</si>
  <si>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</si>
  <si>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</si>
  <si>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</si>
  <si>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</si>
  <si>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</si>
  <si>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</si>
  <si>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</si>
  <si>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</si>
  <si>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</si>
  <si>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</si>
  <si>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</si>
  <si>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</si>
  <si>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</si>
  <si>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</si>
  <si>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</si>
  <si>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</si>
  <si>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</si>
  <si>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</si>
  <si>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</si>
  <si>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</si>
  <si>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</si>
  <si>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</si>
  <si>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</si>
  <si>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</si>
  <si>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</si>
  <si>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</si>
  <si>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</si>
  <si>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</si>
  <si>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</si>
  <si>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</si>
  <si>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</si>
  <si>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</si>
  <si>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</si>
  <si>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</si>
  <si>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</si>
  <si>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</si>
  <si>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</si>
  <si>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</si>
  <si>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</si>
  <si>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</si>
  <si>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</si>
  <si>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</si>
  <si>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</si>
  <si>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</si>
  <si>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</si>
  <si>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</si>
  <si>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</si>
  <si>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</si>
  <si>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</si>
  <si>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</si>
  <si>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</si>
  <si>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</si>
  <si>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</si>
  <si>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</si>
  <si>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</si>
  <si>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</si>
  <si>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</si>
  <si>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</si>
  <si>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</si>
  <si>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</si>
  <si>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</si>
  <si>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</si>
  <si>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</si>
  <si>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</si>
  <si>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</si>
  <si>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</si>
  <si>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</si>
  <si>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</si>
  <si>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</si>
  <si>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</si>
  <si>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</si>
  <si>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</si>
  <si>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</si>
  <si>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</si>
  <si>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</si>
  <si>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</si>
  <si>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</si>
  <si>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</si>
  <si>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</si>
  <si>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</si>
  <si>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</si>
  <si>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</si>
  <si>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</si>
  <si>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</si>
  <si>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</si>
  <si>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</si>
  <si>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</si>
  <si>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</si>
  <si>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</si>
  <si>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</si>
  <si>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</si>
  <si>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</si>
  <si>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</si>
  <si>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</si>
  <si>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</si>
  <si>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</si>
  <si>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</si>
  <si>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</si>
  <si>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</si>
  <si>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</si>
  <si>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</si>
  <si>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</si>
  <si>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</si>
  <si>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</si>
  <si>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</si>
  <si>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</si>
  <si>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</si>
  <si>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</si>
  <si>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</si>
  <si>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</si>
  <si>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</si>
  <si>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</si>
  <si>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</si>
  <si>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</si>
  <si>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</si>
  <si>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</si>
  <si>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</si>
  <si>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</si>
  <si>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</si>
  <si>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</si>
  <si>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</si>
  <si>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</si>
  <si>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</si>
  <si>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</si>
  <si>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</si>
  <si>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</si>
  <si>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</si>
  <si>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</si>
  <si>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</si>
  <si>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</si>
  <si>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</si>
  <si>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</si>
  <si>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</si>
  <si>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</si>
  <si>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</si>
  <si>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</si>
  <si>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</si>
  <si>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</si>
  <si>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</si>
  <si>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</si>
  <si>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</si>
  <si>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</si>
  <si>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</si>
  <si>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</si>
  <si>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</si>
  <si>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</si>
  <si>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</si>
  <si>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</si>
  <si>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</si>
  <si>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</si>
  <si>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</si>
  <si>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</si>
  <si>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</si>
  <si>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</si>
  <si>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</si>
  <si>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</si>
  <si>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</si>
  <si>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</si>
  <si>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</si>
  <si>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</si>
  <si>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</si>
  <si>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</si>
  <si>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</si>
  <si>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</si>
  <si>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</si>
  <si>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</si>
  <si>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</si>
  <si>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</si>
  <si>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</si>
  <si>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</si>
  <si>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</si>
  <si>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</si>
  <si>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</si>
  <si>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</si>
  <si>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</si>
  <si>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</si>
  <si>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</si>
  <si>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</si>
  <si>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</si>
  <si>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</si>
  <si>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</si>
  <si>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</si>
  <si>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</si>
  <si>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</si>
  <si>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</si>
  <si>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</si>
  <si>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</si>
  <si>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</si>
  <si>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</si>
  <si>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</si>
  <si>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</si>
  <si>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</si>
  <si>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</si>
  <si>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</si>
  <si>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</si>
  <si>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</si>
  <si>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</si>
  <si>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</si>
  <si>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</si>
  <si>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</si>
  <si>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</si>
  <si>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</si>
  <si>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</si>
  <si>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</si>
  <si>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</si>
  <si>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</si>
  <si>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</si>
  <si>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</si>
  <si>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</si>
  <si>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</si>
  <si>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</si>
  <si>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</si>
  <si>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</si>
  <si>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</si>
  <si>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</si>
  <si>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</si>
  <si>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</si>
  <si>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</si>
  <si>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</si>
  <si>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</si>
  <si>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</si>
  <si>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</si>
  <si>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</si>
  <si>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</si>
  <si>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</si>
  <si>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</si>
  <si>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</si>
  <si>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</si>
  <si>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</si>
  <si>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</si>
  <si>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</si>
  <si>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</si>
  <si>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</si>
  <si>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</si>
  <si>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</si>
  <si>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</si>
  <si>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</si>
  <si>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</si>
  <si>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</si>
  <si>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</si>
  <si>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</si>
  <si>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</si>
  <si>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</si>
  <si>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</si>
  <si>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</si>
  <si>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</si>
  <si>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</si>
  <si>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</si>
  <si>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</si>
  <si>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</si>
  <si>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</si>
  <si>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</si>
  <si>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</si>
  <si>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</si>
  <si>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</si>
  <si>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</si>
  <si>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</si>
  <si>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</si>
  <si>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</si>
  <si>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</si>
  <si>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</si>
  <si>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</si>
  <si>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</si>
  <si>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</si>
  <si>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</si>
  <si>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</si>
  <si>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</si>
  <si>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</si>
  <si>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</si>
  <si>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</si>
  <si>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</si>
  <si>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</si>
  <si>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</si>
  <si>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</si>
  <si>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</si>
  <si>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</si>
  <si>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</si>
  <si>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</si>
  <si>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</si>
  <si>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</si>
  <si>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</si>
  <si>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</si>
  <si>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</si>
  <si>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</si>
  <si>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</si>
  <si>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</si>
  <si>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</si>
  <si>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</si>
  <si>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</si>
  <si>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</si>
  <si>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</si>
  <si>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</si>
  <si>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</si>
  <si>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</si>
  <si>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</si>
  <si>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</si>
  <si>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</si>
  <si>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</si>
  <si>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</si>
  <si>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</si>
  <si>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</si>
  <si>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</si>
  <si>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</si>
  <si>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</si>
  <si>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</si>
  <si>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</si>
  <si>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</si>
  <si>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</si>
  <si>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</si>
  <si>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</si>
  <si>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</si>
  <si>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</si>
  <si>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</si>
  <si>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</si>
  <si>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</si>
  <si>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</si>
  <si>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</si>
  <si>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</si>
  <si>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</si>
  <si>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</si>
  <si>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</si>
  <si>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</si>
  <si>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</si>
  <si>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</si>
  <si>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</si>
  <si>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</si>
  <si>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</si>
  <si>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</si>
  <si>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</si>
  <si>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</si>
  <si>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</si>
  <si>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</si>
  <si>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</si>
  <si>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</si>
  <si>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</si>
  <si>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</si>
  <si>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</si>
  <si>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</si>
  <si>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</si>
  <si>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</si>
  <si>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</si>
  <si>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</si>
  <si>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</si>
  <si>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</si>
  <si>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</si>
  <si>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</si>
  <si>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</si>
  <si>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</si>
  <si>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</si>
  <si>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</si>
  <si>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</si>
  <si>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</si>
  <si>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</si>
  <si>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</si>
  <si>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</si>
  <si>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</si>
  <si>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</si>
  <si>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</si>
  <si>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</si>
  <si>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</si>
  <si>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</si>
  <si>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</si>
  <si>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</si>
  <si>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</si>
  <si>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</si>
  <si>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</si>
  <si>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</si>
  <si>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</si>
  <si>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</si>
  <si>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</si>
  <si>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</si>
  <si>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</si>
  <si>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</si>
  <si>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</si>
  <si>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</si>
  <si>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</si>
  <si>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</si>
  <si>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</si>
  <si>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</si>
  <si>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</si>
  <si>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</si>
  <si>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</si>
  <si>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</si>
  <si>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</si>
  <si>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</si>
  <si>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</si>
  <si>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</si>
  <si>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</si>
  <si>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</si>
  <si>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</si>
  <si>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</si>
  <si>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</si>
  <si>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</si>
  <si>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</si>
  <si>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</si>
  <si>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</si>
  <si>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</si>
  <si>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</si>
  <si>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</si>
  <si>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</si>
  <si>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</si>
  <si>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</si>
  <si>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</si>
  <si>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</si>
  <si>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</si>
  <si>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</si>
  <si>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</si>
  <si>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</si>
  <si>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</si>
  <si>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</si>
  <si>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</si>
  <si>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</si>
  <si>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</si>
  <si>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</si>
  <si>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</si>
  <si>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</si>
  <si>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</si>
  <si>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</si>
  <si>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</si>
  <si>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</si>
  <si>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</si>
  <si>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</si>
  <si>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</si>
  <si>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</si>
  <si>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</si>
  <si>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</si>
  <si>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</si>
  <si>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</si>
  <si>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</si>
  <si>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</si>
  <si>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</si>
  <si>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</si>
  <si>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</si>
  <si>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</si>
  <si>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</si>
  <si>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</si>
  <si>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</si>
  <si>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</si>
  <si>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</si>
  <si>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</si>
  <si>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</si>
  <si>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</si>
  <si>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</si>
  <si>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</si>
  <si>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</si>
  <si>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</si>
  <si>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</si>
  <si>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</si>
  <si>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</si>
  <si>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</si>
  <si>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</si>
  <si>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</si>
  <si>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</si>
  <si>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</si>
  <si>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</si>
  <si>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</si>
  <si>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</si>
  <si>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</si>
  <si>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</si>
  <si>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</si>
  <si>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</si>
  <si>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</si>
  <si>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</si>
  <si>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</si>
  <si>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</si>
  <si>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</si>
  <si>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</si>
  <si>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</si>
  <si>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</si>
  <si>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</si>
  <si>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</si>
  <si>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</si>
  <si>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</si>
  <si>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</si>
  <si>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</si>
  <si>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</si>
  <si>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</si>
  <si>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</si>
  <si>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</si>
  <si>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</si>
  <si>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</si>
  <si>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</si>
  <si>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</si>
  <si>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</si>
  <si>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</si>
  <si>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</si>
  <si>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</si>
  <si>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</si>
  <si>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</si>
  <si>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</si>
  <si>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</si>
  <si>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</si>
  <si>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</si>
  <si>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</si>
  <si>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</si>
  <si>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</si>
  <si>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</si>
  <si>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</si>
  <si>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</si>
  <si>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</si>
  <si>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</si>
  <si>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</si>
  <si>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</si>
  <si>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</si>
  <si>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</si>
  <si>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</si>
  <si>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</si>
  <si>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</si>
  <si>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</si>
  <si>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</si>
  <si>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</si>
  <si>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</si>
  <si>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</si>
  <si>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</si>
  <si>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</si>
  <si>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</si>
  <si>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</si>
  <si>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</si>
  <si>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</si>
  <si>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</si>
  <si>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</si>
  <si>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</si>
  <si>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</si>
  <si>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</si>
  <si>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</si>
  <si>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</si>
  <si>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</si>
  <si>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</si>
  <si>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</si>
  <si>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</si>
  <si>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</si>
  <si>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</si>
  <si>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x</t>
  </si>
  <si>
    <t>49-081-0340-02</t>
  </si>
  <si>
    <t>4280 4th Avenue</t>
  </si>
  <si>
    <t>Terri Vandewiele</t>
  </si>
  <si>
    <t>tvandewiele@silvis34.com</t>
  </si>
  <si>
    <t>Rock Island</t>
  </si>
  <si>
    <t>Thomas R. Peffer, CPA</t>
  </si>
  <si>
    <t>tpeffer@gorenzcpa.com</t>
  </si>
  <si>
    <t>2008 Working Cash Bonds</t>
  </si>
  <si>
    <t>2016A Working Cash</t>
  </si>
  <si>
    <t>2016B Life Safety Bonds</t>
  </si>
  <si>
    <t>East Moline #37</t>
  </si>
  <si>
    <t>East Moline #37, UTHS #30</t>
  </si>
  <si>
    <t>Blackhawk Area Special Education District</t>
  </si>
  <si>
    <t>Rock Island Co. Regional Office</t>
  </si>
  <si>
    <t>Carbon Cliff/Bartsow; Hampton</t>
  </si>
  <si>
    <t>Silvis School District No. 34</t>
  </si>
  <si>
    <t>2017-001</t>
  </si>
  <si>
    <t>Inadequate Treasurer's Bond coverage</t>
  </si>
  <si>
    <t>Title II Purchased Services</t>
  </si>
  <si>
    <t>Title I Purchased Services</t>
  </si>
  <si>
    <t>EL Education</t>
  </si>
  <si>
    <t>The opinion is adverse due to the use of the Regulatory Basis of Accounting.</t>
  </si>
  <si>
    <t xml:space="preserve">                              For the Year Ended June 30, 2018                              </t>
  </si>
  <si>
    <t>ISBE</t>
  </si>
  <si>
    <t>Expenditures/Disbursements</t>
  </si>
  <si>
    <t>Project</t>
  </si>
  <si>
    <t xml:space="preserve">Prior to </t>
  </si>
  <si>
    <t>7/01/2017</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</si>
  <si>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</si>
  <si>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</si>
  <si>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</si>
  <si>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</si>
  <si>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</si>
  <si>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</si>
  <si>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</si>
  <si>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</si>
  <si>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</si>
  <si>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17-4210-00</t>
  </si>
  <si>
    <t>N/A</t>
  </si>
  <si>
    <t xml:space="preserve">      (M) National School Lunch Program</t>
  </si>
  <si>
    <t>18-4210-00</t>
  </si>
  <si>
    <t>(3)</t>
  </si>
  <si>
    <t>08-4220-00</t>
  </si>
  <si>
    <t>09-4220-00</t>
  </si>
  <si>
    <t>Child Nutrition Commodity/Salvage</t>
  </si>
  <si>
    <t>08-4250-00</t>
  </si>
  <si>
    <t xml:space="preserve">      (M) National School Breakfast Program</t>
  </si>
  <si>
    <t>17-4220-00</t>
  </si>
  <si>
    <t>18-4220-00</t>
  </si>
  <si>
    <t xml:space="preserve">      (M) Fresh Fruit and Vegetables</t>
  </si>
  <si>
    <t>17-4240-17</t>
  </si>
  <si>
    <t>18-4240-18</t>
  </si>
  <si>
    <t>Department of Defense</t>
  </si>
  <si>
    <t xml:space="preserve">     Fruits and Vegetables (2)</t>
  </si>
  <si>
    <t>FY 2017</t>
  </si>
  <si>
    <t xml:space="preserve">     (M) Fruits and Vegetables (2)</t>
  </si>
  <si>
    <t>FY 2018</t>
  </si>
  <si>
    <t xml:space="preserve">      Food Donation (2)</t>
  </si>
  <si>
    <t xml:space="preserve">      (M) Food Donation (2)</t>
  </si>
  <si>
    <t>Total U.S. Department of Agriculture - Pass-through program</t>
  </si>
  <si>
    <t xml:space="preserve">U.S. Department of Education - </t>
  </si>
  <si>
    <t>84.010</t>
  </si>
  <si>
    <t>17-4300-00</t>
  </si>
  <si>
    <t>18-4300-00</t>
  </si>
  <si>
    <t>ARRA - Title I Low Income</t>
  </si>
  <si>
    <t>11-4851-00</t>
  </si>
  <si>
    <t>Title I - School Improvement</t>
  </si>
  <si>
    <t>IDEA - Room &amp; Board</t>
  </si>
  <si>
    <t>07-4625-XC</t>
  </si>
  <si>
    <t>08-4625-XC</t>
  </si>
  <si>
    <t>84.027A</t>
  </si>
  <si>
    <t>11-4625-XC</t>
  </si>
  <si>
    <t>(M)ARRA - Education Jobs Fund Program</t>
  </si>
  <si>
    <t>84.410A</t>
  </si>
  <si>
    <t>11-4880-00</t>
  </si>
  <si>
    <t>12-4880-00</t>
  </si>
  <si>
    <t>17-4932-00</t>
  </si>
  <si>
    <t>18-4932-00</t>
  </si>
  <si>
    <t xml:space="preserve">     Title III - Bilingual Ed Excellence Grant</t>
  </si>
  <si>
    <t>16-4998-El</t>
  </si>
  <si>
    <t>Pass Through from</t>
  </si>
  <si>
    <t xml:space="preserve">    East Moline School</t>
  </si>
  <si>
    <t xml:space="preserve">    District No. 37:</t>
  </si>
  <si>
    <t xml:space="preserve">     Title III - LIPLEPS</t>
  </si>
  <si>
    <t>17-4909-00</t>
  </si>
  <si>
    <t>18-4909-00</t>
  </si>
  <si>
    <t xml:space="preserve">    Black Hawk Area Special</t>
  </si>
  <si>
    <t xml:space="preserve">    Education District:</t>
  </si>
  <si>
    <t xml:space="preserve">       IDEA Flow Through</t>
  </si>
  <si>
    <t>17-4620-00</t>
  </si>
  <si>
    <t>18-4620-00</t>
  </si>
  <si>
    <t>Total U.S. Department of Education - Pass-through programs</t>
  </si>
  <si>
    <t>Federal Emergency Management Agency</t>
  </si>
  <si>
    <t>Illinois Emergency Management Agency</t>
  </si>
  <si>
    <t>Federal Disaster funds - Snow removal</t>
  </si>
  <si>
    <t>07-4999-00</t>
  </si>
  <si>
    <t>Total Federal Emergeny Management Agency - Pass-through programs</t>
  </si>
  <si>
    <t xml:space="preserve">U.S. Department of Health &amp; Human Services - </t>
  </si>
  <si>
    <t>Illinois Department of Healthcare and Family Services</t>
  </si>
  <si>
    <t>Medicaid Administrative Outreach</t>
  </si>
  <si>
    <t>17-4991-00</t>
  </si>
  <si>
    <t>18-4991-00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</si>
  <si>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</si>
  <si>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</si>
  <si>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</si>
  <si>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</si>
  <si>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</si>
  <si>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</si>
  <si>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</si>
  <si>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2018</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</si>
  <si>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</si>
  <si>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</si>
  <si>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</si>
  <si>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</si>
  <si>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</si>
  <si>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</si>
  <si>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</si>
  <si>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</si>
  <si>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</si>
  <si>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East Moline, IL</t>
  </si>
  <si>
    <t>NONE</t>
  </si>
  <si>
    <t>Of the federal expenditures presented in the schedule, Silvis School District No. 34 provided federal awards to subrecipients as follows:</t>
  </si>
  <si>
    <t>The accompanying Schedule of Expenditures of Federal Awards includes the federal grant activity of Silvis School District No. 34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</si>
  <si>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</si>
  <si>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10.553 &amp; 10.555 &amp; 10.582</t>
  </si>
  <si>
    <t>Child Nutrition Cluster</t>
  </si>
  <si>
    <t>RESOLVED</t>
  </si>
  <si>
    <t>18-4240-17</t>
  </si>
  <si>
    <t>Note 6: Relationship to Basic Financial Statements and Program Financial Reports</t>
  </si>
  <si>
    <t>Federal awards received are reflected in the District's financial statements within the Educational Fund as receipts from federal sources. Amounts reported in the accompanying Schedule of Federal Awards agree with amounts reported in the Program Financial Report for programs which have filed final reports as of June 30, 2018, with ISBE.</t>
  </si>
  <si>
    <t>Previously Issued Bonds</t>
  </si>
  <si>
    <t>Commodities</t>
  </si>
  <si>
    <t>Page 10 - Line 74 - Rebates</t>
  </si>
  <si>
    <t>Page 10 - Line 81  - Athletic Admissions</t>
  </si>
  <si>
    <t>Page 10 - Line 91 - Textbook Sales</t>
  </si>
  <si>
    <t>Page 11 - Line 106 - Book Fines</t>
  </si>
  <si>
    <t xml:space="preserve">Page 11 - Line 107 - </t>
  </si>
  <si>
    <t>Operations and Maintenance Fund - Refunds</t>
  </si>
  <si>
    <t>Transportation Fund - Refunds and rebates</t>
  </si>
  <si>
    <t>Educational Fund - E-rate $59,629 and refunds $5,181</t>
  </si>
  <si>
    <t>Page 12 - Line 171 - Teacher mentoring $4,182 and Library grant $1,500</t>
  </si>
  <si>
    <t>Page 15 - Line 41 - Playground monitor salaries and benefits</t>
  </si>
  <si>
    <t>Page 17 - Line 136 - Building maintenance services</t>
  </si>
  <si>
    <t>Page 18 - Line 171 - Bond Fees</t>
  </si>
  <si>
    <t>Page 19 - Line 237 - Playground monitor benefits</t>
  </si>
  <si>
    <t>066-005027</t>
  </si>
  <si>
    <t>2011 Life Safety Bonds</t>
  </si>
  <si>
    <t>10-2200-300</t>
  </si>
  <si>
    <t>Commodity Revenue - Not recorded on Cash Basis</t>
  </si>
  <si>
    <t>see embedded PDF version</t>
  </si>
  <si>
    <t>Silvis GSD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</si>
</sst>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0.000_);\(#,##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amily val="3"/>
    </font>
    <font>
      <b/>
      <sz val="12"/>
      <name val="Times New Roman"/>
      <family val="1"/>
    </font>
    <font>
      <sz val="10"/>
      <name val="Courier"/>
    </font>
    <font>
      <b/>
      <u/>
      <sz val="11"/>
      <name val="Times New Roman"/>
      <family val="1"/>
    </font>
    <font>
      <u val="singleAccounting"/>
      <sz val="10"/>
      <name val="Times New Roman"/>
      <family val="1"/>
    </font>
    <font>
      <u/>
      <sz val="10"/>
      <name val="Times New Roman"/>
      <family val="1"/>
    </font>
    <font>
      <b/>
      <sz val="10"/>
      <name val="Times New Roman"/>
      <family val="1"/>
    </font>
    <font>
      <b/>
      <sz val="10"/>
      <name val="Times New Roman"/>
      <family val="1"/>
    </font>
    <font>
      <u val="doubleAccounting"/>
      <sz val="10"/>
      <name val="Times New Roman"/>
      <family val="1"/>
    </font>
    <font>
      <sz val="10"/>
      <color rgb="FFFF0000"/>
      <name val="Times New Roman"/>
      <family val="1"/>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37" fontId="139" fillId="0" borderId="0"/>
    <xf numFmtId="43" fontId="44" fillId="0" borderId="0" applyFont="0" applyFill="0" applyBorder="0" applyAlignment="0" applyProtection="0"/>
    <xf numFmtId="9" fontId="44" fillId="0" borderId="0" applyFont="0" applyFill="0" applyBorder="0" applyAlignment="0" applyProtection="0"/>
  </cellStyleXfs>
  <cellXfs count="259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37" fontId="139" fillId="0" borderId="0" xfId="20" applyFill="1"/>
    <xf numFmtId="37" fontId="139" fillId="0" borderId="0" xfId="20" applyFill="1" applyAlignment="1">
      <alignment vertical="center"/>
    </xf>
    <xf numFmtId="37" fontId="44" fillId="0" borderId="0" xfId="20" applyFont="1" applyFill="1"/>
    <xf numFmtId="37" fontId="44" fillId="0" borderId="0" xfId="20" applyFont="1" applyFill="1" applyBorder="1" applyAlignment="1">
      <alignment horizontal="centerContinuous"/>
    </xf>
    <xf numFmtId="37" fontId="44" fillId="0" borderId="0" xfId="20" applyFont="1" applyFill="1" applyBorder="1" applyAlignment="1">
      <alignment horizontal="left"/>
    </xf>
    <xf numFmtId="37" fontId="44" fillId="0" borderId="0" xfId="20" applyFont="1" applyFill="1" applyBorder="1"/>
    <xf numFmtId="37" fontId="44" fillId="0" borderId="0" xfId="20" applyFont="1" applyFill="1" applyBorder="1" applyAlignment="1">
      <alignment horizontal="center"/>
    </xf>
    <xf numFmtId="37" fontId="139" fillId="0" borderId="0" xfId="20" applyFill="1" applyBorder="1" applyAlignment="1">
      <alignment vertical="center"/>
    </xf>
    <xf numFmtId="37" fontId="44" fillId="0" borderId="0" xfId="20" applyFont="1" applyFill="1" applyAlignment="1">
      <alignment horizontal="left" vertical="center"/>
    </xf>
    <xf numFmtId="37" fontId="44" fillId="0" borderId="0" xfId="20" applyFont="1" applyFill="1" applyAlignment="1">
      <alignment horizontal="center" vertical="center"/>
    </xf>
    <xf numFmtId="37" fontId="44" fillId="0" borderId="0" xfId="20" quotePrefix="1" applyFont="1" applyFill="1" applyAlignment="1">
      <alignment horizontal="center" vertical="center"/>
    </xf>
    <xf numFmtId="37" fontId="44" fillId="0" borderId="0" xfId="20" applyFont="1" applyFill="1" applyAlignment="1">
      <alignment vertical="center"/>
    </xf>
    <xf numFmtId="37" fontId="44" fillId="0" borderId="0" xfId="20" applyFont="1" applyFill="1" applyAlignment="1">
      <alignment horizontal="left"/>
    </xf>
    <xf numFmtId="37" fontId="44" fillId="0" borderId="0" xfId="20" applyFont="1" applyFill="1" applyAlignment="1">
      <alignment horizontal="center"/>
    </xf>
    <xf numFmtId="14" fontId="44" fillId="0" borderId="0" xfId="20" applyNumberFormat="1" applyFont="1" applyFill="1" applyAlignment="1">
      <alignment horizontal="center"/>
    </xf>
    <xf numFmtId="37" fontId="142" fillId="0" borderId="0" xfId="20" quotePrefix="1" applyFont="1" applyFill="1" applyAlignment="1">
      <alignment horizontal="left" vertical="center"/>
    </xf>
    <xf numFmtId="37" fontId="141" fillId="0" borderId="0" xfId="20" applyFont="1" applyFill="1" applyAlignment="1">
      <alignment horizontal="center" vertical="center"/>
    </xf>
    <xf numFmtId="37" fontId="44" fillId="0" borderId="0" xfId="20" applyNumberFormat="1" applyFont="1" applyFill="1" applyAlignment="1" applyProtection="1">
      <alignment vertical="center"/>
    </xf>
    <xf numFmtId="37" fontId="44" fillId="0" borderId="0" xfId="20" applyNumberFormat="1" applyFont="1" applyFill="1" applyAlignment="1" applyProtection="1">
      <alignment horizontal="center" vertical="center"/>
    </xf>
    <xf numFmtId="37" fontId="142" fillId="0" borderId="0" xfId="20" applyFont="1" applyFill="1" applyAlignment="1">
      <alignment horizontal="center"/>
    </xf>
    <xf numFmtId="37" fontId="142" fillId="0" borderId="0" xfId="20" applyNumberFormat="1" applyFont="1" applyFill="1" applyAlignment="1" applyProtection="1">
      <alignment horizontal="center"/>
    </xf>
    <xf numFmtId="37" fontId="44" fillId="0" borderId="0" xfId="20" applyNumberFormat="1" applyFont="1" applyFill="1" applyProtection="1"/>
    <xf numFmtId="37" fontId="44" fillId="0" borderId="0" xfId="20" applyNumberFormat="1" applyFont="1" applyFill="1" applyAlignment="1" applyProtection="1">
      <alignment horizontal="center"/>
    </xf>
    <xf numFmtId="37" fontId="143" fillId="0" borderId="0" xfId="20" applyFont="1" applyFill="1" applyAlignment="1">
      <alignment horizontal="left"/>
    </xf>
    <xf numFmtId="37" fontId="143" fillId="0" borderId="0" xfId="20" applyFont="1" applyFill="1" applyAlignment="1">
      <alignment horizontal="left" indent="1"/>
    </xf>
    <xf numFmtId="37" fontId="44" fillId="0" borderId="0" xfId="20" applyFont="1" applyFill="1" applyAlignment="1">
      <alignment horizontal="right"/>
    </xf>
    <xf numFmtId="37" fontId="44" fillId="0" borderId="0" xfId="20" applyFont="1" applyFill="1" applyAlignment="1">
      <alignment horizontal="left" indent="1"/>
    </xf>
    <xf numFmtId="181" fontId="44" fillId="0" borderId="0" xfId="20" applyNumberFormat="1" applyFont="1" applyFill="1" applyAlignment="1" applyProtection="1">
      <alignment horizontal="center"/>
    </xf>
    <xf numFmtId="182" fontId="44" fillId="0" borderId="0" xfId="20" applyNumberFormat="1" applyFont="1" applyFill="1"/>
    <xf numFmtId="37" fontId="139" fillId="0" borderId="0" xfId="20" applyFill="1" applyAlignment="1">
      <alignment horizontal="center" vertical="center"/>
    </xf>
    <xf numFmtId="182" fontId="44" fillId="0" borderId="0" xfId="20" applyNumberFormat="1" applyFont="1" applyFill="1" applyProtection="1"/>
    <xf numFmtId="182" fontId="44" fillId="0" borderId="0" xfId="20" applyNumberFormat="1" applyFont="1" applyFill="1" applyAlignment="1" applyProtection="1">
      <alignment horizontal="right"/>
    </xf>
    <xf numFmtId="37" fontId="44" fillId="0" borderId="0" xfId="20" quotePrefix="1" applyFont="1" applyFill="1" applyAlignment="1">
      <alignment horizontal="center"/>
    </xf>
    <xf numFmtId="182" fontId="44" fillId="0" borderId="0" xfId="20" applyNumberFormat="1" applyFont="1" applyFill="1" applyAlignment="1">
      <alignment horizontal="center"/>
    </xf>
    <xf numFmtId="182" fontId="44" fillId="0" borderId="0" xfId="20" applyNumberFormat="1" applyFont="1" applyFill="1" applyBorder="1"/>
    <xf numFmtId="41" fontId="44" fillId="0" borderId="0" xfId="20" applyNumberFormat="1" applyFont="1" applyFill="1" applyBorder="1"/>
    <xf numFmtId="37" fontId="44" fillId="0" borderId="0" xfId="20" applyFont="1" applyFill="1" applyAlignment="1">
      <alignment horizontal="left" indent="2"/>
    </xf>
    <xf numFmtId="37" fontId="44" fillId="0" borderId="0" xfId="20" applyFont="1" applyFill="1" applyAlignment="1">
      <alignment horizontal="left" vertical="center" indent="1"/>
    </xf>
    <xf numFmtId="181" fontId="44" fillId="0" borderId="0" xfId="20" applyNumberFormat="1" applyFont="1" applyFill="1" applyAlignment="1" applyProtection="1">
      <alignment horizontal="center" vertical="center"/>
    </xf>
    <xf numFmtId="182" fontId="44" fillId="0" borderId="0" xfId="20" applyNumberFormat="1" applyFont="1" applyFill="1" applyAlignment="1">
      <alignment vertical="center"/>
    </xf>
    <xf numFmtId="182" fontId="141" fillId="0" borderId="0" xfId="20" applyNumberFormat="1" applyFont="1" applyFill="1" applyAlignment="1">
      <alignment vertical="center"/>
    </xf>
    <xf numFmtId="182" fontId="44" fillId="0" borderId="0" xfId="20" applyNumberFormat="1" applyFont="1" applyFill="1" applyAlignment="1" applyProtection="1">
      <alignment horizontal="right" vertical="center"/>
    </xf>
    <xf numFmtId="182" fontId="141" fillId="0" borderId="0" xfId="20" applyNumberFormat="1" applyFont="1" applyFill="1"/>
    <xf numFmtId="37" fontId="139" fillId="0" borderId="0" xfId="20" quotePrefix="1" applyFill="1" applyAlignment="1">
      <alignment horizontal="right" vertical="center"/>
    </xf>
    <xf numFmtId="37" fontId="44" fillId="0" borderId="0" xfId="20" quotePrefix="1" applyFont="1" applyFill="1" applyAlignment="1">
      <alignment horizontal="left" indent="1"/>
    </xf>
    <xf numFmtId="182" fontId="44" fillId="0" borderId="0" xfId="20" applyNumberFormat="1" applyFont="1" applyFill="1" applyAlignment="1">
      <alignment horizontal="right"/>
    </xf>
    <xf numFmtId="37" fontId="143" fillId="0" borderId="0" xfId="20" quotePrefix="1" applyFont="1" applyFill="1" applyAlignment="1">
      <alignment horizontal="left" indent="1"/>
    </xf>
    <xf numFmtId="182" fontId="141" fillId="0" borderId="0" xfId="20" applyNumberFormat="1" applyFont="1" applyFill="1" applyProtection="1"/>
    <xf numFmtId="37" fontId="144" fillId="0" borderId="0" xfId="20" applyFont="1" applyFill="1" applyAlignment="1">
      <alignment vertical="center"/>
    </xf>
    <xf numFmtId="183" fontId="44" fillId="0" borderId="0" xfId="20" applyNumberFormat="1" applyFont="1" applyFill="1" applyAlignment="1" applyProtection="1">
      <alignment vertical="center"/>
    </xf>
    <xf numFmtId="182" fontId="141" fillId="0" borderId="0" xfId="20" applyNumberFormat="1" applyFont="1" applyFill="1" applyAlignment="1" applyProtection="1">
      <alignment vertical="center"/>
    </xf>
    <xf numFmtId="182" fontId="44" fillId="0" borderId="0" xfId="20" applyNumberFormat="1" applyFont="1" applyFill="1" applyAlignment="1" applyProtection="1">
      <alignment horizontal="left" vertical="center"/>
    </xf>
    <xf numFmtId="182" fontId="44" fillId="0" borderId="0" xfId="20" applyNumberFormat="1" applyFont="1" applyFill="1" applyAlignment="1">
      <alignment horizontal="center" vertical="center"/>
    </xf>
    <xf numFmtId="182" fontId="44" fillId="0" borderId="0" xfId="20" applyNumberFormat="1" applyFont="1" applyFill="1" applyAlignment="1" applyProtection="1">
      <alignment vertical="center"/>
    </xf>
    <xf numFmtId="37" fontId="143" fillId="0" borderId="0" xfId="20" applyFont="1" applyFill="1" applyAlignment="1">
      <alignment horizontal="left" vertical="center"/>
    </xf>
    <xf numFmtId="37" fontId="143" fillId="0" borderId="0" xfId="20" applyFont="1" applyFill="1" applyAlignment="1">
      <alignment horizontal="left" vertical="center" indent="1"/>
    </xf>
    <xf numFmtId="182" fontId="44" fillId="0" borderId="0" xfId="20" applyNumberFormat="1" applyFont="1" applyFill="1" applyAlignment="1" applyProtection="1">
      <alignment horizontal="center" vertical="center"/>
    </xf>
    <xf numFmtId="182" fontId="145" fillId="0" borderId="0" xfId="20" applyNumberFormat="1" applyFont="1" applyFill="1" applyAlignment="1">
      <alignment vertical="center"/>
    </xf>
    <xf numFmtId="182" fontId="145" fillId="0" borderId="0" xfId="20" applyNumberFormat="1" applyFont="1" applyFill="1"/>
    <xf numFmtId="37" fontId="44" fillId="0" borderId="0" xfId="20" applyFont="1" applyFill="1" applyAlignment="1"/>
    <xf numFmtId="181" fontId="44" fillId="0" borderId="0" xfId="20" applyNumberFormat="1" applyFont="1" applyFill="1" applyProtection="1"/>
    <xf numFmtId="182" fontId="146" fillId="0" borderId="0" xfId="20" applyNumberFormat="1" applyFont="1" applyFill="1"/>
    <xf numFmtId="37" fontId="44" fillId="0" borderId="0" xfId="20" quotePrefix="1" applyFont="1" applyFill="1" applyAlignment="1">
      <alignment horizontal="left"/>
    </xf>
    <xf numFmtId="182" fontId="146" fillId="0" borderId="0" xfId="20" applyNumberFormat="1" applyFont="1" applyFill="1" applyAlignment="1">
      <alignment horizontal="center"/>
    </xf>
    <xf numFmtId="37" fontId="139" fillId="0" borderId="0" xfId="20" applyFill="1" applyAlignment="1">
      <alignment horizontal="center"/>
    </xf>
    <xf numFmtId="182" fontId="139" fillId="0" borderId="0" xfId="20" applyNumberFormat="1" applyFill="1" applyAlignment="1">
      <alignment horizontal="left"/>
    </xf>
    <xf numFmtId="182" fontId="139" fillId="0" borderId="0" xfId="20" applyNumberFormat="1" applyFill="1"/>
    <xf numFmtId="182" fontId="139" fillId="0" borderId="0" xfId="20" applyNumberFormat="1" applyFill="1" applyAlignment="1">
      <alignment horizontal="center"/>
    </xf>
    <xf numFmtId="181" fontId="139" fillId="0" borderId="0" xfId="20" applyNumberFormat="1" applyFill="1" applyAlignment="1" applyProtection="1">
      <alignment vertical="center"/>
    </xf>
    <xf numFmtId="182" fontId="139" fillId="0" borderId="0" xfId="20" applyNumberFormat="1" applyFill="1" applyAlignment="1">
      <alignment vertical="center"/>
    </xf>
    <xf numFmtId="182" fontId="139" fillId="0" borderId="0" xfId="20" applyNumberFormat="1" applyFill="1" applyAlignment="1">
      <alignment horizontal="center" vertical="center"/>
    </xf>
    <xf numFmtId="37" fontId="147" fillId="0" borderId="0" xfId="20" applyFont="1" applyFill="1" applyAlignment="1" applyProtection="1">
      <alignment horizontal="left"/>
    </xf>
    <xf numFmtId="37" fontId="147" fillId="0" borderId="0" xfId="20" applyFont="1" applyFill="1" applyAlignment="1" applyProtection="1">
      <alignment wrapText="1"/>
    </xf>
    <xf numFmtId="37" fontId="139" fillId="0" borderId="0" xfId="20" applyFill="1" applyAlignment="1" applyProtection="1">
      <alignment horizontal="left"/>
    </xf>
    <xf numFmtId="37" fontId="10" fillId="0" borderId="0" xfId="20" applyFont="1" applyFill="1" applyAlignment="1" applyProtection="1">
      <alignment horizontal="left" indent="1"/>
    </xf>
    <xf numFmtId="37" fontId="10" fillId="0" borderId="0" xfId="20" applyFont="1" applyFill="1" applyAlignment="1" applyProtection="1">
      <alignment wrapText="1"/>
    </xf>
    <xf numFmtId="37" fontId="10" fillId="0" borderId="0" xfId="20" applyFont="1" applyFill="1" applyAlignment="1" applyProtection="1"/>
    <xf numFmtId="1" fontId="10" fillId="0" borderId="0" xfId="20" applyNumberFormat="1" applyFont="1" applyFill="1" applyAlignment="1" applyProtection="1">
      <alignment horizontal="left"/>
    </xf>
    <xf numFmtId="37" fontId="10" fillId="0" borderId="0" xfId="20" applyFont="1" applyFill="1" applyAlignment="1" applyProtection="1">
      <alignment horizontal="left"/>
    </xf>
    <xf numFmtId="1" fontId="139" fillId="0" borderId="0" xfId="20" applyNumberFormat="1" applyFill="1" applyAlignment="1" applyProtection="1">
      <alignment horizontal="left"/>
    </xf>
    <xf numFmtId="169" fontId="139" fillId="0" borderId="0" xfId="20" applyNumberFormat="1" applyFill="1" applyProtection="1">
      <protection locked="0"/>
    </xf>
    <xf numFmtId="1" fontId="139" fillId="0" borderId="0" xfId="20" applyNumberFormat="1" applyFill="1" applyProtection="1">
      <protection locked="0"/>
    </xf>
    <xf numFmtId="37" fontId="139" fillId="0" borderId="0" xfId="20" applyFill="1" applyProtection="1">
      <protection locked="0"/>
    </xf>
    <xf numFmtId="37" fontId="139" fillId="0" borderId="0" xfId="20" applyFill="1" applyAlignment="1" applyProtection="1">
      <alignment horizontal="center"/>
      <protection locked="0"/>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center"/>
      <protection locked="0"/>
    </xf>
    <xf numFmtId="0" fontId="56" fillId="0" borderId="0" xfId="0" applyFont="1" applyAlignment="1">
      <alignment horizontal="left" indent="2"/>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Border="1" applyAlignment="1" applyProtection="1">
      <alignment horizontal="left"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37" fontId="140" fillId="0" borderId="0" xfId="20" applyFont="1" applyFill="1" applyAlignment="1">
      <alignment horizontal="center"/>
    </xf>
    <xf numFmtId="37" fontId="141" fillId="0" borderId="0" xfId="20" applyFont="1" applyFill="1" applyBorder="1" applyAlignment="1">
      <alignment horizontal="center"/>
    </xf>
    <xf numFmtId="37" fontId="138" fillId="0" borderId="0" xfId="19" applyFont="1" applyFill="1" applyAlignment="1">
      <alignment horizontal="center"/>
    </xf>
    <xf numFmtId="37" fontId="138" fillId="0" borderId="0" xfId="20" applyFont="1" applyFill="1" applyAlignment="1">
      <alignment horizont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3">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19"/>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87" t="s">
        <v>425</v>
      </c>
      <c r="J1" s="2088"/>
      <c r="K1" s="2088"/>
      <c r="L1" s="2088"/>
      <c r="M1" s="2088"/>
      <c r="N1" s="2088"/>
      <c r="O1" s="2088"/>
      <c r="P1" s="2088"/>
      <c r="Q1" s="2088"/>
      <c r="R1" s="2088"/>
      <c r="S1" s="2088"/>
    </row>
    <row r="2" spans="1:28" ht="12" customHeight="1" x14ac:dyDescent="0.2">
      <c r="A2" s="47" t="s">
        <v>1684</v>
      </c>
      <c r="D2" s="48"/>
      <c r="I2" s="2089" t="s">
        <v>1036</v>
      </c>
      <c r="J2" s="2088"/>
      <c r="K2" s="2088"/>
      <c r="L2" s="2088"/>
      <c r="M2" s="2088"/>
      <c r="N2" s="2088"/>
      <c r="O2" s="2088"/>
      <c r="P2" s="2088"/>
      <c r="Q2" s="2088"/>
      <c r="R2" s="2088"/>
      <c r="S2" s="2088"/>
    </row>
    <row r="3" spans="1:28" ht="12" customHeight="1" x14ac:dyDescent="0.2">
      <c r="A3" s="155" t="s">
        <v>1685</v>
      </c>
      <c r="B3" s="156"/>
      <c r="C3" s="156"/>
      <c r="D3" s="157"/>
      <c r="I3" s="2089" t="s">
        <v>54</v>
      </c>
      <c r="J3" s="2088"/>
      <c r="K3" s="2088"/>
      <c r="L3" s="2088"/>
      <c r="M3" s="2088"/>
      <c r="N3" s="2088"/>
      <c r="O3" s="2088"/>
      <c r="P3" s="2088"/>
      <c r="Q3" s="2088"/>
      <c r="R3" s="2088"/>
      <c r="S3" s="2088"/>
    </row>
    <row r="4" spans="1:28" ht="12" customHeight="1" x14ac:dyDescent="0.2">
      <c r="A4" s="37"/>
      <c r="I4" s="2089" t="s">
        <v>545</v>
      </c>
      <c r="J4" s="2088"/>
      <c r="K4" s="2088"/>
      <c r="L4" s="2088"/>
      <c r="M4" s="2088"/>
      <c r="N4" s="2088"/>
      <c r="O4" s="2088"/>
      <c r="P4" s="2088"/>
      <c r="Q4" s="2088"/>
      <c r="R4" s="2088"/>
      <c r="S4" s="2088"/>
    </row>
    <row r="5" spans="1:28" ht="14.1" customHeight="1" x14ac:dyDescent="0.2">
      <c r="B5" s="104" t="s">
        <v>2083</v>
      </c>
      <c r="C5" s="26" t="s">
        <v>966</v>
      </c>
      <c r="D5" s="84"/>
      <c r="E5" s="84"/>
      <c r="H5" s="38"/>
      <c r="I5" s="2097" t="s">
        <v>701</v>
      </c>
      <c r="J5" s="2096"/>
      <c r="K5" s="2096"/>
      <c r="L5" s="2096"/>
      <c r="M5" s="2096"/>
      <c r="N5" s="2096"/>
      <c r="O5" s="2096"/>
      <c r="P5" s="2096"/>
      <c r="Q5" s="2096"/>
      <c r="R5" s="2096"/>
      <c r="S5" s="2096"/>
    </row>
    <row r="6" spans="1:28" ht="14.1" customHeight="1" x14ac:dyDescent="0.2">
      <c r="B6" s="104"/>
      <c r="C6" s="26" t="s">
        <v>967</v>
      </c>
      <c r="D6" s="84"/>
      <c r="E6" s="84"/>
      <c r="I6" s="2095" t="s">
        <v>938</v>
      </c>
      <c r="J6" s="2096"/>
      <c r="K6" s="2096"/>
      <c r="L6" s="2096"/>
      <c r="M6" s="2096"/>
      <c r="N6" s="2096"/>
      <c r="O6" s="2096"/>
      <c r="P6" s="2096"/>
      <c r="Q6" s="2096"/>
      <c r="R6" s="2096"/>
      <c r="S6" s="2096"/>
    </row>
    <row r="7" spans="1:28" ht="12.2" customHeight="1" x14ac:dyDescent="0.2">
      <c r="I7" s="2090">
        <v>43281</v>
      </c>
      <c r="J7" s="2091"/>
      <c r="K7" s="2091"/>
      <c r="L7" s="2091"/>
      <c r="M7" s="2091"/>
      <c r="N7" s="2091"/>
      <c r="O7" s="2091"/>
      <c r="P7" s="2091"/>
      <c r="Q7" s="2091"/>
      <c r="R7" s="2091"/>
      <c r="S7" s="20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2" t="s">
        <v>695</v>
      </c>
      <c r="J9" s="2093"/>
      <c r="K9" s="2093"/>
      <c r="L9" s="2093"/>
      <c r="M9" s="2093"/>
      <c r="N9" s="2093"/>
      <c r="O9" s="2093"/>
      <c r="P9" s="2093"/>
      <c r="Q9" s="2093"/>
      <c r="R9" s="2093"/>
      <c r="S9" s="2094"/>
      <c r="T9" s="2108" t="s">
        <v>554</v>
      </c>
      <c r="U9" s="2109"/>
      <c r="V9" s="2109"/>
      <c r="W9" s="2109"/>
      <c r="X9" s="2109"/>
      <c r="Y9" s="2109"/>
      <c r="Z9" s="2109"/>
      <c r="AA9" s="2110"/>
    </row>
    <row r="10" spans="1:28" ht="13.5" customHeight="1" x14ac:dyDescent="0.2">
      <c r="A10" s="2115" t="s">
        <v>696</v>
      </c>
      <c r="B10" s="2116"/>
      <c r="C10" s="2116"/>
      <c r="D10" s="2116"/>
      <c r="E10" s="2116"/>
      <c r="F10" s="2116"/>
      <c r="G10" s="2116"/>
      <c r="H10" s="2117"/>
      <c r="I10" s="29"/>
      <c r="J10" s="30"/>
      <c r="K10" s="28"/>
      <c r="R10" s="30"/>
      <c r="S10" s="30"/>
      <c r="T10" s="2111"/>
      <c r="U10" s="2096"/>
      <c r="V10" s="2096"/>
      <c r="W10" s="2096"/>
      <c r="X10" s="2096"/>
      <c r="Y10" s="2096"/>
      <c r="Z10" s="2096"/>
      <c r="AA10" s="2102"/>
    </row>
    <row r="11" spans="1:28" ht="14.25" customHeight="1" x14ac:dyDescent="0.2">
      <c r="A11" s="2118" t="s">
        <v>1012</v>
      </c>
      <c r="B11" s="2119"/>
      <c r="C11" s="2119"/>
      <c r="D11" s="2119"/>
      <c r="E11" s="2119"/>
      <c r="F11" s="2119"/>
      <c r="G11" s="2119"/>
      <c r="H11" s="2120"/>
      <c r="I11" s="27"/>
      <c r="J11" s="74"/>
      <c r="K11" s="27"/>
      <c r="O11" s="148" t="s">
        <v>2074</v>
      </c>
      <c r="P11" s="100" t="s">
        <v>210</v>
      </c>
      <c r="Q11" s="30"/>
      <c r="R11" s="28"/>
      <c r="S11" s="27"/>
      <c r="T11" s="2112"/>
      <c r="U11" s="2113"/>
      <c r="V11" s="2113"/>
      <c r="W11" s="2113"/>
      <c r="X11" s="2113"/>
      <c r="Y11" s="2113"/>
      <c r="Z11" s="2113"/>
      <c r="AA11" s="211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22">
        <v>49081034002</v>
      </c>
      <c r="B13" s="2123"/>
      <c r="C13" s="2123"/>
      <c r="D13" s="2123"/>
      <c r="E13" s="2123"/>
      <c r="F13" s="2123"/>
      <c r="G13" s="2123"/>
      <c r="H13" s="2124"/>
      <c r="I13" s="31"/>
      <c r="J13" s="30"/>
      <c r="K13" s="28"/>
      <c r="L13" s="30"/>
      <c r="M13" s="30"/>
      <c r="N13" s="30"/>
      <c r="O13" s="30"/>
      <c r="P13" s="30"/>
      <c r="Q13" s="30"/>
      <c r="R13" s="30"/>
      <c r="S13" s="30"/>
      <c r="T13" s="2127" t="s">
        <v>2075</v>
      </c>
      <c r="U13" s="2128"/>
      <c r="V13" s="2128"/>
      <c r="W13" s="2128"/>
      <c r="X13" s="2128"/>
      <c r="Y13" s="2129"/>
      <c r="Z13" s="2129"/>
      <c r="AA13" s="213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21" t="s">
        <v>2088</v>
      </c>
      <c r="B15" s="2125"/>
      <c r="C15" s="2125"/>
      <c r="D15" s="2125"/>
      <c r="E15" s="2125"/>
      <c r="F15" s="2125"/>
      <c r="G15" s="2125"/>
      <c r="H15" s="2126"/>
      <c r="T15" s="2131" t="s">
        <v>2089</v>
      </c>
      <c r="U15" s="2075"/>
      <c r="V15" s="2075"/>
      <c r="W15" s="2075"/>
      <c r="X15" s="2075"/>
      <c r="Y15" s="2132"/>
      <c r="Z15" s="2132"/>
      <c r="AA15" s="213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81" t="s">
        <v>2234</v>
      </c>
      <c r="B17" s="2082"/>
      <c r="C17" s="2082"/>
      <c r="D17" s="2082"/>
      <c r="E17" s="2082"/>
      <c r="F17" s="2082"/>
      <c r="G17" s="2082"/>
      <c r="H17" s="2107"/>
      <c r="T17" s="2138" t="s">
        <v>2076</v>
      </c>
      <c r="U17" s="2139"/>
      <c r="V17" s="2139"/>
      <c r="W17" s="2139"/>
      <c r="X17" s="2139"/>
      <c r="Y17" s="2139"/>
      <c r="Z17" s="2139"/>
      <c r="AA17" s="2140"/>
    </row>
    <row r="18" spans="1:27" ht="13.5" customHeight="1" x14ac:dyDescent="0.2">
      <c r="A18" s="85" t="s">
        <v>551</v>
      </c>
      <c r="B18" s="76"/>
      <c r="C18" s="72"/>
      <c r="D18" s="76"/>
      <c r="E18" s="76"/>
      <c r="F18" s="76"/>
      <c r="G18" s="76"/>
      <c r="H18" s="56"/>
      <c r="I18" s="2106" t="s">
        <v>697</v>
      </c>
      <c r="J18" s="2057"/>
      <c r="K18" s="2057"/>
      <c r="L18" s="2057"/>
      <c r="M18" s="2057"/>
      <c r="N18" s="2057"/>
      <c r="O18" s="2057"/>
      <c r="P18" s="2057"/>
      <c r="Q18" s="2057"/>
      <c r="R18" s="2057"/>
      <c r="S18" s="2058"/>
      <c r="T18" s="85" t="s">
        <v>735</v>
      </c>
      <c r="U18" s="51"/>
      <c r="V18" s="72"/>
      <c r="W18" s="50"/>
      <c r="X18" s="85" t="s">
        <v>284</v>
      </c>
      <c r="Y18" s="81"/>
      <c r="Z18" s="159" t="s">
        <v>698</v>
      </c>
      <c r="AA18" s="46"/>
    </row>
    <row r="19" spans="1:27" ht="13.5" customHeight="1" x14ac:dyDescent="0.2">
      <c r="A19" s="2121" t="s">
        <v>2085</v>
      </c>
      <c r="B19" s="2067"/>
      <c r="C19" s="2067"/>
      <c r="D19" s="2067"/>
      <c r="E19" s="2067"/>
      <c r="F19" s="2067"/>
      <c r="G19" s="2067"/>
      <c r="H19" s="2047"/>
      <c r="I19" s="30"/>
      <c r="J19" s="99"/>
      <c r="K19" s="40"/>
      <c r="L19" s="38"/>
      <c r="M19" s="112" t="s">
        <v>333</v>
      </c>
      <c r="P19" s="27"/>
      <c r="Q19" s="27"/>
      <c r="R19" s="27"/>
      <c r="S19" s="31"/>
      <c r="T19" s="2121" t="s">
        <v>2077</v>
      </c>
      <c r="U19" s="2046"/>
      <c r="V19" s="2046"/>
      <c r="W19" s="2047"/>
      <c r="X19" s="2136" t="s">
        <v>2078</v>
      </c>
      <c r="Y19" s="2137"/>
      <c r="Z19" s="2134">
        <v>61614</v>
      </c>
      <c r="AA19" s="213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5" t="s">
        <v>2203</v>
      </c>
      <c r="B21" s="2046"/>
      <c r="C21" s="2046"/>
      <c r="D21" s="2046"/>
      <c r="E21" s="2046"/>
      <c r="F21" s="2046"/>
      <c r="G21" s="2046"/>
      <c r="H21" s="2047"/>
      <c r="I21" s="2101" t="s">
        <v>699</v>
      </c>
      <c r="J21" s="2096"/>
      <c r="K21" s="2096"/>
      <c r="L21" s="2096"/>
      <c r="M21" s="2096"/>
      <c r="N21" s="2096"/>
      <c r="O21" s="2096"/>
      <c r="P21" s="2096"/>
      <c r="Q21" s="2096"/>
      <c r="R21" s="2096"/>
      <c r="S21" s="2102"/>
      <c r="T21" s="2145" t="s">
        <v>2079</v>
      </c>
      <c r="U21" s="2146"/>
      <c r="V21" s="2146"/>
      <c r="W21" s="2146"/>
      <c r="X21" s="2151" t="s">
        <v>2080</v>
      </c>
      <c r="Y21" s="2152"/>
      <c r="Z21" s="2152"/>
      <c r="AA21" s="2153"/>
    </row>
    <row r="22" spans="1:27" ht="13.5" customHeight="1" x14ac:dyDescent="0.2">
      <c r="A22" s="87" t="s">
        <v>552</v>
      </c>
      <c r="B22" s="59"/>
      <c r="C22" s="59"/>
      <c r="D22" s="59"/>
      <c r="E22" s="59"/>
      <c r="F22" s="59"/>
      <c r="G22" s="59"/>
      <c r="H22" s="60"/>
      <c r="I22" s="2103" t="s">
        <v>1504</v>
      </c>
      <c r="J22" s="2104"/>
      <c r="K22" s="2104"/>
      <c r="L22" s="2104"/>
      <c r="M22" s="2104"/>
      <c r="N22" s="2104"/>
      <c r="O22" s="2104"/>
      <c r="P22" s="2104"/>
      <c r="Q22" s="2104"/>
      <c r="R22" s="2104"/>
      <c r="S22" s="2105"/>
      <c r="T22" s="85" t="s">
        <v>1596</v>
      </c>
      <c r="U22" s="51"/>
      <c r="V22" s="72"/>
      <c r="W22" s="51"/>
      <c r="X22" s="160" t="s">
        <v>1385</v>
      </c>
      <c r="Z22" s="45"/>
      <c r="AA22" s="46"/>
    </row>
    <row r="23" spans="1:27" ht="13.5" customHeight="1" x14ac:dyDescent="0.2">
      <c r="A23" s="2098" t="s">
        <v>2087</v>
      </c>
      <c r="B23" s="2099"/>
      <c r="C23" s="2099"/>
      <c r="D23" s="2099"/>
      <c r="E23" s="2099"/>
      <c r="F23" s="2099"/>
      <c r="G23" s="2099"/>
      <c r="H23" s="2100"/>
      <c r="T23" s="2081" t="s">
        <v>2229</v>
      </c>
      <c r="U23" s="2144"/>
      <c r="V23" s="2144"/>
      <c r="W23" s="2144"/>
      <c r="X23" s="2148">
        <v>44530</v>
      </c>
      <c r="Y23" s="2149"/>
      <c r="Z23" s="2149"/>
      <c r="AA23" s="2150"/>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45">
        <v>61244</v>
      </c>
      <c r="B25" s="2046"/>
      <c r="C25" s="2046"/>
      <c r="D25" s="2046"/>
      <c r="E25" s="2046"/>
      <c r="F25" s="2046"/>
      <c r="G25" s="2046"/>
      <c r="H25" s="2047"/>
      <c r="I25" s="113"/>
      <c r="J25" s="2070"/>
      <c r="K25" s="2070"/>
      <c r="L25" s="2070"/>
      <c r="M25" s="2070"/>
      <c r="N25" s="2070"/>
      <c r="O25" s="2070"/>
      <c r="P25" s="2070"/>
      <c r="Q25" s="2070"/>
      <c r="R25" s="2070"/>
      <c r="S25" s="2071"/>
      <c r="T25" s="2141" t="s">
        <v>2090</v>
      </c>
      <c r="U25" s="2142"/>
      <c r="V25" s="2142"/>
      <c r="W25" s="2142"/>
      <c r="X25" s="2142"/>
      <c r="Y25" s="2142"/>
      <c r="Z25" s="2142"/>
      <c r="AA25" s="21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57"/>
      <c r="K27" s="2057"/>
      <c r="L27" s="2057"/>
      <c r="M27" s="2057"/>
      <c r="N27" s="2057"/>
      <c r="O27" s="2057"/>
      <c r="P27" s="2057"/>
      <c r="Q27" s="2057"/>
      <c r="R27" s="2057"/>
      <c r="S27" s="205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67"/>
      <c r="Q35" s="2046"/>
      <c r="R35" s="20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81" t="s">
        <v>2086</v>
      </c>
      <c r="B38" s="2082"/>
      <c r="C38" s="2082"/>
      <c r="D38" s="2082"/>
      <c r="E38" s="2082"/>
      <c r="F38" s="2046"/>
      <c r="G38" s="2046"/>
      <c r="H38" s="2047"/>
      <c r="I38" s="2074"/>
      <c r="J38" s="2075"/>
      <c r="K38" s="2075"/>
      <c r="L38" s="2075"/>
      <c r="M38" s="2075"/>
      <c r="N38" s="2075"/>
      <c r="O38" s="2075"/>
      <c r="P38" s="2076"/>
      <c r="Q38" s="2076"/>
      <c r="R38" s="2076"/>
      <c r="S38" s="2077"/>
      <c r="T38" s="2131"/>
      <c r="U38" s="2075"/>
      <c r="V38" s="2075"/>
      <c r="W38" s="2075"/>
      <c r="X38" s="2076"/>
      <c r="Y38" s="2076"/>
      <c r="Z38" s="2076"/>
      <c r="AA38" s="2077"/>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9" t="s">
        <v>2087</v>
      </c>
      <c r="B40" s="2060"/>
      <c r="C40" s="2061"/>
      <c r="D40" s="2061"/>
      <c r="E40" s="2061"/>
      <c r="F40" s="2062"/>
      <c r="G40" s="2062"/>
      <c r="H40" s="2063"/>
      <c r="I40" s="2084"/>
      <c r="J40" s="2085"/>
      <c r="K40" s="2085"/>
      <c r="L40" s="2085"/>
      <c r="M40" s="2085"/>
      <c r="N40" s="2085"/>
      <c r="O40" s="2085"/>
      <c r="P40" s="2085"/>
      <c r="Q40" s="2085"/>
      <c r="R40" s="2085"/>
      <c r="S40" s="2086"/>
      <c r="T40" s="2084"/>
      <c r="U40" s="2147"/>
      <c r="V40" s="2085"/>
      <c r="W40" s="2085"/>
      <c r="X40" s="2085"/>
      <c r="Y40" s="2085"/>
      <c r="Z40" s="2085"/>
      <c r="AA40" s="20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3">
        <v>3097929325</v>
      </c>
      <c r="B42" s="2065"/>
      <c r="C42" s="2066"/>
      <c r="D42" s="2064">
        <v>3092031322</v>
      </c>
      <c r="E42" s="2065"/>
      <c r="F42" s="2065"/>
      <c r="G42" s="2065"/>
      <c r="H42" s="2066"/>
      <c r="I42" s="2048"/>
      <c r="J42" s="2049"/>
      <c r="K42" s="2049"/>
      <c r="L42" s="2049"/>
      <c r="M42" s="2049"/>
      <c r="N42" s="2049"/>
      <c r="O42" s="2050"/>
      <c r="P42" s="2083"/>
      <c r="Q42" s="2049"/>
      <c r="R42" s="2049"/>
      <c r="S42" s="2050"/>
      <c r="T42" s="2048"/>
      <c r="U42" s="2049"/>
      <c r="V42" s="2049"/>
      <c r="W42" s="2050"/>
      <c r="X42" s="2083"/>
      <c r="Y42" s="2049"/>
      <c r="Z42" s="2049"/>
      <c r="AA42" s="205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95" customHeight="1" thickBot="1" x14ac:dyDescent="0.25">
      <c r="A35" s="2157" t="s">
        <v>1125</v>
      </c>
      <c r="B35" s="2157"/>
      <c r="C35" s="2157"/>
      <c r="D35" s="2157"/>
      <c r="E35" s="2157"/>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54" t="s">
        <v>715</v>
      </c>
      <c r="B40" s="2154"/>
      <c r="C40" s="2154"/>
      <c r="D40" s="2154"/>
      <c r="E40" s="2154"/>
    </row>
    <row r="41" spans="1:5" x14ac:dyDescent="0.2">
      <c r="A41" s="2155" t="s">
        <v>1706</v>
      </c>
      <c r="B41" s="2155"/>
      <c r="C41" s="2155"/>
      <c r="D41" s="2155"/>
      <c r="E41" s="2155"/>
    </row>
    <row r="42" spans="1:5" ht="12.75" customHeight="1" x14ac:dyDescent="0.2">
      <c r="A42" s="2156" t="s">
        <v>1080</v>
      </c>
      <c r="B42" s="2156"/>
      <c r="C42" s="2156"/>
      <c r="D42" s="2156"/>
      <c r="E42" s="215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5" t="s">
        <v>1877</v>
      </c>
    </row>
    <row r="60" spans="1:3" x14ac:dyDescent="0.2">
      <c r="A60" s="196"/>
      <c r="B60" s="1505"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7"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6" t="s">
        <v>1717</v>
      </c>
    </row>
    <row r="72" spans="1:9" ht="9.1999999999999993"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58" t="s">
        <v>1230</v>
      </c>
      <c r="B2" s="2158"/>
      <c r="C2" s="2158"/>
      <c r="D2" s="2158"/>
      <c r="E2" s="2158"/>
      <c r="F2" s="2158"/>
      <c r="G2" s="2158"/>
      <c r="H2" s="2158"/>
      <c r="I2" s="2158"/>
      <c r="J2" s="215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72" t="s">
        <v>1731</v>
      </c>
      <c r="B35" s="2173"/>
      <c r="C35" s="2173"/>
      <c r="D35" s="2173"/>
      <c r="E35" s="2174"/>
      <c r="F35" s="2174"/>
      <c r="G35" s="2174"/>
      <c r="H35" s="2174"/>
      <c r="I35" s="217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72" t="s">
        <v>331</v>
      </c>
      <c r="B47" s="2175"/>
      <c r="C47" s="2175"/>
      <c r="D47" s="2175"/>
      <c r="E47" s="2176"/>
      <c r="F47" s="2176"/>
      <c r="G47" s="2176"/>
      <c r="H47" s="2176"/>
      <c r="I47" s="217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9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9" t="s">
        <v>2105</v>
      </c>
      <c r="C57" s="2180"/>
      <c r="D57" s="2180"/>
      <c r="E57" s="2180"/>
      <c r="F57" s="2180"/>
      <c r="G57" s="2180"/>
      <c r="H57" s="2180"/>
      <c r="I57" s="2180"/>
      <c r="J57" s="2181"/>
    </row>
    <row r="58" spans="1:10" s="181" customFormat="1" x14ac:dyDescent="0.2">
      <c r="A58" s="253"/>
      <c r="B58" s="2182"/>
      <c r="C58" s="2183"/>
      <c r="D58" s="2183"/>
      <c r="E58" s="2183"/>
      <c r="F58" s="2183"/>
      <c r="G58" s="2183"/>
      <c r="H58" s="2183"/>
      <c r="I58" s="2183"/>
      <c r="J58" s="2184"/>
    </row>
    <row r="59" spans="1:10" s="181" customFormat="1" x14ac:dyDescent="0.2">
      <c r="A59" s="253"/>
      <c r="B59" s="2182"/>
      <c r="C59" s="2183"/>
      <c r="D59" s="2183"/>
      <c r="E59" s="2183"/>
      <c r="F59" s="2183"/>
      <c r="G59" s="2183"/>
      <c r="H59" s="2183"/>
      <c r="I59" s="2183"/>
      <c r="J59" s="2184"/>
    </row>
    <row r="60" spans="1:10" s="181" customFormat="1" x14ac:dyDescent="0.2">
      <c r="A60" s="253"/>
      <c r="B60" s="2182"/>
      <c r="C60" s="2183"/>
      <c r="D60" s="2183"/>
      <c r="E60" s="2183"/>
      <c r="F60" s="2183"/>
      <c r="G60" s="2183"/>
      <c r="H60" s="2183"/>
      <c r="I60" s="2183"/>
      <c r="J60" s="2184"/>
    </row>
    <row r="61" spans="1:10" s="181" customFormat="1" x14ac:dyDescent="0.2">
      <c r="A61" s="253"/>
      <c r="B61" s="2182"/>
      <c r="C61" s="2183"/>
      <c r="D61" s="2183"/>
      <c r="E61" s="2183"/>
      <c r="F61" s="2183"/>
      <c r="G61" s="2183"/>
      <c r="H61" s="2183"/>
      <c r="I61" s="2183"/>
      <c r="J61" s="2184"/>
    </row>
    <row r="62" spans="1:10" s="181" customFormat="1" x14ac:dyDescent="0.2">
      <c r="A62" s="253"/>
      <c r="B62" s="2182"/>
      <c r="C62" s="2183"/>
      <c r="D62" s="2183"/>
      <c r="E62" s="2183"/>
      <c r="F62" s="2183"/>
      <c r="G62" s="2183"/>
      <c r="H62" s="2183"/>
      <c r="I62" s="2183"/>
      <c r="J62" s="2184"/>
    </row>
    <row r="63" spans="1:10" s="181" customFormat="1" x14ac:dyDescent="0.2">
      <c r="A63" s="253"/>
      <c r="B63" s="2182"/>
      <c r="C63" s="2183"/>
      <c r="D63" s="2183"/>
      <c r="E63" s="2183"/>
      <c r="F63" s="2183"/>
      <c r="G63" s="2183"/>
      <c r="H63" s="2183"/>
      <c r="I63" s="2183"/>
      <c r="J63" s="2184"/>
    </row>
    <row r="64" spans="1:10" s="181" customFormat="1" x14ac:dyDescent="0.2">
      <c r="A64" s="253"/>
      <c r="B64" s="2182"/>
      <c r="C64" s="2183"/>
      <c r="D64" s="2183"/>
      <c r="E64" s="2183"/>
      <c r="F64" s="2183"/>
      <c r="G64" s="2183"/>
      <c r="H64" s="2183"/>
      <c r="I64" s="2183"/>
      <c r="J64" s="2184"/>
    </row>
    <row r="65" spans="1:10" s="181" customFormat="1" x14ac:dyDescent="0.2">
      <c r="A65" s="253"/>
      <c r="B65" s="2182"/>
      <c r="C65" s="2183"/>
      <c r="D65" s="2183"/>
      <c r="E65" s="2183"/>
      <c r="F65" s="2183"/>
      <c r="G65" s="2183"/>
      <c r="H65" s="2183"/>
      <c r="I65" s="2183"/>
      <c r="J65" s="2184"/>
    </row>
    <row r="66" spans="1:10" s="181" customFormat="1" x14ac:dyDescent="0.2">
      <c r="A66" s="253"/>
      <c r="B66" s="2182"/>
      <c r="C66" s="2183"/>
      <c r="D66" s="2183"/>
      <c r="E66" s="2183"/>
      <c r="F66" s="2183"/>
      <c r="G66" s="2183"/>
      <c r="H66" s="2183"/>
      <c r="I66" s="2183"/>
      <c r="J66" s="2184"/>
    </row>
    <row r="67" spans="1:10" s="181" customFormat="1" ht="9.1999999999999993" customHeight="1" x14ac:dyDescent="0.2">
      <c r="A67" s="254"/>
      <c r="B67" s="2185"/>
      <c r="C67" s="2186"/>
      <c r="D67" s="2186"/>
      <c r="E67" s="2186"/>
      <c r="F67" s="2186"/>
      <c r="G67" s="2186"/>
      <c r="H67" s="2186"/>
      <c r="I67" s="2186"/>
      <c r="J67" s="2187"/>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72" t="s">
        <v>1390</v>
      </c>
      <c r="B70" s="2175"/>
      <c r="C70" s="2175"/>
      <c r="D70" s="2175"/>
      <c r="E70" s="2176"/>
      <c r="F70" s="2176"/>
      <c r="G70" s="2176"/>
      <c r="H70" s="2176"/>
      <c r="I70" s="2176"/>
    </row>
    <row r="71" spans="1:10" s="181" customFormat="1" x14ac:dyDescent="0.2">
      <c r="A71" s="219"/>
      <c r="C71" s="257"/>
      <c r="D71" s="258" t="s">
        <v>1389</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77" t="s">
        <v>1387</v>
      </c>
      <c r="B83" s="2177"/>
      <c r="C83" s="2177"/>
      <c r="D83" s="217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59"/>
      <c r="C102" s="2160"/>
      <c r="D102" s="2160"/>
      <c r="E102" s="2160"/>
      <c r="F102" s="2160"/>
      <c r="G102" s="2160"/>
      <c r="H102" s="2160"/>
      <c r="I102" s="2161"/>
    </row>
    <row r="103" spans="1:9" s="181" customFormat="1" ht="11.25" customHeight="1" x14ac:dyDescent="0.2">
      <c r="A103" s="316"/>
      <c r="B103" s="2162"/>
      <c r="C103" s="2163"/>
      <c r="D103" s="2163"/>
      <c r="E103" s="2163"/>
      <c r="F103" s="2163"/>
      <c r="G103" s="2163"/>
      <c r="H103" s="2163"/>
      <c r="I103" s="2164"/>
    </row>
    <row r="104" spans="1:9" s="181" customFormat="1" ht="11.25" customHeight="1" x14ac:dyDescent="0.2">
      <c r="A104" s="316"/>
      <c r="B104" s="2162"/>
      <c r="C104" s="2163"/>
      <c r="D104" s="2163"/>
      <c r="E104" s="2163"/>
      <c r="F104" s="2163"/>
      <c r="G104" s="2163"/>
      <c r="H104" s="2163"/>
      <c r="I104" s="2164"/>
    </row>
    <row r="105" spans="1:9" s="181" customFormat="1" x14ac:dyDescent="0.2">
      <c r="A105" s="316"/>
      <c r="B105" s="2162"/>
      <c r="C105" s="2163"/>
      <c r="D105" s="2163"/>
      <c r="E105" s="2163"/>
      <c r="F105" s="2163"/>
      <c r="G105" s="2163"/>
      <c r="H105" s="2163"/>
      <c r="I105" s="2164"/>
    </row>
    <row r="106" spans="1:9" s="181" customFormat="1" ht="11.25" customHeight="1" x14ac:dyDescent="0.2">
      <c r="A106" s="316"/>
      <c r="B106" s="2162"/>
      <c r="C106" s="2163"/>
      <c r="D106" s="2163"/>
      <c r="E106" s="2163"/>
      <c r="F106" s="2163"/>
      <c r="G106" s="2163"/>
      <c r="H106" s="2163"/>
      <c r="I106" s="2164"/>
    </row>
    <row r="107" spans="1:9" s="181" customFormat="1" ht="11.25" customHeight="1" x14ac:dyDescent="0.2">
      <c r="A107" s="316"/>
      <c r="B107" s="2162"/>
      <c r="C107" s="2163"/>
      <c r="D107" s="2163"/>
      <c r="E107" s="2163"/>
      <c r="F107" s="2163"/>
      <c r="G107" s="2163"/>
      <c r="H107" s="2163"/>
      <c r="I107" s="2164"/>
    </row>
    <row r="108" spans="1:9" s="181" customFormat="1" ht="11.25" customHeight="1" x14ac:dyDescent="0.2">
      <c r="A108" s="316"/>
      <c r="B108" s="2162"/>
      <c r="C108" s="2163"/>
      <c r="D108" s="2163"/>
      <c r="E108" s="2163"/>
      <c r="F108" s="2163"/>
      <c r="G108" s="2163"/>
      <c r="H108" s="2163"/>
      <c r="I108" s="2164"/>
    </row>
    <row r="109" spans="1:9" s="181" customFormat="1" ht="11.25" customHeight="1" x14ac:dyDescent="0.2">
      <c r="A109" s="316"/>
      <c r="B109" s="2162"/>
      <c r="C109" s="2163"/>
      <c r="D109" s="2163"/>
      <c r="E109" s="2163"/>
      <c r="F109" s="2163"/>
      <c r="G109" s="2163"/>
      <c r="H109" s="2163"/>
      <c r="I109" s="2164"/>
    </row>
    <row r="110" spans="1:9" s="181" customFormat="1" ht="11.25" customHeight="1" x14ac:dyDescent="0.2">
      <c r="A110" s="316"/>
      <c r="B110" s="2162"/>
      <c r="C110" s="2163"/>
      <c r="D110" s="2163"/>
      <c r="E110" s="2163"/>
      <c r="F110" s="2163"/>
      <c r="G110" s="2163"/>
      <c r="H110" s="2163"/>
      <c r="I110" s="2164"/>
    </row>
    <row r="111" spans="1:9" s="181" customFormat="1" ht="11.25" customHeight="1" x14ac:dyDescent="0.2">
      <c r="A111" s="316"/>
      <c r="B111" s="2162"/>
      <c r="C111" s="2163"/>
      <c r="D111" s="2163"/>
      <c r="E111" s="2163"/>
      <c r="F111" s="2163"/>
      <c r="G111" s="2163"/>
      <c r="H111" s="2163"/>
      <c r="I111" s="2164"/>
    </row>
    <row r="112" spans="1:9" s="181" customFormat="1" ht="11.25" customHeight="1" x14ac:dyDescent="0.2">
      <c r="A112" s="316"/>
      <c r="B112" s="2165"/>
      <c r="C112" s="2166"/>
      <c r="D112" s="2166"/>
      <c r="E112" s="2166"/>
      <c r="F112" s="2166"/>
      <c r="G112" s="2166"/>
      <c r="H112" s="2166"/>
      <c r="I112" s="21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68" t="s">
        <v>2081</v>
      </c>
      <c r="D114" s="216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9" t="s">
        <v>1397</v>
      </c>
      <c r="D117" s="2170"/>
      <c r="E117" s="2171"/>
      <c r="F117" s="2171"/>
      <c r="G117" s="2171"/>
      <c r="H117" s="2171"/>
      <c r="I117" s="304"/>
    </row>
    <row r="118" spans="1:9" s="181" customFormat="1" ht="24" customHeight="1" x14ac:dyDescent="0.2">
      <c r="A118" s="316"/>
      <c r="B118" s="316"/>
      <c r="C118" s="316"/>
      <c r="D118" s="323" t="s">
        <v>2233</v>
      </c>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4"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88" t="s">
        <v>404</v>
      </c>
      <c r="B1" s="2188"/>
      <c r="C1" s="2188"/>
      <c r="D1" s="2188"/>
      <c r="E1" s="2188"/>
      <c r="F1" s="2188"/>
      <c r="G1" s="2188"/>
      <c r="H1" s="2188"/>
      <c r="I1" s="2188"/>
      <c r="J1" s="2188"/>
      <c r="K1" s="2188"/>
      <c r="L1" s="2188"/>
      <c r="M1" s="2188"/>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76227723</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2.6200000000000001E-2</v>
      </c>
      <c r="E10" s="356" t="s">
        <v>1062</v>
      </c>
      <c r="F10" s="355">
        <v>2.5000000000000001E-3</v>
      </c>
      <c r="G10" s="356" t="s">
        <v>1062</v>
      </c>
      <c r="H10" s="355">
        <v>1.1999999999999999E-3</v>
      </c>
      <c r="I10" s="356" t="s">
        <v>1063</v>
      </c>
      <c r="J10" s="1752">
        <f>ROUND(D10+F10+H10,5)</f>
        <v>2.9899999999999999E-2</v>
      </c>
      <c r="K10" s="222"/>
      <c r="L10" s="355">
        <v>5.0000000000000001E-4</v>
      </c>
      <c r="M10" s="222"/>
    </row>
    <row r="11" spans="1:14" ht="7.5" customHeight="1" x14ac:dyDescent="0.2">
      <c r="B11" s="222"/>
      <c r="C11" s="222"/>
      <c r="D11" s="2198" t="str">
        <f>IF(SUM(J10)&lt;=0.0999999,"","Enter the Tax Rates by moving the decimal two places to the left.")</f>
        <v/>
      </c>
      <c r="E11" s="2199"/>
      <c r="F11" s="2199"/>
      <c r="G11" s="2199"/>
      <c r="H11" s="2199"/>
      <c r="I11" s="2199"/>
      <c r="J11" s="21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6768532</v>
      </c>
      <c r="E16" s="356"/>
      <c r="F16" s="1753">
        <f>SUM('Acct Summary 7-8'!C17,'Acct Summary 7-8'!D17,'Acct Summary 7-8'!F17)</f>
        <v>5800827</v>
      </c>
      <c r="G16" s="356"/>
      <c r="H16" s="1753">
        <f>SUM(D16-F16)</f>
        <v>967705</v>
      </c>
      <c r="I16" s="222"/>
      <c r="J16" s="1753">
        <f>SUM('Acct Summary 7-8'!C81,'Acct Summary 7-8'!D81,'Acct Summary 7-8'!F81,'Acct Summary 7-8'!I81)</f>
        <v>7992873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55">
        <f>IF(B31="X",(J7*0.069),IF(B32="X",(J7*0.138),"Enter x in a.or b."))</f>
        <v>5259712.8870000001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3269000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89"/>
      <c r="C54" s="2190"/>
      <c r="D54" s="2190"/>
      <c r="E54" s="2190"/>
      <c r="F54" s="2190"/>
      <c r="G54" s="2190"/>
      <c r="H54" s="2190"/>
      <c r="I54" s="2190"/>
      <c r="J54" s="2190"/>
      <c r="K54" s="2190"/>
      <c r="L54" s="2191"/>
      <c r="M54" s="380"/>
    </row>
    <row r="55" spans="1:13" ht="12.75" customHeight="1" x14ac:dyDescent="0.2">
      <c r="B55" s="2192"/>
      <c r="C55" s="2193"/>
      <c r="D55" s="2193"/>
      <c r="E55" s="2193"/>
      <c r="F55" s="2193"/>
      <c r="G55" s="2193"/>
      <c r="H55" s="2193"/>
      <c r="I55" s="2193"/>
      <c r="J55" s="2193"/>
      <c r="K55" s="2193"/>
      <c r="L55" s="2194"/>
      <c r="M55" s="380"/>
    </row>
    <row r="56" spans="1:13" ht="12.75" customHeight="1" x14ac:dyDescent="0.2">
      <c r="B56" s="2192"/>
      <c r="C56" s="2193"/>
      <c r="D56" s="2193"/>
      <c r="E56" s="2193"/>
      <c r="F56" s="2193"/>
      <c r="G56" s="2193"/>
      <c r="H56" s="2193"/>
      <c r="I56" s="2193"/>
      <c r="J56" s="2193"/>
      <c r="K56" s="2193"/>
      <c r="L56" s="2194"/>
      <c r="M56" s="222"/>
    </row>
    <row r="57" spans="1:13" ht="12.75" customHeight="1" x14ac:dyDescent="0.2">
      <c r="B57" s="2192"/>
      <c r="C57" s="2193"/>
      <c r="D57" s="2193"/>
      <c r="E57" s="2193"/>
      <c r="F57" s="2193"/>
      <c r="G57" s="2193"/>
      <c r="H57" s="2193"/>
      <c r="I57" s="2193"/>
      <c r="J57" s="2193"/>
      <c r="K57" s="2193"/>
      <c r="L57" s="2194"/>
      <c r="M57" s="222"/>
    </row>
    <row r="58" spans="1:13" x14ac:dyDescent="0.2">
      <c r="B58" s="2195"/>
      <c r="C58" s="2196"/>
      <c r="D58" s="2196"/>
      <c r="E58" s="2196"/>
      <c r="F58" s="2196"/>
      <c r="G58" s="2196"/>
      <c r="H58" s="2196"/>
      <c r="I58" s="2196"/>
      <c r="J58" s="2196"/>
      <c r="K58" s="2196"/>
      <c r="L58" s="21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00"/>
      <c r="D61" s="22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03"/>
      <c r="B1" s="2204"/>
      <c r="C1" s="2204"/>
      <c r="D1" s="384"/>
      <c r="E1" s="384"/>
      <c r="F1" s="384"/>
      <c r="G1" s="384"/>
      <c r="H1" s="384"/>
      <c r="I1" s="384"/>
      <c r="J1" s="384"/>
      <c r="K1" s="384"/>
      <c r="L1" s="384"/>
      <c r="M1" s="384"/>
      <c r="N1" s="384"/>
      <c r="O1" s="2203"/>
      <c r="P1" s="2204"/>
      <c r="Q1" s="2204"/>
    </row>
    <row r="2" spans="1:18" ht="15" x14ac:dyDescent="0.2">
      <c r="A2" s="2207" t="s">
        <v>577</v>
      </c>
      <c r="B2" s="2207"/>
      <c r="C2" s="2207"/>
      <c r="D2" s="2207"/>
      <c r="E2" s="2207"/>
      <c r="F2" s="2207"/>
      <c r="G2" s="2207"/>
      <c r="H2" s="2207"/>
      <c r="I2" s="2207"/>
      <c r="J2" s="2207"/>
      <c r="K2" s="2207"/>
      <c r="L2" s="2207"/>
      <c r="M2" s="2207"/>
      <c r="N2" s="2207"/>
      <c r="O2" s="2207"/>
      <c r="P2" s="2207"/>
      <c r="Q2" s="2207"/>
      <c r="R2" s="2207"/>
    </row>
    <row r="3" spans="1:18" ht="12.75" x14ac:dyDescent="0.2">
      <c r="A3" s="2208" t="s">
        <v>1480</v>
      </c>
      <c r="B3" s="2208"/>
      <c r="C3" s="2208"/>
      <c r="D3" s="2208"/>
      <c r="E3" s="2208"/>
      <c r="F3" s="2208"/>
      <c r="G3" s="2208"/>
      <c r="H3" s="2208"/>
      <c r="I3" s="2208"/>
      <c r="J3" s="2208"/>
      <c r="K3" s="2208"/>
      <c r="L3" s="2208"/>
      <c r="M3" s="2208"/>
      <c r="N3" s="2208"/>
      <c r="O3" s="2208"/>
      <c r="P3" s="2208"/>
      <c r="Q3" s="2208"/>
      <c r="R3" s="2208"/>
    </row>
    <row r="4" spans="1:18" x14ac:dyDescent="0.2">
      <c r="A4" s="2209" t="s">
        <v>1635</v>
      </c>
      <c r="B4" s="2209"/>
      <c r="C4" s="2209"/>
      <c r="D4" s="2209"/>
      <c r="E4" s="2209"/>
      <c r="F4" s="2209"/>
      <c r="G4" s="2209"/>
      <c r="H4" s="2209"/>
      <c r="I4" s="2209"/>
      <c r="J4" s="2209"/>
      <c r="K4" s="2209"/>
      <c r="L4" s="2209"/>
      <c r="M4" s="2209"/>
      <c r="N4" s="2209"/>
      <c r="O4" s="2209"/>
      <c r="P4" s="2209"/>
      <c r="Q4" s="2209"/>
      <c r="R4" s="22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Silvis GSD 34</v>
      </c>
      <c r="E7" s="391"/>
      <c r="G7" s="252"/>
      <c r="H7" s="387"/>
      <c r="I7" s="387"/>
      <c r="J7" s="387"/>
      <c r="K7" s="387"/>
      <c r="L7" s="329"/>
      <c r="M7" s="329"/>
      <c r="N7" s="329"/>
      <c r="O7" s="329"/>
      <c r="P7" s="329"/>
    </row>
    <row r="8" spans="1:18" ht="12.75" x14ac:dyDescent="0.2">
      <c r="A8" s="329"/>
      <c r="B8" s="329"/>
      <c r="C8" s="389" t="s">
        <v>1187</v>
      </c>
      <c r="D8" s="392">
        <f>COVER!A13</f>
        <v>49081034002</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7992873</v>
      </c>
      <c r="I12" s="404"/>
      <c r="J12" s="404"/>
      <c r="K12" s="405">
        <f>TRUNC((H12/H13*100000),5)/100000</f>
        <v>1.1808872293000001</v>
      </c>
      <c r="L12" s="406"/>
      <c r="M12" s="360" t="s">
        <v>1206</v>
      </c>
      <c r="N12" s="360"/>
      <c r="O12" s="407">
        <v>0.35</v>
      </c>
      <c r="P12" s="218"/>
      <c r="Q12" s="218"/>
    </row>
    <row r="13" spans="1:18" s="408" customFormat="1" ht="12.75" x14ac:dyDescent="0.2">
      <c r="A13" s="218"/>
      <c r="B13" s="401"/>
      <c r="C13" s="2205" t="s">
        <v>1391</v>
      </c>
      <c r="D13" s="2206"/>
      <c r="E13" s="218"/>
      <c r="F13" s="409" t="s">
        <v>826</v>
      </c>
      <c r="G13" s="402"/>
      <c r="H13" s="403">
        <f>SUM('Acct Summary 7-8'!C8+'Acct Summary 7-8'!D8+'Acct Summary 7-8'!F8+'Acct Summary 7-8'!I8)+H14</f>
        <v>6768532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5800827</v>
      </c>
      <c r="I17" s="404"/>
      <c r="J17" s="416"/>
      <c r="K17" s="405">
        <f>TRUNC((H17/H18*100000),5)/100000</f>
        <v>0.857028821</v>
      </c>
      <c r="L17" s="406"/>
      <c r="M17" s="417" t="s">
        <v>1233</v>
      </c>
      <c r="O17" s="418" t="str">
        <f>IF(AND(O16="2", J20 &gt; 2),"1",IF(AND(O16 = "1", J20 &gt; 2),"2",IF(AND(O16="1", J20 &gt;1),"1","0")))</f>
        <v>0</v>
      </c>
      <c r="P17" s="218"/>
    </row>
    <row r="18" spans="1:18" s="408" customFormat="1" ht="11.25" x14ac:dyDescent="0.2">
      <c r="A18" s="218"/>
      <c r="B18" s="401"/>
      <c r="C18" s="2205" t="s">
        <v>1384</v>
      </c>
      <c r="D18" s="2206"/>
      <c r="E18" s="218"/>
      <c r="F18" s="419" t="s">
        <v>827</v>
      </c>
      <c r="G18" s="402"/>
      <c r="H18" s="403">
        <f>SUM('Acct Summary 7-8'!C8+'Acct Summary 7-8'!D8+'Acct Summary 7-8'!F8+'Acct Summary 7-8'!I8)+H19</f>
        <v>6768532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02" t="s">
        <v>1479</v>
      </c>
      <c r="D24" s="2202"/>
      <c r="E24" s="218"/>
      <c r="F24" s="218" t="s">
        <v>465</v>
      </c>
      <c r="G24" s="402"/>
      <c r="H24" s="403">
        <f>SUM('Assets-Liab 5-6'!C4+'Assets-Liab 5-6'!D4+'Assets-Liab 5-6'!F4+'Assets-Liab 5-6'!I4+'Assets-Liab 5-6'!C5+'Assets-Liab 5-6'!D5+'Assets-Liab 5-6'!F5+'Assets-Liab 5-6'!I5)</f>
        <v>7993455</v>
      </c>
      <c r="I24" s="422"/>
      <c r="J24" s="422"/>
      <c r="K24" s="423">
        <f>TRUNC(((H24/H25*100000)/100000),2)</f>
        <v>496.07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16113.40833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1937327.58005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3269000</v>
      </c>
      <c r="I32" s="420"/>
      <c r="J32" s="420"/>
      <c r="K32" s="423">
        <f>TRUNC(100-((((H32/H33*100))*100)/100),2)</f>
        <v>37.840000000000003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5259712.8870000001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1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1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12" t="s">
        <v>1030</v>
      </c>
      <c r="B3" s="2213"/>
      <c r="C3" s="1579"/>
      <c r="D3" s="1580"/>
      <c r="E3" s="1580"/>
      <c r="F3" s="1580"/>
      <c r="G3" s="1580"/>
      <c r="H3" s="1580"/>
      <c r="I3" s="1580"/>
      <c r="J3" s="1580"/>
      <c r="K3" s="1580"/>
      <c r="L3" s="1580"/>
      <c r="M3" s="1581"/>
      <c r="N3" s="1582"/>
    </row>
    <row r="4" spans="1:14" ht="13.5" customHeight="1" x14ac:dyDescent="0.2">
      <c r="A4" s="463" t="s">
        <v>1750</v>
      </c>
      <c r="B4" s="464"/>
      <c r="C4" s="465">
        <v>4911551</v>
      </c>
      <c r="D4" s="465">
        <v>1902735</v>
      </c>
      <c r="E4" s="466">
        <v>191954</v>
      </c>
      <c r="F4" s="466">
        <v>397486</v>
      </c>
      <c r="G4" s="466">
        <v>182480</v>
      </c>
      <c r="H4" s="466">
        <v>223622</v>
      </c>
      <c r="I4" s="466">
        <v>401937</v>
      </c>
      <c r="J4" s="467">
        <v>163092</v>
      </c>
      <c r="K4" s="466">
        <v>40402</v>
      </c>
      <c r="L4" s="466">
        <v>38508</v>
      </c>
      <c r="M4" s="468"/>
      <c r="N4" s="469"/>
    </row>
    <row r="5" spans="1:14" x14ac:dyDescent="0.2">
      <c r="A5" s="463" t="s">
        <v>1049</v>
      </c>
      <c r="B5" s="470">
        <v>120</v>
      </c>
      <c r="C5" s="465">
        <v>182708</v>
      </c>
      <c r="D5" s="466">
        <v>0</v>
      </c>
      <c r="E5" s="466">
        <v>0</v>
      </c>
      <c r="F5" s="466">
        <v>0</v>
      </c>
      <c r="G5" s="466">
        <v>38786</v>
      </c>
      <c r="H5" s="466">
        <v>0</v>
      </c>
      <c r="I5" s="466">
        <v>197038</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5094259</v>
      </c>
      <c r="D13" s="1757">
        <f t="shared" ref="D13:L13" si="0">SUM(D4:D12)</f>
        <v>1902735</v>
      </c>
      <c r="E13" s="1757">
        <f t="shared" si="0"/>
        <v>191954</v>
      </c>
      <c r="F13" s="1757">
        <f t="shared" si="0"/>
        <v>397486</v>
      </c>
      <c r="G13" s="1757">
        <f t="shared" si="0"/>
        <v>221266</v>
      </c>
      <c r="H13" s="1757">
        <f t="shared" si="0"/>
        <v>223622</v>
      </c>
      <c r="I13" s="1757">
        <f t="shared" si="0"/>
        <v>598975</v>
      </c>
      <c r="J13" s="1757">
        <f t="shared" si="0"/>
        <v>163092</v>
      </c>
      <c r="K13" s="1757">
        <f t="shared" si="0"/>
        <v>40402</v>
      </c>
      <c r="L13" s="1757">
        <f t="shared" si="0"/>
        <v>38508</v>
      </c>
      <c r="M13" s="468"/>
      <c r="N13" s="469"/>
    </row>
    <row r="14" spans="1:14" ht="18" customHeight="1" thickTop="1" x14ac:dyDescent="0.2">
      <c r="A14" s="2214" t="s">
        <v>149</v>
      </c>
      <c r="B14" s="2215"/>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988388</v>
      </c>
      <c r="N16" s="483"/>
    </row>
    <row r="17" spans="1:14" s="484" customFormat="1" ht="12.75" customHeight="1" x14ac:dyDescent="0.2">
      <c r="A17" s="481" t="s">
        <v>1470</v>
      </c>
      <c r="B17" s="482">
        <v>230</v>
      </c>
      <c r="C17" s="476"/>
      <c r="D17" s="476"/>
      <c r="E17" s="476"/>
      <c r="F17" s="476"/>
      <c r="G17" s="476"/>
      <c r="H17" s="476"/>
      <c r="I17" s="476"/>
      <c r="J17" s="476"/>
      <c r="K17" s="476"/>
      <c r="L17" s="476"/>
      <c r="M17" s="467">
        <v>19949067</v>
      </c>
      <c r="N17" s="483"/>
    </row>
    <row r="18" spans="1:14" s="484" customFormat="1" ht="12.75" customHeight="1" x14ac:dyDescent="0.2">
      <c r="A18" s="481" t="s">
        <v>1471</v>
      </c>
      <c r="B18" s="482">
        <v>240</v>
      </c>
      <c r="C18" s="476"/>
      <c r="D18" s="476"/>
      <c r="E18" s="476"/>
      <c r="F18" s="476"/>
      <c r="G18" s="476"/>
      <c r="H18" s="476"/>
      <c r="I18" s="476"/>
      <c r="J18" s="476"/>
      <c r="K18" s="476"/>
      <c r="L18" s="476"/>
      <c r="M18" s="467">
        <v>1263929</v>
      </c>
      <c r="N18" s="483"/>
    </row>
    <row r="19" spans="1:14" s="484" customFormat="1" ht="12.75" customHeight="1" x14ac:dyDescent="0.2">
      <c r="A19" s="481" t="s">
        <v>1472</v>
      </c>
      <c r="B19" s="482">
        <v>250</v>
      </c>
      <c r="C19" s="476"/>
      <c r="D19" s="476"/>
      <c r="E19" s="476"/>
      <c r="F19" s="476"/>
      <c r="G19" s="476"/>
      <c r="H19" s="476"/>
      <c r="I19" s="476"/>
      <c r="J19" s="476"/>
      <c r="K19" s="476"/>
      <c r="L19" s="476"/>
      <c r="M19" s="467">
        <v>767906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191954</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3077046</v>
      </c>
    </row>
    <row r="23" spans="1:14" ht="13.5" customHeight="1" thickBot="1" x14ac:dyDescent="0.25">
      <c r="A23" s="1756" t="s">
        <v>664</v>
      </c>
      <c r="B23" s="1761"/>
      <c r="C23" s="468"/>
      <c r="D23" s="468"/>
      <c r="E23" s="468"/>
      <c r="F23" s="468"/>
      <c r="G23" s="468"/>
      <c r="H23" s="468"/>
      <c r="I23" s="468"/>
      <c r="J23" s="468"/>
      <c r="K23" s="468"/>
      <c r="L23" s="468"/>
      <c r="M23" s="1708">
        <f>SUM(M15:M22)</f>
        <v>22969290</v>
      </c>
      <c r="N23" s="1708">
        <f>SUM(N21:N22)</f>
        <v>3269000</v>
      </c>
    </row>
    <row r="24" spans="1:14" ht="18" customHeight="1" thickTop="1" x14ac:dyDescent="0.2">
      <c r="A24" s="2216" t="s">
        <v>619</v>
      </c>
      <c r="B24" s="2217"/>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582</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21725</v>
      </c>
      <c r="M33" s="468"/>
      <c r="N33" s="469"/>
    </row>
    <row r="34" spans="1:14" ht="13.5" customHeight="1" thickBot="1" x14ac:dyDescent="0.25">
      <c r="A34" s="1758" t="s">
        <v>675</v>
      </c>
      <c r="B34" s="1759"/>
      <c r="C34" s="1760">
        <f>SUM(C25:C33)</f>
        <v>582</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21725</v>
      </c>
      <c r="M34" s="468"/>
      <c r="N34" s="479"/>
    </row>
    <row r="35" spans="1:14" ht="18" customHeight="1" thickTop="1" x14ac:dyDescent="0.2">
      <c r="A35" s="2218" t="s">
        <v>550</v>
      </c>
      <c r="B35" s="2219"/>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3269000</v>
      </c>
    </row>
    <row r="37" spans="1:14" ht="13.5" thickBot="1" x14ac:dyDescent="0.25">
      <c r="A37" s="1756" t="s">
        <v>674</v>
      </c>
      <c r="B37" s="1761"/>
      <c r="C37" s="476"/>
      <c r="D37" s="476"/>
      <c r="E37" s="476"/>
      <c r="F37" s="476"/>
      <c r="G37" s="476"/>
      <c r="H37" s="476"/>
      <c r="I37" s="476"/>
      <c r="J37" s="476"/>
      <c r="K37" s="476"/>
      <c r="L37" s="479"/>
      <c r="M37" s="468"/>
      <c r="N37" s="1708">
        <f>SUM(N36:N36)</f>
        <v>3269000</v>
      </c>
    </row>
    <row r="38" spans="1:14" s="329" customFormat="1" ht="13.5" customHeight="1" thickTop="1" x14ac:dyDescent="0.2">
      <c r="A38" s="494" t="s">
        <v>440</v>
      </c>
      <c r="B38" s="482">
        <v>714</v>
      </c>
      <c r="C38" s="465">
        <v>53984</v>
      </c>
      <c r="D38" s="465">
        <v>0</v>
      </c>
      <c r="E38" s="465">
        <v>0</v>
      </c>
      <c r="F38" s="465">
        <v>0</v>
      </c>
      <c r="G38" s="465">
        <v>155675</v>
      </c>
      <c r="H38" s="465">
        <v>223622</v>
      </c>
      <c r="I38" s="465">
        <v>0</v>
      </c>
      <c r="J38" s="465">
        <v>0</v>
      </c>
      <c r="K38" s="465">
        <v>0</v>
      </c>
      <c r="L38" s="465">
        <v>16783</v>
      </c>
      <c r="M38" s="495"/>
      <c r="N38" s="495"/>
    </row>
    <row r="39" spans="1:14" s="329" customFormat="1" ht="13.5" customHeight="1" x14ac:dyDescent="0.2">
      <c r="A39" s="494" t="s">
        <v>360</v>
      </c>
      <c r="B39" s="482">
        <v>730</v>
      </c>
      <c r="C39" s="465">
        <v>5039693</v>
      </c>
      <c r="D39" s="465">
        <v>1902735</v>
      </c>
      <c r="E39" s="465">
        <v>191954</v>
      </c>
      <c r="F39" s="465">
        <v>397486</v>
      </c>
      <c r="G39" s="465">
        <v>65591</v>
      </c>
      <c r="H39" s="465">
        <v>0</v>
      </c>
      <c r="I39" s="465">
        <v>598975</v>
      </c>
      <c r="J39" s="465">
        <v>163092</v>
      </c>
      <c r="K39" s="465">
        <v>40402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22969290</v>
      </c>
      <c r="N40" s="495"/>
    </row>
    <row r="41" spans="1:14" ht="13.5" customHeight="1" thickBot="1" x14ac:dyDescent="0.25">
      <c r="A41" s="1756" t="s">
        <v>676</v>
      </c>
      <c r="B41" s="1726"/>
      <c r="C41" s="1708">
        <f>(SUM(C34,C37,C38,C39))</f>
        <v>5094259</v>
      </c>
      <c r="D41" s="1708">
        <f t="shared" ref="D41:L41" si="2">SUM(D34,D37,D38:D39)</f>
        <v>1902735</v>
      </c>
      <c r="E41" s="1708">
        <f t="shared" si="2"/>
        <v>191954</v>
      </c>
      <c r="F41" s="1708">
        <f t="shared" si="2"/>
        <v>397486</v>
      </c>
      <c r="G41" s="1708">
        <f t="shared" si="2"/>
        <v>221266</v>
      </c>
      <c r="H41" s="1708">
        <f t="shared" si="2"/>
        <v>223622</v>
      </c>
      <c r="I41" s="1708">
        <f t="shared" si="2"/>
        <v>598975</v>
      </c>
      <c r="J41" s="1708">
        <f t="shared" si="2"/>
        <v>163092</v>
      </c>
      <c r="K41" s="1708">
        <f t="shared" si="2"/>
        <v>40402</v>
      </c>
      <c r="L41" s="1708">
        <f t="shared" si="2"/>
        <v>38508</v>
      </c>
      <c r="M41" s="1708">
        <f>SUM(M40)</f>
        <v>22969290</v>
      </c>
      <c r="N41" s="1708">
        <f>SUM(N37)</f>
        <v>3269000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31" sqref="C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28" t="s">
        <v>1751</v>
      </c>
      <c r="B1" s="452"/>
      <c r="C1" s="502" t="s">
        <v>445</v>
      </c>
      <c r="D1" s="502" t="s">
        <v>446</v>
      </c>
      <c r="E1" s="502" t="s">
        <v>447</v>
      </c>
      <c r="F1" s="502" t="s">
        <v>448</v>
      </c>
      <c r="G1" s="502" t="s">
        <v>449</v>
      </c>
      <c r="H1" s="502" t="s">
        <v>450</v>
      </c>
      <c r="I1" s="502" t="s">
        <v>451</v>
      </c>
      <c r="J1" s="502" t="s">
        <v>452</v>
      </c>
      <c r="K1" s="502" t="s">
        <v>780</v>
      </c>
      <c r="L1" s="499"/>
    </row>
    <row r="2" spans="1:13" s="503" customFormat="1" ht="37.700000000000003" customHeight="1" x14ac:dyDescent="0.2">
      <c r="A2" s="222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40" t="s">
        <v>1237</v>
      </c>
      <c r="B3" s="2241"/>
      <c r="C3" s="1593"/>
      <c r="D3" s="1594"/>
      <c r="E3" s="1594"/>
      <c r="F3" s="1594"/>
      <c r="G3" s="1594"/>
      <c r="H3" s="1594"/>
      <c r="I3" s="1594"/>
      <c r="J3" s="1594"/>
      <c r="K3" s="1595"/>
      <c r="L3" s="504"/>
    </row>
    <row r="4" spans="1:13" ht="15.95" customHeight="1" x14ac:dyDescent="0.2">
      <c r="A4" s="1950" t="s">
        <v>1579</v>
      </c>
      <c r="B4" s="1951">
        <v>1000</v>
      </c>
      <c r="C4" s="1762">
        <f>'Revenues 9-14'!C109</f>
        <v>2496988</v>
      </c>
      <c r="D4" s="1762">
        <f>'Revenues 9-14'!D109</f>
        <v>297365</v>
      </c>
      <c r="E4" s="1762">
        <f>'Revenues 9-14'!E109</f>
        <v>470678</v>
      </c>
      <c r="F4" s="1762">
        <f>'Revenues 9-14'!F109</f>
        <v>221306</v>
      </c>
      <c r="G4" s="1762">
        <f>'Revenues 9-14'!G109</f>
        <v>216002</v>
      </c>
      <c r="H4" s="1762">
        <f>'Revenues 9-14'!H109</f>
        <v>252380</v>
      </c>
      <c r="I4" s="1762">
        <f>'Revenues 9-14'!I109</f>
        <v>44544</v>
      </c>
      <c r="J4" s="1762">
        <f>'Revenues 9-14'!J109</f>
        <v>171286</v>
      </c>
      <c r="K4" s="1762">
        <f>'Revenues 9-14'!K109</f>
        <v>355</v>
      </c>
      <c r="L4" s="347"/>
    </row>
    <row r="5" spans="1:13" ht="15.9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95" customHeight="1" x14ac:dyDescent="0.2">
      <c r="A6" s="1596" t="s">
        <v>1581</v>
      </c>
      <c r="B6" s="1598">
        <v>3000</v>
      </c>
      <c r="C6" s="1763">
        <f>'Revenues 9-14'!C173</f>
        <v>2773275</v>
      </c>
      <c r="D6" s="1763">
        <f>'Revenues 9-14'!D173</f>
        <v>0</v>
      </c>
      <c r="E6" s="1763">
        <f>'Revenues 9-14'!E173</f>
        <v>0</v>
      </c>
      <c r="F6" s="1763">
        <f>'Revenues 9-14'!F173</f>
        <v>131785</v>
      </c>
      <c r="G6" s="1763">
        <f>'Revenues 9-14'!G173</f>
        <v>0</v>
      </c>
      <c r="H6" s="1763">
        <f>'Revenues 9-14'!H173</f>
        <v>0</v>
      </c>
      <c r="I6" s="1763">
        <f>'Revenues 9-14'!I173</f>
        <v>0</v>
      </c>
      <c r="J6" s="1763">
        <f>'Revenues 9-14'!J173</f>
        <v>0</v>
      </c>
      <c r="K6" s="1763">
        <f>'Revenues 9-14'!K173</f>
        <v>0</v>
      </c>
      <c r="L6" s="347"/>
      <c r="M6" s="511"/>
    </row>
    <row r="7" spans="1:13" ht="15.95" customHeight="1" x14ac:dyDescent="0.2">
      <c r="A7" s="1596" t="s">
        <v>1582</v>
      </c>
      <c r="B7" s="1598">
        <v>4000</v>
      </c>
      <c r="C7" s="1763">
        <f>'Revenues 9-14'!C274</f>
        <v>803269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6073532</v>
      </c>
      <c r="D8" s="1708">
        <f t="shared" ref="D8:K8" si="0">SUM(D4:D7)</f>
        <v>297365</v>
      </c>
      <c r="E8" s="1708">
        <f t="shared" si="0"/>
        <v>470678</v>
      </c>
      <c r="F8" s="1708">
        <f t="shared" si="0"/>
        <v>353091</v>
      </c>
      <c r="G8" s="1708">
        <f t="shared" si="0"/>
        <v>216002</v>
      </c>
      <c r="H8" s="1708">
        <f t="shared" si="0"/>
        <v>252380</v>
      </c>
      <c r="I8" s="1708">
        <f t="shared" si="0"/>
        <v>44544</v>
      </c>
      <c r="J8" s="1708">
        <f t="shared" si="0"/>
        <v>171286</v>
      </c>
      <c r="K8" s="1708">
        <f t="shared" si="0"/>
        <v>355</v>
      </c>
      <c r="L8" s="347"/>
    </row>
    <row r="9" spans="1:13" ht="15.75" thickTop="1" x14ac:dyDescent="0.2">
      <c r="A9" s="512" t="s">
        <v>1752</v>
      </c>
      <c r="B9" s="513">
        <v>3998</v>
      </c>
      <c r="C9" s="465">
        <v>2114650</v>
      </c>
      <c r="D9" s="514"/>
      <c r="E9" s="480"/>
      <c r="F9" s="480"/>
      <c r="G9" s="515"/>
      <c r="H9" s="480"/>
      <c r="I9" s="507" t="s">
        <v>1231</v>
      </c>
      <c r="J9" s="477"/>
      <c r="K9" s="480"/>
      <c r="L9" s="347"/>
    </row>
    <row r="10" spans="1:13" s="517" customFormat="1" ht="13.5" thickBot="1" x14ac:dyDescent="0.25">
      <c r="A10" s="1756" t="s">
        <v>1235</v>
      </c>
      <c r="B10" s="1729"/>
      <c r="C10" s="1708">
        <f>SUM(C8:C9)</f>
        <v>8188182</v>
      </c>
      <c r="D10" s="1708">
        <f t="shared" ref="D10:K10" si="1">SUM(D8:D9)</f>
        <v>297365</v>
      </c>
      <c r="E10" s="1708">
        <f t="shared" si="1"/>
        <v>470678</v>
      </c>
      <c r="F10" s="1708">
        <f t="shared" si="1"/>
        <v>353091</v>
      </c>
      <c r="G10" s="1708">
        <f t="shared" si="1"/>
        <v>216002</v>
      </c>
      <c r="H10" s="1708">
        <f t="shared" si="1"/>
        <v>252380</v>
      </c>
      <c r="I10" s="1708">
        <f t="shared" si="1"/>
        <v>44544</v>
      </c>
      <c r="J10" s="1708">
        <f t="shared" si="1"/>
        <v>171286</v>
      </c>
      <c r="K10" s="1708">
        <f t="shared" si="1"/>
        <v>355</v>
      </c>
      <c r="L10" s="516"/>
    </row>
    <row r="11" spans="1:13" s="517" customFormat="1" ht="16.7" customHeight="1" thickTop="1" x14ac:dyDescent="0.2">
      <c r="A11" s="2214" t="s">
        <v>1238</v>
      </c>
      <c r="B11" s="2215"/>
      <c r="C11" s="1590"/>
      <c r="D11" s="1591"/>
      <c r="E11" s="1591"/>
      <c r="F11" s="1591"/>
      <c r="G11" s="1591"/>
      <c r="H11" s="1591"/>
      <c r="I11" s="1591"/>
      <c r="J11" s="1591"/>
      <c r="K11" s="1592"/>
      <c r="L11" s="516"/>
    </row>
    <row r="12" spans="1:13" ht="15.95" customHeight="1" x14ac:dyDescent="0.2">
      <c r="A12" s="1596" t="s">
        <v>476</v>
      </c>
      <c r="B12" s="1598">
        <v>1000</v>
      </c>
      <c r="C12" s="1762">
        <f>'Expenditures 15-22'!K33</f>
        <v>3391901</v>
      </c>
      <c r="D12" s="518" t="s">
        <v>1231</v>
      </c>
      <c r="E12" s="468" t="s">
        <v>1231</v>
      </c>
      <c r="F12" s="468" t="s">
        <v>1231</v>
      </c>
      <c r="G12" s="1762">
        <f>'Expenditures 15-22'!K229</f>
        <v>44122</v>
      </c>
      <c r="H12" s="519"/>
      <c r="I12" s="468" t="s">
        <v>1231</v>
      </c>
      <c r="J12" s="468" t="s">
        <v>1231</v>
      </c>
      <c r="K12" s="519" t="s">
        <v>1231</v>
      </c>
      <c r="L12" s="347"/>
    </row>
    <row r="13" spans="1:13" ht="15.95" customHeight="1" x14ac:dyDescent="0.2">
      <c r="A13" s="1596" t="s">
        <v>477</v>
      </c>
      <c r="B13" s="1598">
        <v>2000</v>
      </c>
      <c r="C13" s="1763">
        <f>'Expenditures 15-22'!K74</f>
        <v>1469775</v>
      </c>
      <c r="D13" s="1763">
        <f>'Expenditures 15-22'!K129</f>
        <v>144050</v>
      </c>
      <c r="E13" s="469" t="s">
        <v>1231</v>
      </c>
      <c r="F13" s="1763">
        <f>'Expenditures 15-22'!K184</f>
        <v>185551</v>
      </c>
      <c r="G13" s="1763">
        <f>'Expenditures 15-22'!K279</f>
        <v>82184</v>
      </c>
      <c r="H13" s="1763">
        <f>'Expenditures 15-22'!K303</f>
        <v>28758</v>
      </c>
      <c r="I13" s="468" t="s">
        <v>1231</v>
      </c>
      <c r="J13" s="1763">
        <f>'Expenditures 15-22'!K330</f>
        <v>111461</v>
      </c>
      <c r="K13" s="1767">
        <f>'Expenditures 15-22'!K352</f>
        <v>16800</v>
      </c>
      <c r="L13" s="347"/>
    </row>
    <row r="14" spans="1:13" ht="15.95" customHeight="1" x14ac:dyDescent="0.2">
      <c r="A14" s="1596" t="s">
        <v>469</v>
      </c>
      <c r="B14" s="1598">
        <v>3000</v>
      </c>
      <c r="C14" s="1763">
        <f>'Expenditures 15-22'!K75</f>
        <v>12140</v>
      </c>
      <c r="D14" s="1763">
        <f>'Expenditures 15-22'!K130</f>
        <v>0</v>
      </c>
      <c r="E14" s="518" t="s">
        <v>1231</v>
      </c>
      <c r="F14" s="1763">
        <f>'Expenditures 15-22'!K185</f>
        <v>0</v>
      </c>
      <c r="G14" s="1763">
        <f>'Expenditures 15-22'!K280</f>
        <v>821</v>
      </c>
      <c r="H14" s="510"/>
      <c r="I14" s="468" t="s">
        <v>1231</v>
      </c>
      <c r="J14" s="468" t="s">
        <v>1231</v>
      </c>
      <c r="K14" s="510" t="s">
        <v>1231</v>
      </c>
      <c r="L14" s="347"/>
    </row>
    <row r="15" spans="1:13" ht="15.95" customHeight="1" x14ac:dyDescent="0.2">
      <c r="A15" s="1596" t="s">
        <v>109</v>
      </c>
      <c r="B15" s="1598">
        <v>4000</v>
      </c>
      <c r="C15" s="1763">
        <f>'Expenditures 15-22'!K102</f>
        <v>411757</v>
      </c>
      <c r="D15" s="1763">
        <f>'Expenditures 15-22'!K139</f>
        <v>104322</v>
      </c>
      <c r="E15" s="1763">
        <f>'Expenditures 15-22'!K160</f>
        <v>0</v>
      </c>
      <c r="F15" s="1763">
        <f>'Expenditures 15-22'!K196</f>
        <v>0</v>
      </c>
      <c r="G15" s="1763">
        <f>'Expenditures 15-22'!K285</f>
        <v>4374</v>
      </c>
      <c r="H15" s="1763">
        <f>'Expenditures 15-22'!K310</f>
        <v>0</v>
      </c>
      <c r="I15" s="468" t="s">
        <v>1231</v>
      </c>
      <c r="J15" s="1856">
        <f>'Expenditures 15-22'!K334</f>
        <v>0</v>
      </c>
      <c r="K15" s="1763">
        <f>'Expenditures 15-22'!K357</f>
        <v>0</v>
      </c>
      <c r="L15" s="347"/>
    </row>
    <row r="16" spans="1:13" ht="15.95" customHeight="1" x14ac:dyDescent="0.2">
      <c r="A16" s="1596" t="s">
        <v>470</v>
      </c>
      <c r="B16" s="1598">
        <v>5000</v>
      </c>
      <c r="C16" s="1763">
        <f>'Expenditures 15-22'!K112</f>
        <v>0</v>
      </c>
      <c r="D16" s="1763">
        <f>'Expenditures 15-22'!K149</f>
        <v>0</v>
      </c>
      <c r="E16" s="1763">
        <f>'Expenditures 15-22'!K172</f>
        <v>438766</v>
      </c>
      <c r="F16" s="1763">
        <f>'Expenditures 15-22'!K208</f>
        <v>81331</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5285573</v>
      </c>
      <c r="D17" s="1708">
        <f t="shared" si="2"/>
        <v>248372</v>
      </c>
      <c r="E17" s="1708">
        <f t="shared" si="2"/>
        <v>438766</v>
      </c>
      <c r="F17" s="1708">
        <f t="shared" si="2"/>
        <v>266882</v>
      </c>
      <c r="G17" s="1708">
        <f t="shared" si="2"/>
        <v>131501</v>
      </c>
      <c r="H17" s="1708">
        <f t="shared" si="2"/>
        <v>28758</v>
      </c>
      <c r="I17" s="468"/>
      <c r="J17" s="1708">
        <f>SUM(J12:J16)</f>
        <v>111461</v>
      </c>
      <c r="K17" s="1708">
        <f>SUM(K12:K16)</f>
        <v>16800</v>
      </c>
      <c r="L17" s="347"/>
    </row>
    <row r="18" spans="1:12" ht="15" customHeight="1" thickTop="1" x14ac:dyDescent="0.2">
      <c r="A18" s="1764" t="s">
        <v>1753</v>
      </c>
      <c r="B18" s="1765">
        <v>4180</v>
      </c>
      <c r="C18" s="1762">
        <f t="shared" ref="C18:H18" si="3">C9</f>
        <v>2114650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7400223</v>
      </c>
      <c r="D19" s="1708">
        <f t="shared" si="4"/>
        <v>248372</v>
      </c>
      <c r="E19" s="1708">
        <f t="shared" si="4"/>
        <v>438766</v>
      </c>
      <c r="F19" s="1708">
        <f t="shared" si="4"/>
        <v>266882</v>
      </c>
      <c r="G19" s="1708">
        <f t="shared" si="4"/>
        <v>131501</v>
      </c>
      <c r="H19" s="1708">
        <f t="shared" si="4"/>
        <v>28758</v>
      </c>
      <c r="I19" s="468"/>
      <c r="J19" s="1708">
        <f>SUM(J17:J18)</f>
        <v>111461</v>
      </c>
      <c r="K19" s="1708">
        <f>SUM(K17:K18)</f>
        <v>16800</v>
      </c>
      <c r="L19" s="347"/>
    </row>
    <row r="20" spans="1:12" ht="16.5" thickTop="1" thickBot="1" x14ac:dyDescent="0.25">
      <c r="A20" s="2230" t="s">
        <v>1754</v>
      </c>
      <c r="B20" s="2231"/>
      <c r="C20" s="1766">
        <f>C8-C17</f>
        <v>787959</v>
      </c>
      <c r="D20" s="1766">
        <f t="shared" ref="D20:K20" si="5">D8-D17</f>
        <v>48993</v>
      </c>
      <c r="E20" s="1766">
        <f t="shared" si="5"/>
        <v>31912</v>
      </c>
      <c r="F20" s="1766">
        <f t="shared" si="5"/>
        <v>86209</v>
      </c>
      <c r="G20" s="1766">
        <f t="shared" si="5"/>
        <v>84501</v>
      </c>
      <c r="H20" s="1766">
        <f t="shared" si="5"/>
        <v>223622</v>
      </c>
      <c r="I20" s="1766">
        <f t="shared" si="5"/>
        <v>44544</v>
      </c>
      <c r="J20" s="1766">
        <f t="shared" si="5"/>
        <v>59825</v>
      </c>
      <c r="K20" s="1766">
        <f t="shared" si="5"/>
        <v>-16445</v>
      </c>
      <c r="L20" s="347"/>
    </row>
    <row r="21" spans="1:12" ht="16.7" customHeight="1" thickTop="1" x14ac:dyDescent="0.2">
      <c r="A21" s="2242" t="s">
        <v>616</v>
      </c>
      <c r="B21" s="2243"/>
      <c r="C21" s="1590"/>
      <c r="D21" s="1591"/>
      <c r="E21" s="1591"/>
      <c r="F21" s="1591"/>
      <c r="G21" s="1591"/>
      <c r="H21" s="1591"/>
      <c r="I21" s="1591"/>
      <c r="J21" s="1591"/>
      <c r="K21" s="1592"/>
      <c r="L21" s="522"/>
    </row>
    <row r="22" spans="1:12" ht="15.95" customHeight="1" collapsed="1" x14ac:dyDescent="0.2">
      <c r="A22" s="2238" t="s">
        <v>617</v>
      </c>
      <c r="B22" s="2239"/>
      <c r="C22" s="476"/>
      <c r="D22" s="476"/>
      <c r="E22" s="476"/>
      <c r="F22" s="476"/>
      <c r="G22" s="476"/>
      <c r="H22" s="476"/>
      <c r="I22" s="476"/>
      <c r="J22" s="476"/>
      <c r="K22" s="476"/>
      <c r="L22" s="347"/>
    </row>
    <row r="23" spans="1:12" s="484" customFormat="1" ht="15.95" customHeight="1" x14ac:dyDescent="0.2">
      <c r="A23" s="2234" t="s">
        <v>311</v>
      </c>
      <c r="B23" s="2235"/>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1895</v>
      </c>
      <c r="B30" s="525">
        <v>7160</v>
      </c>
      <c r="C30" s="476"/>
      <c r="D30" s="467">
        <v>0</v>
      </c>
      <c r="E30" s="476"/>
      <c r="F30" s="476"/>
      <c r="G30" s="476"/>
      <c r="H30" s="476"/>
      <c r="I30" s="476"/>
      <c r="J30" s="476"/>
      <c r="K30" s="476"/>
      <c r="L30" s="522"/>
    </row>
    <row r="31" spans="1:12" s="484" customFormat="1" ht="26.25" x14ac:dyDescent="0.2">
      <c r="A31" s="1509" t="s">
        <v>1899</v>
      </c>
      <c r="B31" s="525">
        <v>7170</v>
      </c>
      <c r="C31" s="476"/>
      <c r="D31" s="476"/>
      <c r="E31" s="474">
        <v>0</v>
      </c>
      <c r="F31" s="476"/>
      <c r="G31" s="476"/>
      <c r="H31" s="476"/>
      <c r="I31" s="476"/>
      <c r="J31" s="476"/>
      <c r="K31" s="476"/>
      <c r="L31" s="522"/>
    </row>
    <row r="32" spans="1:12" s="484" customFormat="1" ht="15.95" customHeight="1" x14ac:dyDescent="0.2">
      <c r="A32" s="2236" t="s">
        <v>1038</v>
      </c>
      <c r="B32" s="223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44" t="s">
        <v>392</v>
      </c>
      <c r="B44" s="224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95" customHeight="1" thickTop="1" x14ac:dyDescent="0.2">
      <c r="A45" s="2238" t="s">
        <v>110</v>
      </c>
      <c r="B45" s="2239"/>
      <c r="C45" s="526"/>
      <c r="D45" s="526"/>
      <c r="E45" s="526"/>
      <c r="F45" s="526"/>
      <c r="G45" s="526"/>
      <c r="H45" s="526"/>
      <c r="I45" s="526"/>
      <c r="J45" s="526"/>
      <c r="K45" s="526"/>
      <c r="L45" s="347"/>
    </row>
    <row r="46" spans="1:12" s="484" customFormat="1" ht="15.95" customHeight="1" x14ac:dyDescent="0.2">
      <c r="A46" s="2246" t="s">
        <v>111</v>
      </c>
      <c r="B46" s="224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1898</v>
      </c>
      <c r="B52" s="482">
        <v>8160</v>
      </c>
      <c r="C52" s="476"/>
      <c r="D52" s="476"/>
      <c r="E52" s="476"/>
      <c r="F52" s="476"/>
      <c r="G52" s="476"/>
      <c r="H52" s="476"/>
      <c r="I52" s="476"/>
      <c r="J52" s="476"/>
      <c r="K52" s="1763">
        <f>D30</f>
        <v>0</v>
      </c>
      <c r="L52" s="522"/>
    </row>
    <row r="53" spans="1:12" s="484" customFormat="1" ht="26.25" x14ac:dyDescent="0.2">
      <c r="A53" s="1510" t="s">
        <v>1897</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20" t="s">
        <v>460</v>
      </c>
      <c r="B76" s="222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222" t="s">
        <v>1239</v>
      </c>
      <c r="B77" s="222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226" t="s">
        <v>618</v>
      </c>
      <c r="B78" s="2227"/>
      <c r="C78" s="1722">
        <f t="shared" ref="C78:K78" si="9">C20+C77</f>
        <v>787959</v>
      </c>
      <c r="D78" s="1722">
        <f t="shared" si="9"/>
        <v>48993</v>
      </c>
      <c r="E78" s="1722">
        <f t="shared" si="9"/>
        <v>31912</v>
      </c>
      <c r="F78" s="1722">
        <f t="shared" si="9"/>
        <v>86209</v>
      </c>
      <c r="G78" s="1722">
        <f t="shared" si="9"/>
        <v>84501</v>
      </c>
      <c r="H78" s="1722">
        <f t="shared" si="9"/>
        <v>223622</v>
      </c>
      <c r="I78" s="1722">
        <f t="shared" si="9"/>
        <v>44544</v>
      </c>
      <c r="J78" s="1722">
        <f t="shared" si="9"/>
        <v>59825</v>
      </c>
      <c r="K78" s="1722">
        <f t="shared" si="9"/>
        <v>-16445</v>
      </c>
      <c r="L78" s="531"/>
    </row>
    <row r="79" spans="1:12" ht="13.5" thickTop="1" x14ac:dyDescent="0.2">
      <c r="A79" s="1514" t="s">
        <v>2070</v>
      </c>
      <c r="B79" s="532"/>
      <c r="C79" s="467">
        <v>4305718</v>
      </c>
      <c r="D79" s="467">
        <v>1853742</v>
      </c>
      <c r="E79" s="467">
        <v>160042</v>
      </c>
      <c r="F79" s="467">
        <v>311277</v>
      </c>
      <c r="G79" s="467">
        <v>136765</v>
      </c>
      <c r="H79" s="467">
        <v>0</v>
      </c>
      <c r="I79" s="467">
        <v>554431</v>
      </c>
      <c r="J79" s="467">
        <v>103267</v>
      </c>
      <c r="K79" s="467">
        <v>56847</v>
      </c>
      <c r="L79" s="347"/>
    </row>
    <row r="80" spans="1:12" x14ac:dyDescent="0.2">
      <c r="A80" s="2232" t="s">
        <v>1896</v>
      </c>
      <c r="B80" s="2233"/>
      <c r="C80" s="467">
        <v>0</v>
      </c>
      <c r="D80" s="467">
        <v>0</v>
      </c>
      <c r="E80" s="467">
        <v>0</v>
      </c>
      <c r="F80" s="467">
        <v>0</v>
      </c>
      <c r="G80" s="467">
        <v>0</v>
      </c>
      <c r="H80" s="467">
        <v>0</v>
      </c>
      <c r="I80" s="467">
        <v>0</v>
      </c>
      <c r="J80" s="467">
        <v>0</v>
      </c>
      <c r="K80" s="467">
        <v>0</v>
      </c>
      <c r="L80" s="347"/>
    </row>
    <row r="81" spans="1:12" ht="13.5" thickBot="1" x14ac:dyDescent="0.25">
      <c r="A81" s="2224" t="s">
        <v>2071</v>
      </c>
      <c r="B81" s="2225"/>
      <c r="C81" s="1708">
        <f>(SUM(C78:C80))</f>
        <v>5093677</v>
      </c>
      <c r="D81" s="1708">
        <f>SUM(D78:D80)</f>
        <v>1902735</v>
      </c>
      <c r="E81" s="1708">
        <f t="shared" ref="E81:K81" si="10">SUM(E78:E80)</f>
        <v>191954</v>
      </c>
      <c r="F81" s="1708">
        <f t="shared" si="10"/>
        <v>397486</v>
      </c>
      <c r="G81" s="1708">
        <f t="shared" si="10"/>
        <v>221266</v>
      </c>
      <c r="H81" s="1708">
        <f t="shared" si="10"/>
        <v>223622</v>
      </c>
      <c r="I81" s="1708">
        <f t="shared" si="10"/>
        <v>598975</v>
      </c>
      <c r="J81" s="1708">
        <f t="shared" si="10"/>
        <v>163092</v>
      </c>
      <c r="K81" s="1708">
        <f t="shared" si="10"/>
        <v>40402</v>
      </c>
      <c r="L81" s="347"/>
    </row>
    <row r="82" spans="1:12" ht="0.75" customHeight="1" thickTop="1" thickBot="1" x14ac:dyDescent="0.25">
      <c r="A82" s="534" t="s">
        <v>361</v>
      </c>
      <c r="B82" s="535"/>
      <c r="C82" s="536">
        <f>(C81-C79)</f>
        <v>787959</v>
      </c>
      <c r="D82" s="536">
        <f t="shared" ref="D82:K82" si="11">(D81-D79)</f>
        <v>48993</v>
      </c>
      <c r="E82" s="536">
        <f t="shared" si="11"/>
        <v>31912</v>
      </c>
      <c r="F82" s="536">
        <f t="shared" si="11"/>
        <v>86209</v>
      </c>
      <c r="G82" s="536">
        <f t="shared" si="11"/>
        <v>84501</v>
      </c>
      <c r="H82" s="536">
        <f t="shared" si="11"/>
        <v>223622</v>
      </c>
      <c r="I82" s="536">
        <f t="shared" si="11"/>
        <v>44544</v>
      </c>
      <c r="J82" s="536">
        <f t="shared" si="11"/>
        <v>59825</v>
      </c>
      <c r="K82" s="536">
        <f t="shared" si="11"/>
        <v>-16445</v>
      </c>
    </row>
    <row r="83" spans="1:12" ht="14.25" hidden="1" thickTop="1" thickBot="1" x14ac:dyDescent="0.25">
      <c r="A83" s="537" t="s">
        <v>362</v>
      </c>
      <c r="B83" s="464"/>
      <c r="C83" s="538">
        <f>C82/C81</f>
        <v>0.1546935543812456</v>
      </c>
      <c r="D83" s="538">
        <f t="shared" ref="D83:K83" si="12">D82/D81</f>
        <v>2.5748724861843611E-2</v>
      </c>
      <c r="E83" s="538">
        <f t="shared" si="12"/>
        <v>0.16624816362253456</v>
      </c>
      <c r="F83" s="538">
        <f t="shared" si="12"/>
        <v>0.21688562616041823</v>
      </c>
      <c r="G83" s="538">
        <f t="shared" si="12"/>
        <v>0.38189780626033826</v>
      </c>
      <c r="H83" s="538">
        <f t="shared" si="12"/>
        <v>1</v>
      </c>
      <c r="I83" s="538">
        <f t="shared" si="12"/>
        <v>7.4367043699653579E-2</v>
      </c>
      <c r="J83" s="538">
        <f t="shared" si="12"/>
        <v>0.36681750177813749</v>
      </c>
      <c r="K83" s="538">
        <f t="shared" si="12"/>
        <v>-0.40703430523241424</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31" sqref="C31"/>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28" t="s">
        <v>1903</v>
      </c>
      <c r="B1" s="452"/>
      <c r="C1" s="453" t="s">
        <v>445</v>
      </c>
      <c r="D1" s="453" t="s">
        <v>446</v>
      </c>
      <c r="E1" s="453" t="s">
        <v>447</v>
      </c>
      <c r="F1" s="453" t="s">
        <v>448</v>
      </c>
      <c r="G1" s="453" t="s">
        <v>449</v>
      </c>
      <c r="H1" s="453" t="s">
        <v>450</v>
      </c>
      <c r="I1" s="453" t="s">
        <v>451</v>
      </c>
      <c r="J1" s="453" t="s">
        <v>452</v>
      </c>
      <c r="K1" s="453" t="s">
        <v>780</v>
      </c>
    </row>
    <row r="2" spans="1:12" ht="36" x14ac:dyDescent="0.2">
      <c r="A2" s="222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95" customHeight="1" x14ac:dyDescent="0.2">
      <c r="A4" s="1610" t="s">
        <v>397</v>
      </c>
      <c r="B4" s="1611">
        <v>1100</v>
      </c>
      <c r="C4" s="541"/>
      <c r="D4" s="541"/>
      <c r="E4" s="541"/>
      <c r="F4" s="542"/>
      <c r="G4" s="543"/>
      <c r="H4" s="544"/>
      <c r="I4" s="544"/>
      <c r="J4" s="544"/>
      <c r="K4" s="544"/>
    </row>
    <row r="5" spans="1:12" ht="15" x14ac:dyDescent="0.2">
      <c r="A5" s="491" t="s">
        <v>1760</v>
      </c>
      <c r="B5" s="545"/>
      <c r="C5" s="480">
        <v>2130065</v>
      </c>
      <c r="D5" s="480">
        <v>203251</v>
      </c>
      <c r="E5" s="480">
        <v>467402</v>
      </c>
      <c r="F5" s="546">
        <v>97560</v>
      </c>
      <c r="G5" s="466">
        <v>31934</v>
      </c>
      <c r="H5" s="466">
        <v>0</v>
      </c>
      <c r="I5" s="466">
        <v>40650</v>
      </c>
      <c r="J5" s="466">
        <v>163538</v>
      </c>
      <c r="K5" s="466">
        <v>0</v>
      </c>
    </row>
    <row r="6" spans="1:12" ht="15" x14ac:dyDescent="0.2">
      <c r="A6" s="463" t="s">
        <v>1761</v>
      </c>
      <c r="B6" s="470">
        <v>1130</v>
      </c>
      <c r="C6" s="466">
        <v>10736</v>
      </c>
      <c r="D6" s="466">
        <v>0</v>
      </c>
      <c r="E6" s="475"/>
      <c r="F6" s="475"/>
      <c r="G6" s="468"/>
      <c r="H6" s="468"/>
      <c r="I6" s="468"/>
      <c r="J6" s="468"/>
      <c r="K6" s="468"/>
    </row>
    <row r="7" spans="1:12" x14ac:dyDescent="0.2">
      <c r="A7" s="463" t="s">
        <v>112</v>
      </c>
      <c r="B7" s="547">
        <v>1140</v>
      </c>
      <c r="C7" s="466">
        <v>16260</v>
      </c>
      <c r="D7" s="466">
        <v>0</v>
      </c>
      <c r="E7" s="468"/>
      <c r="F7" s="467">
        <v>0</v>
      </c>
      <c r="G7" s="467">
        <v>0</v>
      </c>
      <c r="H7" s="467">
        <v>0</v>
      </c>
      <c r="I7" s="468"/>
      <c r="J7" s="468"/>
      <c r="K7" s="468"/>
    </row>
    <row r="8" spans="1:12" x14ac:dyDescent="0.2">
      <c r="A8" s="463" t="s">
        <v>433</v>
      </c>
      <c r="B8" s="470">
        <v>1150</v>
      </c>
      <c r="C8" s="475"/>
      <c r="D8" s="475"/>
      <c r="E8" s="476"/>
      <c r="F8" s="476"/>
      <c r="G8" s="480">
        <v>174015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2157061</v>
      </c>
      <c r="D12" s="1727">
        <f t="shared" si="0"/>
        <v>203251</v>
      </c>
      <c r="E12" s="1727">
        <f t="shared" si="0"/>
        <v>467402</v>
      </c>
      <c r="F12" s="1727">
        <f t="shared" si="0"/>
        <v>97560</v>
      </c>
      <c r="G12" s="1727">
        <f t="shared" si="0"/>
        <v>205949</v>
      </c>
      <c r="H12" s="1727">
        <f t="shared" si="0"/>
        <v>0</v>
      </c>
      <c r="I12" s="1727">
        <f t="shared" si="0"/>
        <v>40650</v>
      </c>
      <c r="J12" s="1727">
        <f t="shared" si="0"/>
        <v>163538</v>
      </c>
      <c r="K12" s="1708">
        <f t="shared" si="0"/>
        <v>0</v>
      </c>
    </row>
    <row r="13" spans="1:12" ht="15.9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4457</v>
      </c>
      <c r="D14" s="466">
        <v>419</v>
      </c>
      <c r="E14" s="466">
        <v>963</v>
      </c>
      <c r="F14" s="466">
        <v>201</v>
      </c>
      <c r="G14" s="466">
        <v>432</v>
      </c>
      <c r="H14" s="466">
        <v>0</v>
      </c>
      <c r="I14" s="466">
        <v>84</v>
      </c>
      <c r="J14" s="467">
        <v>345</v>
      </c>
      <c r="K14" s="466">
        <v>0</v>
      </c>
    </row>
    <row r="15" spans="1:12" ht="12.75" customHeight="1" x14ac:dyDescent="0.2">
      <c r="A15" s="463" t="s">
        <v>97</v>
      </c>
      <c r="B15" s="470">
        <v>1220</v>
      </c>
      <c r="C15" s="549">
        <v>4942</v>
      </c>
      <c r="D15" s="466">
        <v>464</v>
      </c>
      <c r="E15" s="466">
        <v>1055</v>
      </c>
      <c r="F15" s="466">
        <v>223</v>
      </c>
      <c r="G15" s="466">
        <v>481</v>
      </c>
      <c r="H15" s="466">
        <v>0</v>
      </c>
      <c r="I15" s="466">
        <v>93</v>
      </c>
      <c r="J15" s="467">
        <v>385</v>
      </c>
      <c r="K15" s="466">
        <v>0</v>
      </c>
    </row>
    <row r="16" spans="1:12" ht="15" customHeight="1" x14ac:dyDescent="0.2">
      <c r="A16" s="463" t="s">
        <v>1762</v>
      </c>
      <c r="B16" s="547">
        <v>1230</v>
      </c>
      <c r="C16" s="549">
        <v>184918</v>
      </c>
      <c r="D16" s="466">
        <v>68433</v>
      </c>
      <c r="E16" s="466">
        <v>0</v>
      </c>
      <c r="F16" s="466">
        <v>84000</v>
      </c>
      <c r="G16" s="466">
        <v>7867</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194317</v>
      </c>
      <c r="D18" s="1730">
        <f t="shared" ref="D18:K18" si="1">SUM(D14:D17)</f>
        <v>69316</v>
      </c>
      <c r="E18" s="1730">
        <f t="shared" si="1"/>
        <v>2018</v>
      </c>
      <c r="F18" s="1730">
        <f t="shared" si="1"/>
        <v>84424</v>
      </c>
      <c r="G18" s="1730">
        <f t="shared" si="1"/>
        <v>8780</v>
      </c>
      <c r="H18" s="1730">
        <f t="shared" si="1"/>
        <v>0</v>
      </c>
      <c r="I18" s="1730">
        <f t="shared" si="1"/>
        <v>177</v>
      </c>
      <c r="J18" s="1730">
        <f t="shared" si="1"/>
        <v>730</v>
      </c>
      <c r="K18" s="1731">
        <f t="shared" si="1"/>
        <v>0</v>
      </c>
    </row>
    <row r="19" spans="1:11" ht="15.9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9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34996</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34996</v>
      </c>
      <c r="G63" s="468"/>
      <c r="H63" s="468"/>
      <c r="I63" s="468"/>
      <c r="J63" s="468"/>
      <c r="K63" s="468"/>
    </row>
    <row r="64" spans="1:11" ht="15.9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36196</v>
      </c>
      <c r="D65" s="466">
        <v>15272</v>
      </c>
      <c r="E65" s="466">
        <v>1258</v>
      </c>
      <c r="F65" s="467">
        <v>2588</v>
      </c>
      <c r="G65" s="466">
        <v>1273</v>
      </c>
      <c r="H65" s="466">
        <v>794</v>
      </c>
      <c r="I65" s="466">
        <v>3717</v>
      </c>
      <c r="J65" s="467">
        <v>919</v>
      </c>
      <c r="K65" s="466">
        <v>355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36196</v>
      </c>
      <c r="D67" s="1708">
        <f t="shared" ref="D67:K67" si="2">SUM(D65:D66)</f>
        <v>15272</v>
      </c>
      <c r="E67" s="1708">
        <f t="shared" si="2"/>
        <v>1258</v>
      </c>
      <c r="F67" s="1708">
        <f t="shared" si="2"/>
        <v>2588</v>
      </c>
      <c r="G67" s="1708">
        <f t="shared" si="2"/>
        <v>1273</v>
      </c>
      <c r="H67" s="1708">
        <f t="shared" si="2"/>
        <v>794</v>
      </c>
      <c r="I67" s="1708">
        <f t="shared" si="2"/>
        <v>3717</v>
      </c>
      <c r="J67" s="1708">
        <f t="shared" si="2"/>
        <v>919</v>
      </c>
      <c r="K67" s="1708">
        <f t="shared" si="2"/>
        <v>355</v>
      </c>
    </row>
    <row r="68" spans="1:11" ht="15.9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3328</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3810</v>
      </c>
      <c r="D73" s="468"/>
      <c r="E73" s="468"/>
      <c r="F73" s="468"/>
      <c r="G73" s="468"/>
      <c r="H73" s="468"/>
      <c r="I73" s="468"/>
      <c r="J73" s="468"/>
      <c r="K73" s="468"/>
    </row>
    <row r="74" spans="1:11" ht="12.75" customHeight="1" x14ac:dyDescent="0.2">
      <c r="A74" s="463" t="s">
        <v>25</v>
      </c>
      <c r="B74" s="470">
        <v>1690</v>
      </c>
      <c r="C74" s="549">
        <v>81</v>
      </c>
      <c r="D74" s="468"/>
      <c r="E74" s="468"/>
      <c r="F74" s="468"/>
      <c r="G74" s="468"/>
      <c r="H74" s="468"/>
      <c r="I74" s="468"/>
      <c r="J74" s="468"/>
      <c r="K74" s="468"/>
    </row>
    <row r="75" spans="1:11" ht="12.75" customHeight="1" thickBot="1" x14ac:dyDescent="0.25">
      <c r="A75" s="1728" t="s">
        <v>569</v>
      </c>
      <c r="B75" s="1729"/>
      <c r="C75" s="1708">
        <f>SUM(C69:C74)</f>
        <v>7219</v>
      </c>
      <c r="D75" s="468"/>
      <c r="E75" s="468"/>
      <c r="F75" s="468"/>
      <c r="G75" s="468"/>
      <c r="H75" s="468"/>
      <c r="I75" s="468"/>
      <c r="J75" s="468"/>
      <c r="K75" s="468"/>
    </row>
    <row r="76" spans="1:11" ht="15.9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6422</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319</v>
      </c>
      <c r="D81" s="466">
        <v>0</v>
      </c>
      <c r="E81" s="468"/>
      <c r="F81" s="468"/>
      <c r="G81" s="468"/>
      <c r="H81" s="468"/>
      <c r="I81" s="468"/>
      <c r="J81" s="468"/>
      <c r="K81" s="468"/>
    </row>
    <row r="82" spans="1:11" ht="12.75" customHeight="1" thickBot="1" x14ac:dyDescent="0.25">
      <c r="A82" s="1728" t="s">
        <v>259</v>
      </c>
      <c r="B82" s="1729"/>
      <c r="C82" s="1727">
        <f>SUM(C77:C81)</f>
        <v>6741</v>
      </c>
      <c r="D82" s="1708">
        <f>SUM(D77:D81)</f>
        <v>0</v>
      </c>
      <c r="E82" s="468"/>
      <c r="F82" s="468"/>
      <c r="G82" s="468"/>
      <c r="H82" s="468"/>
      <c r="I82" s="468"/>
      <c r="J82" s="468"/>
      <c r="K82" s="468"/>
    </row>
    <row r="83" spans="1:11" ht="15.9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16146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33</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16179</v>
      </c>
      <c r="D93" s="468"/>
      <c r="E93" s="468"/>
      <c r="F93" s="468"/>
      <c r="G93" s="468"/>
      <c r="H93" s="468"/>
      <c r="I93" s="468"/>
      <c r="J93" s="468"/>
      <c r="K93" s="468"/>
    </row>
    <row r="94" spans="1:11" ht="15.9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1917</v>
      </c>
      <c r="E95" s="519"/>
      <c r="F95" s="519"/>
      <c r="G95" s="519"/>
      <c r="H95" s="519"/>
      <c r="I95" s="519"/>
      <c r="J95" s="519"/>
      <c r="K95" s="519"/>
    </row>
    <row r="96" spans="1:11" ht="12.75" customHeight="1" x14ac:dyDescent="0.2">
      <c r="A96" s="463" t="s">
        <v>409</v>
      </c>
      <c r="B96" s="470">
        <v>1920</v>
      </c>
      <c r="C96" s="549">
        <v>7495</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285</v>
      </c>
      <c r="D99" s="466">
        <v>0</v>
      </c>
      <c r="E99" s="466">
        <v>0</v>
      </c>
      <c r="F99" s="466">
        <v>0</v>
      </c>
      <c r="G99" s="466">
        <v>0</v>
      </c>
      <c r="H99" s="466">
        <v>0</v>
      </c>
      <c r="I99" s="468"/>
      <c r="J99" s="467">
        <v>6099</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251586</v>
      </c>
      <c r="I103" s="468"/>
      <c r="J103" s="508"/>
      <c r="K103" s="508"/>
    </row>
    <row r="104" spans="1:12" ht="12.75" customHeight="1" x14ac:dyDescent="0.2">
      <c r="A104" s="463" t="s">
        <v>885</v>
      </c>
      <c r="B104" s="470">
        <v>1991</v>
      </c>
      <c r="C104" s="487">
        <v>6622</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63</v>
      </c>
      <c r="D106" s="487">
        <v>0</v>
      </c>
      <c r="E106" s="467">
        <v>0</v>
      </c>
      <c r="F106" s="467">
        <v>0</v>
      </c>
      <c r="G106" s="467">
        <v>0</v>
      </c>
      <c r="H106" s="467">
        <v>0</v>
      </c>
      <c r="I106" s="519"/>
      <c r="J106" s="467">
        <v>0</v>
      </c>
      <c r="K106" s="467">
        <v>0</v>
      </c>
    </row>
    <row r="107" spans="1:12" ht="12.75" customHeight="1" x14ac:dyDescent="0.2">
      <c r="A107" s="463" t="s">
        <v>80</v>
      </c>
      <c r="B107" s="470">
        <v>1999</v>
      </c>
      <c r="C107" s="549">
        <v>64810</v>
      </c>
      <c r="D107" s="466">
        <v>7609</v>
      </c>
      <c r="E107" s="466">
        <v>0</v>
      </c>
      <c r="F107" s="466">
        <v>1738</v>
      </c>
      <c r="G107" s="466">
        <v>0</v>
      </c>
      <c r="H107" s="466">
        <v>0</v>
      </c>
      <c r="I107" s="466">
        <v>0</v>
      </c>
      <c r="J107" s="467">
        <v>0</v>
      </c>
      <c r="K107" s="466">
        <v>0</v>
      </c>
    </row>
    <row r="108" spans="1:12" ht="12.75" customHeight="1" thickBot="1" x14ac:dyDescent="0.25">
      <c r="A108" s="1728" t="s">
        <v>508</v>
      </c>
      <c r="B108" s="1732"/>
      <c r="C108" s="1727">
        <f>SUM(C95:C107)</f>
        <v>79275</v>
      </c>
      <c r="D108" s="1727">
        <f t="shared" ref="D108:K108" si="3">SUM(D95:D107)</f>
        <v>9526</v>
      </c>
      <c r="E108" s="1727">
        <f t="shared" si="3"/>
        <v>0</v>
      </c>
      <c r="F108" s="1727">
        <f t="shared" si="3"/>
        <v>1738</v>
      </c>
      <c r="G108" s="1727">
        <f t="shared" si="3"/>
        <v>0</v>
      </c>
      <c r="H108" s="1727">
        <f t="shared" si="3"/>
        <v>251586</v>
      </c>
      <c r="I108" s="1727">
        <f t="shared" si="3"/>
        <v>0</v>
      </c>
      <c r="J108" s="1727">
        <f t="shared" si="3"/>
        <v>6099</v>
      </c>
      <c r="K108" s="1708">
        <f t="shared" si="3"/>
        <v>0</v>
      </c>
    </row>
    <row r="109" spans="1:12" ht="14.25" thickTop="1" thickBot="1" x14ac:dyDescent="0.25">
      <c r="A109" s="1733" t="s">
        <v>266</v>
      </c>
      <c r="B109" s="1734" t="s">
        <v>591</v>
      </c>
      <c r="C109" s="1735">
        <f t="shared" ref="C109:K109" si="4">SUM(C12,C18,C40,C63,C67,C75,C82,C93,C108,)</f>
        <v>2496988</v>
      </c>
      <c r="D109" s="1735">
        <f t="shared" si="4"/>
        <v>297365</v>
      </c>
      <c r="E109" s="1735">
        <f t="shared" si="4"/>
        <v>470678</v>
      </c>
      <c r="F109" s="1735">
        <f t="shared" si="4"/>
        <v>221306</v>
      </c>
      <c r="G109" s="1735">
        <f t="shared" si="4"/>
        <v>216002</v>
      </c>
      <c r="H109" s="1735">
        <f t="shared" si="4"/>
        <v>252380</v>
      </c>
      <c r="I109" s="1735">
        <f t="shared" si="4"/>
        <v>44544</v>
      </c>
      <c r="J109" s="1735">
        <f t="shared" si="4"/>
        <v>171286</v>
      </c>
      <c r="K109" s="1722">
        <f t="shared" si="4"/>
        <v>355</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2456369</v>
      </c>
      <c r="D117" s="480">
        <v>0</v>
      </c>
      <c r="E117" s="466">
        <v>0</v>
      </c>
      <c r="F117" s="480">
        <v>0</v>
      </c>
      <c r="G117" s="480">
        <v>0</v>
      </c>
      <c r="H117" s="466">
        <v>0</v>
      </c>
      <c r="I117" s="468"/>
      <c r="J117" s="467">
        <v>0</v>
      </c>
      <c r="K117" s="466">
        <v>0</v>
      </c>
    </row>
    <row r="118" spans="1:11" ht="12.75" customHeight="1" x14ac:dyDescent="0.2">
      <c r="A118" s="463" t="s">
        <v>1900</v>
      </c>
      <c r="B118" s="560">
        <v>3002</v>
      </c>
      <c r="C118" s="549">
        <v>0</v>
      </c>
      <c r="D118" s="466">
        <v>0</v>
      </c>
      <c r="E118" s="466">
        <v>0</v>
      </c>
      <c r="F118" s="466">
        <v>0</v>
      </c>
      <c r="G118" s="466">
        <v>0</v>
      </c>
      <c r="H118" s="466">
        <v>0</v>
      </c>
      <c r="I118" s="468"/>
      <c r="J118" s="467">
        <v>0</v>
      </c>
      <c r="K118" s="466">
        <v>0</v>
      </c>
    </row>
    <row r="119" spans="1:11" ht="12.75" customHeight="1" x14ac:dyDescent="0.2">
      <c r="A119" s="463" t="s">
        <v>1901</v>
      </c>
      <c r="B119" s="560">
        <v>3005</v>
      </c>
      <c r="C119" s="549">
        <v>0</v>
      </c>
      <c r="D119" s="466">
        <v>0</v>
      </c>
      <c r="E119" s="466">
        <v>0</v>
      </c>
      <c r="F119" s="466">
        <v>0</v>
      </c>
      <c r="G119" s="466">
        <v>0</v>
      </c>
      <c r="H119" s="466">
        <v>0</v>
      </c>
      <c r="I119" s="468"/>
      <c r="J119" s="467">
        <v>0</v>
      </c>
      <c r="K119" s="466">
        <v>0</v>
      </c>
    </row>
    <row r="120" spans="1:11" x14ac:dyDescent="0.2">
      <c r="A120" s="1516" t="s">
        <v>1902</v>
      </c>
      <c r="B120" s="562">
        <v>3099</v>
      </c>
      <c r="C120" s="549">
        <v>0</v>
      </c>
      <c r="D120" s="466">
        <v>0</v>
      </c>
      <c r="E120" s="466">
        <v>0</v>
      </c>
      <c r="F120" s="466">
        <v>0</v>
      </c>
      <c r="G120" s="466">
        <v>0</v>
      </c>
      <c r="H120" s="466">
        <v>0</v>
      </c>
      <c r="I120" s="468"/>
      <c r="J120" s="467">
        <v>0</v>
      </c>
      <c r="K120" s="466">
        <v>0</v>
      </c>
    </row>
    <row r="121" spans="1:11" ht="12.75" customHeight="1" thickBot="1" x14ac:dyDescent="0.25">
      <c r="A121" s="1728" t="s">
        <v>509</v>
      </c>
      <c r="B121" s="1739"/>
      <c r="C121" s="1727">
        <f t="shared" ref="C121:H121" si="5">SUM(C117:C120)</f>
        <v>2456369</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9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42882</v>
      </c>
      <c r="D125" s="559"/>
      <c r="E125" s="468"/>
      <c r="F125" s="466">
        <v>0</v>
      </c>
      <c r="G125" s="468"/>
      <c r="H125" s="468"/>
      <c r="I125" s="468"/>
      <c r="J125" s="468"/>
      <c r="K125" s="468"/>
    </row>
    <row r="126" spans="1:11" ht="12.75" customHeight="1" x14ac:dyDescent="0.2">
      <c r="A126" s="463" t="s">
        <v>922</v>
      </c>
      <c r="B126" s="560">
        <v>3110</v>
      </c>
      <c r="C126" s="549">
        <v>25916</v>
      </c>
      <c r="D126" s="466">
        <v>0</v>
      </c>
      <c r="E126" s="468"/>
      <c r="F126" s="466">
        <v>0</v>
      </c>
      <c r="G126" s="468"/>
      <c r="H126" s="468"/>
      <c r="I126" s="468"/>
      <c r="J126" s="468"/>
      <c r="K126" s="468"/>
    </row>
    <row r="127" spans="1:11" ht="12.75" customHeight="1" x14ac:dyDescent="0.2">
      <c r="A127" s="463" t="s">
        <v>107</v>
      </c>
      <c r="B127" s="560">
        <v>3120</v>
      </c>
      <c r="C127" s="466">
        <v>9245</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1463</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79506</v>
      </c>
      <c r="D131" s="1727">
        <f>SUM(D124:D130)</f>
        <v>0</v>
      </c>
      <c r="E131" s="469" t="s">
        <v>1231</v>
      </c>
      <c r="F131" s="1727">
        <f>SUM(F124:F130)</f>
        <v>0</v>
      </c>
      <c r="G131" s="468" t="s">
        <v>1231</v>
      </c>
      <c r="H131" s="468" t="s">
        <v>1231</v>
      </c>
      <c r="I131" s="468" t="s">
        <v>1231</v>
      </c>
      <c r="J131" s="468" t="s">
        <v>1231</v>
      </c>
      <c r="K131" s="468" t="s">
        <v>1231</v>
      </c>
    </row>
    <row r="132" spans="1:11" ht="15.9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9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17779</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17779</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6408</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9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67719</v>
      </c>
      <c r="G151" s="467">
        <v>0</v>
      </c>
      <c r="H151" s="468"/>
      <c r="I151" s="468"/>
      <c r="J151" s="468"/>
      <c r="K151" s="468"/>
    </row>
    <row r="152" spans="1:11" ht="12.75" customHeight="1" x14ac:dyDescent="0.2">
      <c r="A152" s="463" t="s">
        <v>1117</v>
      </c>
      <c r="B152" s="560">
        <v>3510</v>
      </c>
      <c r="C152" s="549">
        <v>0</v>
      </c>
      <c r="D152" s="466">
        <v>0</v>
      </c>
      <c r="E152" s="559"/>
      <c r="F152" s="466">
        <v>64066</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131785</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207531</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5682</v>
      </c>
      <c r="D171" s="578">
        <v>0</v>
      </c>
      <c r="E171" s="578">
        <v>0</v>
      </c>
      <c r="F171" s="578">
        <v>0</v>
      </c>
      <c r="G171" s="579">
        <v>0</v>
      </c>
      <c r="H171" s="580">
        <v>0</v>
      </c>
      <c r="I171" s="579">
        <v>0</v>
      </c>
      <c r="J171" s="579">
        <v>0</v>
      </c>
      <c r="K171" s="580">
        <v>0</v>
      </c>
    </row>
    <row r="172" spans="1:11" ht="12.75" customHeight="1" thickTop="1" thickBot="1" x14ac:dyDescent="0.25">
      <c r="A172" s="2248" t="s">
        <v>418</v>
      </c>
      <c r="B172" s="2249"/>
      <c r="C172" s="1742">
        <f t="shared" ref="C172:K172" si="6">SUM(C131,C140,C144,C145:C149,C154,C155:C170,C171)</f>
        <v>316906</v>
      </c>
      <c r="D172" s="1742">
        <f t="shared" si="6"/>
        <v>0</v>
      </c>
      <c r="E172" s="1742">
        <f t="shared" si="6"/>
        <v>0</v>
      </c>
      <c r="F172" s="1742">
        <f t="shared" si="6"/>
        <v>131785</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2773275</v>
      </c>
      <c r="D173" s="1735">
        <f>SUM(D121,D172)</f>
        <v>0</v>
      </c>
      <c r="E173" s="1735">
        <f>SUM(E121,E172)</f>
        <v>0</v>
      </c>
      <c r="F173" s="1735">
        <f t="shared" ref="F173:K173" si="7">SUM(F121,F172)</f>
        <v>131785</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95" customHeight="1" x14ac:dyDescent="0.2">
      <c r="A175" s="2250" t="s">
        <v>1572</v>
      </c>
      <c r="B175" s="2251"/>
      <c r="C175" s="518"/>
      <c r="D175" s="518"/>
      <c r="E175" s="507"/>
      <c r="F175" s="468"/>
      <c r="G175" s="468"/>
      <c r="H175" s="468"/>
      <c r="I175" s="468"/>
      <c r="J175" s="468"/>
      <c r="K175" s="468"/>
    </row>
    <row r="176" spans="1:11" ht="12.75"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54" t="s">
        <v>1764</v>
      </c>
      <c r="B178" s="225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95" customHeight="1" thickTop="1" x14ac:dyDescent="0.2">
      <c r="A179" s="2258" t="s">
        <v>1763</v>
      </c>
      <c r="B179" s="225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256" t="s">
        <v>818</v>
      </c>
      <c r="B184" s="225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252" t="s">
        <v>1904</v>
      </c>
      <c r="B185" s="2253"/>
      <c r="C185" s="582"/>
      <c r="D185" s="564"/>
      <c r="E185" s="507"/>
      <c r="F185" s="564"/>
      <c r="G185" s="564"/>
      <c r="H185" s="468"/>
      <c r="I185" s="468"/>
      <c r="J185" s="468"/>
      <c r="K185" s="468"/>
    </row>
    <row r="186" spans="1:11" ht="15.9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9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285595</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97557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28094</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411246</v>
      </c>
      <c r="D201" s="468"/>
      <c r="E201" s="468"/>
      <c r="F201" s="468"/>
      <c r="G201" s="1708">
        <f>SUM(G193:G200)</f>
        <v>0</v>
      </c>
      <c r="H201" s="468"/>
      <c r="I201" s="468"/>
      <c r="J201" s="468"/>
      <c r="K201" s="468"/>
    </row>
    <row r="202" spans="1:11" ht="15.9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158559</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158559</v>
      </c>
      <c r="D211" s="1727">
        <f>SUM(D203:D210)</f>
        <v>0</v>
      </c>
      <c r="E211" s="468"/>
      <c r="F211" s="1727">
        <f>SUM(F203:F210)</f>
        <v>0</v>
      </c>
      <c r="G211" s="1727">
        <f>SUM(G203:G210)</f>
        <v>0</v>
      </c>
      <c r="H211" s="468"/>
      <c r="I211" s="468"/>
      <c r="J211" s="468"/>
      <c r="K211" s="468"/>
    </row>
    <row r="212" spans="1:11" ht="15.9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9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158790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158790</v>
      </c>
      <c r="D224" s="1727">
        <f>SUM(D218:D223)</f>
        <v>0</v>
      </c>
      <c r="E224" s="468"/>
      <c r="F224" s="1727">
        <f>SUM(F218:F223)</f>
        <v>0</v>
      </c>
      <c r="G224" s="1727">
        <f>SUM(G218:G223)</f>
        <v>0</v>
      </c>
      <c r="H224" s="468"/>
      <c r="I224" s="468"/>
      <c r="J224" s="468"/>
      <c r="K224" s="468"/>
    </row>
    <row r="225" spans="1:11" ht="15.9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10202</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26193</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11951</v>
      </c>
      <c r="D270" s="574">
        <v>0</v>
      </c>
      <c r="E270" s="468"/>
      <c r="F270" s="574">
        <v>0</v>
      </c>
      <c r="G270" s="574">
        <v>0</v>
      </c>
      <c r="H270" s="468"/>
      <c r="I270" s="468"/>
      <c r="J270" s="468"/>
      <c r="K270" s="468"/>
    </row>
    <row r="271" spans="1:11" ht="12.75" customHeight="1" thickTop="1" thickBot="1" x14ac:dyDescent="0.25">
      <c r="A271" s="463" t="s">
        <v>395</v>
      </c>
      <c r="B271" s="470">
        <v>4992</v>
      </c>
      <c r="C271" s="573">
        <v>26328</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803269</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803269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6073532</v>
      </c>
      <c r="D275" s="1735">
        <f t="shared" si="12"/>
        <v>297365</v>
      </c>
      <c r="E275" s="1735">
        <f t="shared" si="12"/>
        <v>470678</v>
      </c>
      <c r="F275" s="1735">
        <f t="shared" si="12"/>
        <v>353091</v>
      </c>
      <c r="G275" s="1735">
        <f t="shared" si="12"/>
        <v>216002</v>
      </c>
      <c r="H275" s="1735">
        <f t="shared" si="12"/>
        <v>252380</v>
      </c>
      <c r="I275" s="1735">
        <f t="shared" si="12"/>
        <v>44544</v>
      </c>
      <c r="J275" s="1735">
        <f t="shared" si="12"/>
        <v>171286</v>
      </c>
      <c r="K275" s="1722">
        <f t="shared" si="12"/>
        <v>355</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31" sqref="C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28" t="s">
        <v>1903</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26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268" t="s">
        <v>315</v>
      </c>
      <c r="B3" s="2269"/>
      <c r="C3" s="1568"/>
      <c r="D3" s="1568"/>
      <c r="E3" s="1568"/>
      <c r="F3" s="1568"/>
      <c r="G3" s="1568"/>
      <c r="H3" s="1568"/>
      <c r="I3" s="1568"/>
      <c r="J3" s="1568"/>
      <c r="K3" s="1569"/>
      <c r="L3" s="1570"/>
      <c r="M3" s="608"/>
      <c r="N3" s="608"/>
    </row>
    <row r="4" spans="1:14" s="259" customFormat="1" ht="15.9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1844825</v>
      </c>
      <c r="D5" s="466">
        <v>301772</v>
      </c>
      <c r="E5" s="466">
        <v>200125</v>
      </c>
      <c r="F5" s="466">
        <v>213073</v>
      </c>
      <c r="G5" s="466">
        <v>15274</v>
      </c>
      <c r="H5" s="466">
        <v>0</v>
      </c>
      <c r="I5" s="467">
        <v>23303</v>
      </c>
      <c r="J5" s="467">
        <v>0</v>
      </c>
      <c r="K5" s="1691">
        <f>SUM(C5:J5)</f>
        <v>2598372</v>
      </c>
      <c r="L5" s="466">
        <v>2577510</v>
      </c>
    </row>
    <row r="6" spans="1:14" x14ac:dyDescent="0.2">
      <c r="A6" s="1524" t="s">
        <v>1508</v>
      </c>
      <c r="B6" s="613" t="s">
        <v>1506</v>
      </c>
      <c r="C6" s="476"/>
      <c r="D6" s="476"/>
      <c r="E6" s="466">
        <v>0</v>
      </c>
      <c r="F6" s="476"/>
      <c r="G6" s="476"/>
      <c r="H6" s="476"/>
      <c r="I6" s="476"/>
      <c r="J6" s="476"/>
      <c r="K6" s="1691">
        <f>SUM(C6,E6)</f>
        <v>0</v>
      </c>
      <c r="L6" s="466">
        <v>174050</v>
      </c>
    </row>
    <row r="7" spans="1:14" x14ac:dyDescent="0.2">
      <c r="A7" s="1524" t="s">
        <v>165</v>
      </c>
      <c r="B7" s="613" t="s">
        <v>1024</v>
      </c>
      <c r="C7" s="467">
        <v>79094</v>
      </c>
      <c r="D7" s="467">
        <v>29014</v>
      </c>
      <c r="E7" s="467">
        <v>205</v>
      </c>
      <c r="F7" s="467">
        <v>4369</v>
      </c>
      <c r="G7" s="467">
        <v>3888</v>
      </c>
      <c r="H7" s="467">
        <v>0</v>
      </c>
      <c r="I7" s="467">
        <v>0</v>
      </c>
      <c r="J7" s="467">
        <v>0</v>
      </c>
      <c r="K7" s="1691">
        <f t="shared" ref="K7:K32" si="0">SUM(C7:J7)</f>
        <v>116570</v>
      </c>
      <c r="L7" s="466">
        <v>135295</v>
      </c>
    </row>
    <row r="8" spans="1:14" x14ac:dyDescent="0.2">
      <c r="A8" s="1524" t="s">
        <v>166</v>
      </c>
      <c r="B8" s="613">
        <v>1200</v>
      </c>
      <c r="C8" s="466">
        <v>305672</v>
      </c>
      <c r="D8" s="466">
        <v>73390</v>
      </c>
      <c r="E8" s="466">
        <v>2400</v>
      </c>
      <c r="F8" s="466">
        <v>3537</v>
      </c>
      <c r="G8" s="466">
        <v>0</v>
      </c>
      <c r="H8" s="466">
        <v>0</v>
      </c>
      <c r="I8" s="467">
        <v>0</v>
      </c>
      <c r="J8" s="467">
        <v>0</v>
      </c>
      <c r="K8" s="1691">
        <f t="shared" si="0"/>
        <v>384999</v>
      </c>
      <c r="L8" s="466">
        <v>401900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110815</v>
      </c>
      <c r="D10" s="466">
        <v>28594</v>
      </c>
      <c r="E10" s="466">
        <v>11269</v>
      </c>
      <c r="F10" s="466">
        <v>3186</v>
      </c>
      <c r="G10" s="466">
        <v>0</v>
      </c>
      <c r="H10" s="466">
        <v>0</v>
      </c>
      <c r="I10" s="467">
        <v>0</v>
      </c>
      <c r="J10" s="467">
        <v>0</v>
      </c>
      <c r="K10" s="1691">
        <f t="shared" si="0"/>
        <v>153864</v>
      </c>
      <c r="L10" s="466">
        <v>170916</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49370</v>
      </c>
      <c r="D14" s="466">
        <v>385</v>
      </c>
      <c r="E14" s="466">
        <v>10744</v>
      </c>
      <c r="F14" s="466">
        <v>579</v>
      </c>
      <c r="G14" s="466">
        <v>0</v>
      </c>
      <c r="H14" s="466">
        <v>0</v>
      </c>
      <c r="I14" s="467">
        <v>0</v>
      </c>
      <c r="J14" s="467">
        <v>0</v>
      </c>
      <c r="K14" s="1691">
        <f t="shared" si="0"/>
        <v>61078</v>
      </c>
      <c r="L14" s="466">
        <v>66550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54478</v>
      </c>
      <c r="D18" s="466">
        <v>14054</v>
      </c>
      <c r="E18" s="466">
        <v>1400</v>
      </c>
      <c r="F18" s="466">
        <v>7086</v>
      </c>
      <c r="G18" s="466">
        <v>0</v>
      </c>
      <c r="H18" s="466">
        <v>0</v>
      </c>
      <c r="I18" s="467">
        <v>0</v>
      </c>
      <c r="J18" s="467">
        <v>0</v>
      </c>
      <c r="K18" s="1691">
        <f t="shared" si="0"/>
        <v>77018</v>
      </c>
      <c r="L18" s="466">
        <v>82124</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2444254</v>
      </c>
      <c r="D33" s="1690">
        <f t="shared" ref="D33:L33" si="1">SUM(D5:D32)</f>
        <v>447209</v>
      </c>
      <c r="E33" s="1690">
        <f t="shared" si="1"/>
        <v>226143</v>
      </c>
      <c r="F33" s="1690">
        <f t="shared" si="1"/>
        <v>231830</v>
      </c>
      <c r="G33" s="1690">
        <f t="shared" si="1"/>
        <v>19162</v>
      </c>
      <c r="H33" s="1690">
        <f t="shared" si="1"/>
        <v>0</v>
      </c>
      <c r="I33" s="1690">
        <f t="shared" si="1"/>
        <v>23303</v>
      </c>
      <c r="J33" s="1690">
        <f t="shared" si="1"/>
        <v>0</v>
      </c>
      <c r="K33" s="1690">
        <f t="shared" si="1"/>
        <v>3391901</v>
      </c>
      <c r="L33" s="1690">
        <f t="shared" si="1"/>
        <v>3608345</v>
      </c>
    </row>
    <row r="34" spans="1:14" s="619" customFormat="1" ht="15.95" customHeight="1" thickTop="1" x14ac:dyDescent="0.2">
      <c r="A34" s="1628" t="s">
        <v>48</v>
      </c>
      <c r="B34" s="1629" t="s">
        <v>590</v>
      </c>
      <c r="C34" s="617"/>
      <c r="D34" s="617"/>
      <c r="E34" s="617"/>
      <c r="F34" s="617"/>
      <c r="G34" s="617"/>
      <c r="H34" s="617"/>
      <c r="I34" s="615"/>
      <c r="J34" s="615"/>
      <c r="K34" s="615"/>
      <c r="L34" s="615"/>
      <c r="M34" s="618"/>
      <c r="N34" s="618"/>
    </row>
    <row r="35" spans="1:14" s="619" customFormat="1" ht="15.9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61272</v>
      </c>
      <c r="D38" s="466">
        <v>15179</v>
      </c>
      <c r="E38" s="466">
        <v>4197</v>
      </c>
      <c r="F38" s="466">
        <v>0</v>
      </c>
      <c r="G38" s="466">
        <v>0</v>
      </c>
      <c r="H38" s="466">
        <v>0</v>
      </c>
      <c r="I38" s="467">
        <v>0</v>
      </c>
      <c r="J38" s="467">
        <v>0</v>
      </c>
      <c r="K38" s="1691">
        <f t="shared" si="2"/>
        <v>80648</v>
      </c>
      <c r="L38" s="466">
        <v>83893</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19727</v>
      </c>
      <c r="D41" s="466">
        <v>6707</v>
      </c>
      <c r="E41" s="466">
        <v>0</v>
      </c>
      <c r="F41" s="466">
        <v>0</v>
      </c>
      <c r="G41" s="466">
        <v>0</v>
      </c>
      <c r="H41" s="466">
        <v>0</v>
      </c>
      <c r="I41" s="467">
        <v>0</v>
      </c>
      <c r="J41" s="467">
        <v>0</v>
      </c>
      <c r="K41" s="1691">
        <f t="shared" si="2"/>
        <v>26434</v>
      </c>
      <c r="L41" s="466">
        <v>27790</v>
      </c>
    </row>
    <row r="42" spans="1:14" ht="12.75" customHeight="1" thickBot="1" x14ac:dyDescent="0.25">
      <c r="A42" s="1688" t="s">
        <v>581</v>
      </c>
      <c r="B42" s="1689" t="s">
        <v>740</v>
      </c>
      <c r="C42" s="1690">
        <f>SUM(C36:C41)</f>
        <v>80999</v>
      </c>
      <c r="D42" s="1690">
        <f t="shared" ref="D42:L42" si="3">SUM(D36:D41)</f>
        <v>21886</v>
      </c>
      <c r="E42" s="1690">
        <f t="shared" si="3"/>
        <v>4197</v>
      </c>
      <c r="F42" s="1690">
        <f t="shared" si="3"/>
        <v>0</v>
      </c>
      <c r="G42" s="1690">
        <f t="shared" si="3"/>
        <v>0</v>
      </c>
      <c r="H42" s="1690">
        <f t="shared" si="3"/>
        <v>0</v>
      </c>
      <c r="I42" s="1690">
        <f t="shared" si="3"/>
        <v>0</v>
      </c>
      <c r="J42" s="1690">
        <f t="shared" si="3"/>
        <v>0</v>
      </c>
      <c r="K42" s="1690">
        <f t="shared" si="3"/>
        <v>107082</v>
      </c>
      <c r="L42" s="1690">
        <f t="shared" si="3"/>
        <v>111683</v>
      </c>
    </row>
    <row r="43" spans="1:14" ht="15.9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3465</v>
      </c>
      <c r="D44" s="480">
        <v>63</v>
      </c>
      <c r="E44" s="480">
        <v>41869</v>
      </c>
      <c r="F44" s="480">
        <v>72</v>
      </c>
      <c r="G44" s="480">
        <v>0</v>
      </c>
      <c r="H44" s="480">
        <v>0</v>
      </c>
      <c r="I44" s="467">
        <v>0</v>
      </c>
      <c r="J44" s="467">
        <v>0</v>
      </c>
      <c r="K44" s="1692">
        <f>SUM(C44:J44)</f>
        <v>45469</v>
      </c>
      <c r="L44" s="480">
        <v>65793</v>
      </c>
    </row>
    <row r="45" spans="1:14" x14ac:dyDescent="0.2">
      <c r="A45" s="1524" t="s">
        <v>869</v>
      </c>
      <c r="B45" s="613">
        <v>2220</v>
      </c>
      <c r="C45" s="467">
        <v>70743</v>
      </c>
      <c r="D45" s="466">
        <v>10560</v>
      </c>
      <c r="E45" s="466">
        <v>286</v>
      </c>
      <c r="F45" s="466">
        <v>6526</v>
      </c>
      <c r="G45" s="466">
        <v>0</v>
      </c>
      <c r="H45" s="466">
        <v>0</v>
      </c>
      <c r="I45" s="467">
        <v>0</v>
      </c>
      <c r="J45" s="467">
        <v>0</v>
      </c>
      <c r="K45" s="1692">
        <f>SUM(C45:J45)</f>
        <v>88115</v>
      </c>
      <c r="L45" s="466">
        <v>89747</v>
      </c>
    </row>
    <row r="46" spans="1:14" x14ac:dyDescent="0.2">
      <c r="A46" s="1524" t="s">
        <v>870</v>
      </c>
      <c r="B46" s="613">
        <v>2230</v>
      </c>
      <c r="C46" s="467">
        <v>0</v>
      </c>
      <c r="D46" s="466">
        <v>0</v>
      </c>
      <c r="E46" s="466">
        <v>8238</v>
      </c>
      <c r="F46" s="466">
        <v>246</v>
      </c>
      <c r="G46" s="466">
        <v>0</v>
      </c>
      <c r="H46" s="466">
        <v>0</v>
      </c>
      <c r="I46" s="467">
        <v>0</v>
      </c>
      <c r="J46" s="467">
        <v>0</v>
      </c>
      <c r="K46" s="1692">
        <f>SUM(C46:J46)</f>
        <v>8484</v>
      </c>
      <c r="L46" s="466">
        <v>15000</v>
      </c>
    </row>
    <row r="47" spans="1:14" ht="12.75" customHeight="1" thickBot="1" x14ac:dyDescent="0.25">
      <c r="A47" s="1688" t="s">
        <v>582</v>
      </c>
      <c r="B47" s="1689" t="s">
        <v>32</v>
      </c>
      <c r="C47" s="1690">
        <f>SUM(C44:C46)</f>
        <v>74208</v>
      </c>
      <c r="D47" s="1690">
        <f t="shared" ref="D47:K47" si="4">SUM(D44:D46)</f>
        <v>10623</v>
      </c>
      <c r="E47" s="1690">
        <f t="shared" si="4"/>
        <v>50393</v>
      </c>
      <c r="F47" s="1690">
        <f t="shared" si="4"/>
        <v>6844</v>
      </c>
      <c r="G47" s="1690">
        <f t="shared" si="4"/>
        <v>0</v>
      </c>
      <c r="H47" s="1690">
        <f t="shared" si="4"/>
        <v>0</v>
      </c>
      <c r="I47" s="1690">
        <f t="shared" si="4"/>
        <v>0</v>
      </c>
      <c r="J47" s="1690">
        <f t="shared" si="4"/>
        <v>0</v>
      </c>
      <c r="K47" s="1690">
        <f t="shared" si="4"/>
        <v>142068</v>
      </c>
      <c r="L47" s="1690">
        <f>SUM(L44:L46)</f>
        <v>170540</v>
      </c>
    </row>
    <row r="48" spans="1:14" ht="15.9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2036</v>
      </c>
      <c r="D49" s="480">
        <v>30</v>
      </c>
      <c r="E49" s="480">
        <v>31438</v>
      </c>
      <c r="F49" s="480">
        <v>3583</v>
      </c>
      <c r="G49" s="480">
        <v>0</v>
      </c>
      <c r="H49" s="480">
        <v>0</v>
      </c>
      <c r="I49" s="467">
        <v>0</v>
      </c>
      <c r="J49" s="467">
        <v>0</v>
      </c>
      <c r="K49" s="1692">
        <f>SUM(C49:J49)</f>
        <v>37087</v>
      </c>
      <c r="L49" s="466">
        <v>37380</v>
      </c>
    </row>
    <row r="50" spans="1:14" x14ac:dyDescent="0.2">
      <c r="A50" s="1524" t="s">
        <v>872</v>
      </c>
      <c r="B50" s="613">
        <v>2320</v>
      </c>
      <c r="C50" s="466">
        <v>150099</v>
      </c>
      <c r="D50" s="466">
        <v>3191</v>
      </c>
      <c r="E50" s="466">
        <v>5624</v>
      </c>
      <c r="F50" s="466">
        <v>1281</v>
      </c>
      <c r="G50" s="466">
        <v>0</v>
      </c>
      <c r="H50" s="466">
        <v>0</v>
      </c>
      <c r="I50" s="467">
        <v>0</v>
      </c>
      <c r="J50" s="467">
        <v>0</v>
      </c>
      <c r="K50" s="1692">
        <f>SUM(C50:J50)</f>
        <v>160195</v>
      </c>
      <c r="L50" s="466">
        <v>166265</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152135</v>
      </c>
      <c r="D53" s="1690">
        <f t="shared" ref="D53:L53" si="5">SUM(D49:D52)</f>
        <v>3221</v>
      </c>
      <c r="E53" s="1690">
        <f t="shared" si="5"/>
        <v>37062</v>
      </c>
      <c r="F53" s="1690">
        <f t="shared" si="5"/>
        <v>4864</v>
      </c>
      <c r="G53" s="1690">
        <f t="shared" si="5"/>
        <v>0</v>
      </c>
      <c r="H53" s="1690">
        <f t="shared" si="5"/>
        <v>0</v>
      </c>
      <c r="I53" s="1690">
        <f t="shared" si="5"/>
        <v>0</v>
      </c>
      <c r="J53" s="1690">
        <f t="shared" si="5"/>
        <v>0</v>
      </c>
      <c r="K53" s="1690">
        <f t="shared" si="5"/>
        <v>197282</v>
      </c>
      <c r="L53" s="1690">
        <f t="shared" si="5"/>
        <v>203645</v>
      </c>
    </row>
    <row r="54" spans="1:14" ht="15.9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310926</v>
      </c>
      <c r="D55" s="480">
        <v>66745</v>
      </c>
      <c r="E55" s="480">
        <v>19767</v>
      </c>
      <c r="F55" s="480">
        <v>44</v>
      </c>
      <c r="G55" s="480">
        <v>0</v>
      </c>
      <c r="H55" s="480">
        <v>0</v>
      </c>
      <c r="I55" s="467">
        <v>0</v>
      </c>
      <c r="J55" s="467">
        <v>0</v>
      </c>
      <c r="K55" s="1692">
        <f>SUM(C55:J55)</f>
        <v>397482</v>
      </c>
      <c r="L55" s="480">
        <v>409205</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310926</v>
      </c>
      <c r="D57" s="1694">
        <f t="shared" ref="D57:K57" si="6">SUM(D55:D56)</f>
        <v>66745</v>
      </c>
      <c r="E57" s="1694">
        <f t="shared" si="6"/>
        <v>19767</v>
      </c>
      <c r="F57" s="1694">
        <f t="shared" si="6"/>
        <v>44</v>
      </c>
      <c r="G57" s="1694">
        <f t="shared" si="6"/>
        <v>0</v>
      </c>
      <c r="H57" s="1694">
        <f t="shared" si="6"/>
        <v>0</v>
      </c>
      <c r="I57" s="1694">
        <f t="shared" si="6"/>
        <v>0</v>
      </c>
      <c r="J57" s="1694">
        <f t="shared" si="6"/>
        <v>0</v>
      </c>
      <c r="K57" s="1694">
        <f t="shared" si="6"/>
        <v>397482</v>
      </c>
      <c r="L57" s="1690">
        <f>SUM(L55:L56)</f>
        <v>409205</v>
      </c>
      <c r="M57" s="608"/>
      <c r="N57" s="608"/>
    </row>
    <row r="58" spans="1:14" s="343" customFormat="1" ht="15.9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76466</v>
      </c>
      <c r="D60" s="466">
        <v>8476</v>
      </c>
      <c r="E60" s="466">
        <v>1851</v>
      </c>
      <c r="F60" s="466">
        <v>103</v>
      </c>
      <c r="G60" s="466">
        <v>0</v>
      </c>
      <c r="H60" s="466">
        <v>0</v>
      </c>
      <c r="I60" s="467">
        <v>0</v>
      </c>
      <c r="J60" s="467">
        <v>0</v>
      </c>
      <c r="K60" s="1692">
        <f t="shared" si="7"/>
        <v>86896</v>
      </c>
      <c r="L60" s="466">
        <v>88978</v>
      </c>
      <c r="M60" s="608"/>
      <c r="N60" s="608"/>
    </row>
    <row r="61" spans="1:14" s="343" customFormat="1" x14ac:dyDescent="0.2">
      <c r="A61" s="1524" t="s">
        <v>206</v>
      </c>
      <c r="B61" s="613">
        <v>2540</v>
      </c>
      <c r="C61" s="467">
        <v>129726</v>
      </c>
      <c r="D61" s="466">
        <v>34696</v>
      </c>
      <c r="E61" s="466">
        <v>7057</v>
      </c>
      <c r="F61" s="466">
        <v>12924</v>
      </c>
      <c r="G61" s="466">
        <v>6103</v>
      </c>
      <c r="H61" s="466">
        <v>0</v>
      </c>
      <c r="I61" s="467">
        <v>0</v>
      </c>
      <c r="J61" s="467">
        <v>0</v>
      </c>
      <c r="K61" s="1692">
        <f t="shared" si="7"/>
        <v>190506</v>
      </c>
      <c r="L61" s="466">
        <v>209460</v>
      </c>
      <c r="M61" s="608"/>
      <c r="N61" s="608"/>
    </row>
    <row r="62" spans="1:14" s="343" customFormat="1" x14ac:dyDescent="0.2">
      <c r="A62" s="1524" t="s">
        <v>1010</v>
      </c>
      <c r="B62" s="613">
        <v>2550</v>
      </c>
      <c r="C62" s="467">
        <v>9234</v>
      </c>
      <c r="D62" s="466">
        <v>0</v>
      </c>
      <c r="E62" s="466">
        <v>0</v>
      </c>
      <c r="F62" s="466">
        <v>0</v>
      </c>
      <c r="G62" s="466">
        <v>0</v>
      </c>
      <c r="H62" s="466">
        <v>0</v>
      </c>
      <c r="I62" s="467">
        <v>0</v>
      </c>
      <c r="J62" s="467">
        <v>0</v>
      </c>
      <c r="K62" s="1692">
        <f t="shared" si="7"/>
        <v>9234</v>
      </c>
      <c r="L62" s="466">
        <v>9838</v>
      </c>
      <c r="M62" s="608"/>
      <c r="N62" s="608"/>
    </row>
    <row r="63" spans="1:14" s="608" customFormat="1" x14ac:dyDescent="0.2">
      <c r="A63" s="1524" t="s">
        <v>102</v>
      </c>
      <c r="B63" s="613">
        <v>2560</v>
      </c>
      <c r="C63" s="466">
        <v>115672</v>
      </c>
      <c r="D63" s="466">
        <v>34678</v>
      </c>
      <c r="E63" s="466">
        <v>3027</v>
      </c>
      <c r="F63" s="466">
        <v>180593</v>
      </c>
      <c r="G63" s="466">
        <v>0</v>
      </c>
      <c r="H63" s="466">
        <v>0</v>
      </c>
      <c r="I63" s="467">
        <v>5255</v>
      </c>
      <c r="J63" s="467">
        <v>0</v>
      </c>
      <c r="K63" s="1692">
        <f t="shared" si="7"/>
        <v>339225</v>
      </c>
      <c r="L63" s="466">
        <v>391013</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331098</v>
      </c>
      <c r="D65" s="1690">
        <f t="shared" ref="D65:L65" si="8">SUM(D59:D64)</f>
        <v>77850</v>
      </c>
      <c r="E65" s="1690">
        <f t="shared" si="8"/>
        <v>11935</v>
      </c>
      <c r="F65" s="1690">
        <f t="shared" si="8"/>
        <v>193620</v>
      </c>
      <c r="G65" s="1690">
        <f t="shared" si="8"/>
        <v>6103</v>
      </c>
      <c r="H65" s="1690">
        <f t="shared" si="8"/>
        <v>0</v>
      </c>
      <c r="I65" s="1690">
        <f t="shared" si="8"/>
        <v>5255</v>
      </c>
      <c r="J65" s="1690">
        <f t="shared" si="8"/>
        <v>0</v>
      </c>
      <c r="K65" s="1690">
        <f t="shared" si="8"/>
        <v>625861</v>
      </c>
      <c r="L65" s="1690">
        <f t="shared" si="8"/>
        <v>699289</v>
      </c>
      <c r="M65" s="608"/>
      <c r="N65" s="608"/>
    </row>
    <row r="66" spans="1:14" s="343" customFormat="1" ht="15.9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949366</v>
      </c>
      <c r="D74" s="1697">
        <f t="shared" ref="D74:K74" si="10">SUM(D42,D47,D53,D57,D65,D72,D73)</f>
        <v>180325</v>
      </c>
      <c r="E74" s="1697">
        <f t="shared" si="10"/>
        <v>123354</v>
      </c>
      <c r="F74" s="1697">
        <f t="shared" si="10"/>
        <v>205372</v>
      </c>
      <c r="G74" s="1697">
        <f t="shared" si="10"/>
        <v>6103</v>
      </c>
      <c r="H74" s="1697">
        <f t="shared" si="10"/>
        <v>0</v>
      </c>
      <c r="I74" s="1697">
        <f t="shared" si="10"/>
        <v>5255</v>
      </c>
      <c r="J74" s="1697">
        <f t="shared" si="10"/>
        <v>0</v>
      </c>
      <c r="K74" s="1697">
        <f t="shared" si="10"/>
        <v>1469775</v>
      </c>
      <c r="L74" s="1697">
        <f>SUM(L42,L47,L53,L57,L65,L72,L73)</f>
        <v>1594362</v>
      </c>
    </row>
    <row r="75" spans="1:14" s="259" customFormat="1" ht="15.95" customHeight="1" thickTop="1" thickBot="1" x14ac:dyDescent="0.25">
      <c r="A75" s="1630" t="s">
        <v>49</v>
      </c>
      <c r="B75" s="1631" t="s">
        <v>596</v>
      </c>
      <c r="C75" s="571">
        <v>10458</v>
      </c>
      <c r="D75" s="571">
        <v>0</v>
      </c>
      <c r="E75" s="571">
        <v>0</v>
      </c>
      <c r="F75" s="571">
        <v>1682</v>
      </c>
      <c r="G75" s="571">
        <v>0</v>
      </c>
      <c r="H75" s="571">
        <v>0</v>
      </c>
      <c r="I75" s="529">
        <v>0</v>
      </c>
      <c r="J75" s="529">
        <v>0</v>
      </c>
      <c r="K75" s="1690">
        <f>SUM(C75:J75)</f>
        <v>12140</v>
      </c>
      <c r="L75" s="574">
        <v>13820</v>
      </c>
      <c r="M75" s="612"/>
      <c r="N75" s="612"/>
    </row>
    <row r="76" spans="1:14" s="632" customFormat="1" ht="15.95" customHeight="1" thickTop="1" x14ac:dyDescent="0.2">
      <c r="A76" s="1632" t="s">
        <v>383</v>
      </c>
      <c r="B76" s="1629" t="s">
        <v>915</v>
      </c>
      <c r="C76" s="617"/>
      <c r="D76" s="617"/>
      <c r="E76" s="615"/>
      <c r="F76" s="617"/>
      <c r="G76" s="617"/>
      <c r="H76" s="615"/>
      <c r="I76" s="615"/>
      <c r="J76" s="615"/>
      <c r="K76" s="615"/>
      <c r="L76" s="615"/>
      <c r="M76" s="184"/>
      <c r="N76" s="184"/>
    </row>
    <row r="77" spans="1:14" s="259" customFormat="1" ht="15.9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51825</v>
      </c>
      <c r="F78" s="615"/>
      <c r="G78" s="615"/>
      <c r="H78" s="633">
        <v>0</v>
      </c>
      <c r="I78" s="476"/>
      <c r="J78" s="476"/>
      <c r="K78" s="1691">
        <f t="shared" ref="K78:K83" si="11">SUM(C78:J78)</f>
        <v>51825</v>
      </c>
      <c r="L78" s="480">
        <v>56250</v>
      </c>
    </row>
    <row r="79" spans="1:14" x14ac:dyDescent="0.2">
      <c r="A79" s="1524" t="s">
        <v>322</v>
      </c>
      <c r="B79" s="613">
        <v>4120</v>
      </c>
      <c r="C79" s="615"/>
      <c r="D79" s="615"/>
      <c r="E79" s="466">
        <v>170135</v>
      </c>
      <c r="F79" s="615"/>
      <c r="G79" s="615"/>
      <c r="H79" s="466">
        <v>0</v>
      </c>
      <c r="I79" s="476"/>
      <c r="J79" s="476"/>
      <c r="K79" s="1691">
        <f t="shared" si="11"/>
        <v>170135</v>
      </c>
      <c r="L79" s="466">
        <v>230000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221960</v>
      </c>
      <c r="F84" s="615"/>
      <c r="G84" s="615"/>
      <c r="H84" s="1690">
        <f>SUM(H78:H83)</f>
        <v>0</v>
      </c>
      <c r="I84" s="476"/>
      <c r="J84" s="476"/>
      <c r="K84" s="1690">
        <f>SUM(K78:K83)</f>
        <v>221960</v>
      </c>
      <c r="L84" s="1690">
        <f>SUM(L78:L83)</f>
        <v>286250</v>
      </c>
    </row>
    <row r="85" spans="1:12" ht="12.75" customHeight="1" thickTop="1" thickBot="1" x14ac:dyDescent="0.25">
      <c r="A85" s="1531" t="s">
        <v>273</v>
      </c>
      <c r="B85" s="634">
        <v>4210</v>
      </c>
      <c r="C85" s="615"/>
      <c r="D85" s="615"/>
      <c r="E85" s="635"/>
      <c r="F85" s="615"/>
      <c r="G85" s="615"/>
      <c r="H85" s="533">
        <v>26425</v>
      </c>
      <c r="I85" s="476"/>
      <c r="J85" s="476"/>
      <c r="K85" s="1697">
        <f>H85</f>
        <v>26425</v>
      </c>
      <c r="L85" s="528">
        <v>30000</v>
      </c>
    </row>
    <row r="86" spans="1:12" ht="12.75" customHeight="1" thickTop="1" thickBot="1" x14ac:dyDescent="0.25">
      <c r="A86" s="1532" t="s">
        <v>723</v>
      </c>
      <c r="B86" s="636">
        <v>4220</v>
      </c>
      <c r="C86" s="615"/>
      <c r="D86" s="615"/>
      <c r="E86" s="637"/>
      <c r="F86" s="615"/>
      <c r="G86" s="615"/>
      <c r="H86" s="467">
        <v>163372</v>
      </c>
      <c r="I86" s="476"/>
      <c r="J86" s="476"/>
      <c r="K86" s="1697">
        <f t="shared" ref="K86:K98" si="12">H86</f>
        <v>163372</v>
      </c>
      <c r="L86" s="528">
        <v>206000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189797</v>
      </c>
      <c r="I92" s="476"/>
      <c r="J92" s="476"/>
      <c r="K92" s="1697">
        <f t="shared" si="12"/>
        <v>189797</v>
      </c>
      <c r="L92" s="1690">
        <f>SUM(L85:L91)</f>
        <v>236000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221960</v>
      </c>
      <c r="F102" s="615"/>
      <c r="G102" s="615"/>
      <c r="H102" s="1697">
        <f>SUM(H84,H92,H100,H101)</f>
        <v>189797</v>
      </c>
      <c r="I102" s="476"/>
      <c r="J102" s="476"/>
      <c r="K102" s="1697">
        <f>SUM(K84,K92,K100,K101)</f>
        <v>411757</v>
      </c>
      <c r="L102" s="1697">
        <f>SUM(L84,L92,L100,L101)</f>
        <v>522250</v>
      </c>
    </row>
    <row r="103" spans="1:14" s="632" customFormat="1" ht="15.9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9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9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3404078</v>
      </c>
      <c r="D114" s="1690">
        <f t="shared" ref="D114:K114" si="13">SUM(D33,D74,D75,D102,D112,D113)</f>
        <v>627534</v>
      </c>
      <c r="E114" s="1690">
        <f t="shared" si="13"/>
        <v>571457</v>
      </c>
      <c r="F114" s="1690">
        <f t="shared" si="13"/>
        <v>438884</v>
      </c>
      <c r="G114" s="1690">
        <f t="shared" si="13"/>
        <v>25265</v>
      </c>
      <c r="H114" s="1690">
        <f>SUM(H33,H74,H75,H102,H112,H113)</f>
        <v>189797</v>
      </c>
      <c r="I114" s="1690">
        <f t="shared" si="13"/>
        <v>28558</v>
      </c>
      <c r="J114" s="1690">
        <f t="shared" si="13"/>
        <v>0</v>
      </c>
      <c r="K114" s="1690">
        <f t="shared" si="13"/>
        <v>5285573</v>
      </c>
      <c r="L114" s="1690">
        <f>SUM(L33,L74,L75,L102,L112,L113)</f>
        <v>5738777</v>
      </c>
    </row>
    <row r="115" spans="1:14" ht="13.5" thickTop="1" x14ac:dyDescent="0.2">
      <c r="A115" s="2260" t="s">
        <v>1053</v>
      </c>
      <c r="B115" s="2261"/>
      <c r="C115" s="617"/>
      <c r="D115" s="617"/>
      <c r="E115" s="617"/>
      <c r="F115" s="617"/>
      <c r="G115" s="617"/>
      <c r="H115" s="617"/>
      <c r="I115" s="617"/>
      <c r="J115" s="617"/>
      <c r="K115" s="1704">
        <f>'Revenues 9-14'!C275-'Expenditures 15-22'!K114</f>
        <v>787959</v>
      </c>
      <c r="L115" s="617"/>
    </row>
    <row r="116" spans="1:14" s="180" customFormat="1" ht="9.1999999999999993"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65" t="s">
        <v>314</v>
      </c>
      <c r="B117" s="2266"/>
      <c r="C117" s="1646"/>
      <c r="D117" s="1647"/>
      <c r="E117" s="1647"/>
      <c r="F117" s="1647"/>
      <c r="G117" s="1647"/>
      <c r="H117" s="1647"/>
      <c r="I117" s="1647"/>
      <c r="J117" s="1647"/>
      <c r="K117" s="1647"/>
      <c r="L117" s="1648"/>
      <c r="M117" s="175"/>
      <c r="N117" s="175"/>
    </row>
    <row r="118" spans="1:14" ht="15.95" customHeight="1" x14ac:dyDescent="0.2">
      <c r="A118" s="1634" t="s">
        <v>1095</v>
      </c>
      <c r="B118" s="1635" t="s">
        <v>590</v>
      </c>
      <c r="C118" s="615"/>
      <c r="D118" s="615"/>
      <c r="E118" s="615"/>
      <c r="F118" s="615"/>
      <c r="G118" s="615"/>
      <c r="H118" s="615"/>
      <c r="I118" s="615"/>
      <c r="J118" s="615"/>
      <c r="K118" s="615"/>
      <c r="L118" s="615"/>
    </row>
    <row r="119" spans="1:14" ht="15.9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9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30369</v>
      </c>
      <c r="F124" s="466">
        <v>106893</v>
      </c>
      <c r="G124" s="466">
        <v>0</v>
      </c>
      <c r="H124" s="466">
        <v>3324</v>
      </c>
      <c r="I124" s="467">
        <v>0</v>
      </c>
      <c r="J124" s="467">
        <v>0</v>
      </c>
      <c r="K124" s="1690">
        <f>SUM(C124:J124)</f>
        <v>140586</v>
      </c>
      <c r="L124" s="466">
        <v>173300</v>
      </c>
    </row>
    <row r="125" spans="1:14" ht="14.25" thickTop="1" thickBot="1" x14ac:dyDescent="0.25">
      <c r="A125" s="1524" t="s">
        <v>1010</v>
      </c>
      <c r="B125" s="613">
        <v>2550</v>
      </c>
      <c r="C125" s="466">
        <v>0</v>
      </c>
      <c r="D125" s="466">
        <v>0</v>
      </c>
      <c r="E125" s="466">
        <v>0</v>
      </c>
      <c r="F125" s="466">
        <v>3464</v>
      </c>
      <c r="G125" s="466">
        <v>0</v>
      </c>
      <c r="H125" s="466">
        <v>0</v>
      </c>
      <c r="I125" s="467">
        <v>0</v>
      </c>
      <c r="J125" s="467">
        <v>0</v>
      </c>
      <c r="K125" s="1690">
        <f>SUM(C125:J125)</f>
        <v>3464</v>
      </c>
      <c r="L125" s="466">
        <v>3950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30369</v>
      </c>
      <c r="F127" s="1690">
        <f t="shared" si="14"/>
        <v>110357</v>
      </c>
      <c r="G127" s="1690">
        <f t="shared" si="14"/>
        <v>0</v>
      </c>
      <c r="H127" s="1690">
        <f t="shared" si="14"/>
        <v>3324</v>
      </c>
      <c r="I127" s="1690">
        <f t="shared" si="14"/>
        <v>0</v>
      </c>
      <c r="J127" s="1690">
        <f t="shared" si="14"/>
        <v>0</v>
      </c>
      <c r="K127" s="1690">
        <f t="shared" si="14"/>
        <v>144050</v>
      </c>
      <c r="L127" s="1690">
        <f t="shared" si="14"/>
        <v>177250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30369</v>
      </c>
      <c r="F129" s="1697">
        <f t="shared" si="15"/>
        <v>110357</v>
      </c>
      <c r="G129" s="1697">
        <f t="shared" si="15"/>
        <v>0</v>
      </c>
      <c r="H129" s="1697">
        <f t="shared" si="15"/>
        <v>3324</v>
      </c>
      <c r="I129" s="1697">
        <f t="shared" si="15"/>
        <v>0</v>
      </c>
      <c r="J129" s="1697">
        <f t="shared" si="15"/>
        <v>0</v>
      </c>
      <c r="K129" s="1697">
        <f t="shared" si="15"/>
        <v>144050</v>
      </c>
      <c r="L129" s="1697">
        <f t="shared" si="15"/>
        <v>177250</v>
      </c>
    </row>
    <row r="130" spans="1:14" ht="15.9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9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1954</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104322</v>
      </c>
      <c r="F136" s="615"/>
      <c r="G136" s="615"/>
      <c r="H136" s="466">
        <v>0</v>
      </c>
      <c r="I136" s="476"/>
      <c r="J136" s="615"/>
      <c r="K136" s="1692">
        <f>SUM(E136,H136)</f>
        <v>104322</v>
      </c>
      <c r="L136" s="466">
        <v>110000</v>
      </c>
    </row>
    <row r="137" spans="1:14" ht="12.75" customHeight="1" thickBot="1" x14ac:dyDescent="0.25">
      <c r="A137" s="1688" t="s">
        <v>501</v>
      </c>
      <c r="B137" s="1698">
        <v>4100</v>
      </c>
      <c r="C137" s="615"/>
      <c r="D137" s="615"/>
      <c r="E137" s="1690">
        <f>SUM(E133:E136)</f>
        <v>104322</v>
      </c>
      <c r="F137" s="615"/>
      <c r="G137" s="615"/>
      <c r="H137" s="1690">
        <f>SUM(H133:H136)</f>
        <v>0</v>
      </c>
      <c r="I137" s="476"/>
      <c r="J137" s="615"/>
      <c r="K137" s="1690">
        <f>SUM(K133:K136)</f>
        <v>104322</v>
      </c>
      <c r="L137" s="1690">
        <f>SUM(L133:L136)</f>
        <v>110000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104322</v>
      </c>
      <c r="F139" s="615"/>
      <c r="G139" s="615"/>
      <c r="H139" s="1699">
        <f>SUM(H137:H138)</f>
        <v>0</v>
      </c>
      <c r="I139" s="476"/>
      <c r="J139" s="615"/>
      <c r="K139" s="1692">
        <f>SUM(K137,K138)</f>
        <v>104322</v>
      </c>
      <c r="L139" s="1699">
        <f>SUM(L137,L138)</f>
        <v>110000</v>
      </c>
    </row>
    <row r="140" spans="1:14" ht="15.95" customHeight="1" thickTop="1" x14ac:dyDescent="0.2">
      <c r="A140" s="1632" t="s">
        <v>1097</v>
      </c>
      <c r="B140" s="1633" t="s">
        <v>513</v>
      </c>
      <c r="C140" s="615"/>
      <c r="D140" s="615"/>
      <c r="E140" s="637"/>
      <c r="F140" s="637"/>
      <c r="G140" s="637"/>
      <c r="H140" s="635"/>
      <c r="I140" s="476"/>
      <c r="J140" s="637"/>
      <c r="K140" s="635"/>
      <c r="L140" s="635"/>
    </row>
    <row r="141" spans="1:14" ht="15.9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9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9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277" t="s">
        <v>641</v>
      </c>
      <c r="B151" s="2257"/>
      <c r="C151" s="1690">
        <f>SUM(C129,C130,C139,C149,C150)</f>
        <v>0</v>
      </c>
      <c r="D151" s="1690">
        <f t="shared" ref="D151:K151" si="16">SUM(D129,D130,D139,D149,D150)</f>
        <v>0</v>
      </c>
      <c r="E151" s="1690">
        <f t="shared" si="16"/>
        <v>134691</v>
      </c>
      <c r="F151" s="1690">
        <f t="shared" si="16"/>
        <v>110357</v>
      </c>
      <c r="G151" s="1690">
        <f t="shared" si="16"/>
        <v>0</v>
      </c>
      <c r="H151" s="1690">
        <f t="shared" si="16"/>
        <v>3324</v>
      </c>
      <c r="I151" s="1690">
        <f t="shared" si="16"/>
        <v>0</v>
      </c>
      <c r="J151" s="1690">
        <f t="shared" si="16"/>
        <v>0</v>
      </c>
      <c r="K151" s="1690">
        <f t="shared" si="16"/>
        <v>248372</v>
      </c>
      <c r="L151" s="1690">
        <f>SUM(L129,L130,L139,L149,L150)</f>
        <v>287250</v>
      </c>
    </row>
    <row r="152" spans="1:14" ht="12.75" customHeight="1" thickTop="1" x14ac:dyDescent="0.2">
      <c r="A152" s="2280" t="s">
        <v>1240</v>
      </c>
      <c r="B152" s="2281"/>
      <c r="C152" s="617"/>
      <c r="D152" s="617"/>
      <c r="E152" s="617"/>
      <c r="F152" s="617"/>
      <c r="G152" s="617"/>
      <c r="H152" s="617"/>
      <c r="I152" s="617"/>
      <c r="J152" s="615"/>
      <c r="K152" s="1704">
        <f>'Revenues 9-14'!D275-'Expenditures 15-22'!K151</f>
        <v>48993</v>
      </c>
      <c r="L152" s="617"/>
    </row>
    <row r="153" spans="1:14" s="665" customFormat="1" ht="9.1999999999999993"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65" t="s">
        <v>642</v>
      </c>
      <c r="B154" s="2267"/>
      <c r="C154" s="1646"/>
      <c r="D154" s="1647"/>
      <c r="E154" s="1647"/>
      <c r="F154" s="1647"/>
      <c r="G154" s="1647"/>
      <c r="H154" s="1647"/>
      <c r="I154" s="1647"/>
      <c r="J154" s="1647"/>
      <c r="K154" s="1647"/>
      <c r="L154" s="1648"/>
      <c r="M154" s="666"/>
      <c r="N154" s="666"/>
    </row>
    <row r="155" spans="1:14" s="619" customFormat="1" ht="15.9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95" customHeight="1" thickTop="1" x14ac:dyDescent="0.2">
      <c r="A156" s="1843" t="s">
        <v>1955</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1954</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1956</v>
      </c>
      <c r="C158" s="615"/>
      <c r="D158" s="615"/>
      <c r="E158" s="615"/>
      <c r="F158" s="615"/>
      <c r="G158" s="615"/>
      <c r="H158" s="467">
        <v>0</v>
      </c>
      <c r="I158" s="615"/>
      <c r="J158" s="615"/>
      <c r="K158" s="1691">
        <f>H158</f>
        <v>0</v>
      </c>
      <c r="L158" s="467">
        <v>0</v>
      </c>
      <c r="M158" s="618"/>
      <c r="N158" s="618"/>
    </row>
    <row r="159" spans="1:14" s="619" customFormat="1" ht="12" x14ac:dyDescent="0.2">
      <c r="A159" s="1847" t="s">
        <v>1957</v>
      </c>
      <c r="B159" s="1848" t="s">
        <v>579</v>
      </c>
      <c r="C159" s="615"/>
      <c r="D159" s="615"/>
      <c r="E159" s="615"/>
      <c r="F159" s="615"/>
      <c r="G159" s="615"/>
      <c r="H159" s="467">
        <v>0</v>
      </c>
      <c r="I159" s="615"/>
      <c r="J159" s="615"/>
      <c r="K159" s="1691">
        <f>H159</f>
        <v>0</v>
      </c>
      <c r="L159" s="467">
        <v>0</v>
      </c>
      <c r="M159" s="618"/>
      <c r="N159" s="618"/>
    </row>
    <row r="160" spans="1:14" s="619" customFormat="1" ht="15.95" customHeight="1" thickBot="1" x14ac:dyDescent="0.25">
      <c r="A160" s="1849" t="s">
        <v>1958</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9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9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95" customHeight="1" thickTop="1" x14ac:dyDescent="0.2">
      <c r="A169" s="668" t="s">
        <v>85</v>
      </c>
      <c r="B169" s="669" t="s">
        <v>38</v>
      </c>
      <c r="C169" s="615"/>
      <c r="D169" s="615"/>
      <c r="E169" s="615"/>
      <c r="F169" s="615"/>
      <c r="G169" s="615"/>
      <c r="H169" s="655">
        <v>189066</v>
      </c>
      <c r="I169" s="615"/>
      <c r="J169" s="615"/>
      <c r="K169" s="1691">
        <f>SUM(C169:H169)</f>
        <v>189066</v>
      </c>
      <c r="L169" s="655">
        <v>210000</v>
      </c>
    </row>
    <row r="170" spans="1:14" ht="33.950000000000003" customHeight="1" x14ac:dyDescent="0.2">
      <c r="A170" s="668" t="s">
        <v>1769</v>
      </c>
      <c r="B170" s="670" t="s">
        <v>31</v>
      </c>
      <c r="C170" s="615"/>
      <c r="D170" s="615"/>
      <c r="E170" s="615"/>
      <c r="F170" s="615"/>
      <c r="G170" s="615"/>
      <c r="H170" s="567">
        <v>247000</v>
      </c>
      <c r="I170" s="615"/>
      <c r="J170" s="615"/>
      <c r="K170" s="1691">
        <f>SUM(C170:J170)</f>
        <v>247000</v>
      </c>
      <c r="L170" s="567">
        <v>247000</v>
      </c>
    </row>
    <row r="171" spans="1:14" ht="15.95" customHeight="1" x14ac:dyDescent="0.2">
      <c r="A171" s="620" t="s">
        <v>790</v>
      </c>
      <c r="B171" s="671" t="s">
        <v>86</v>
      </c>
      <c r="C171" s="615"/>
      <c r="D171" s="615"/>
      <c r="E171" s="466">
        <v>2700</v>
      </c>
      <c r="F171" s="615"/>
      <c r="G171" s="615"/>
      <c r="H171" s="567">
        <v>0</v>
      </c>
      <c r="I171" s="476"/>
      <c r="J171" s="615"/>
      <c r="K171" s="1691">
        <f>SUM(C171:J171)</f>
        <v>2700</v>
      </c>
      <c r="L171" s="567">
        <v>3500</v>
      </c>
    </row>
    <row r="172" spans="1:14" ht="12.75" customHeight="1" thickBot="1" x14ac:dyDescent="0.25">
      <c r="A172" s="1688" t="s">
        <v>659</v>
      </c>
      <c r="B172" s="1689" t="s">
        <v>513</v>
      </c>
      <c r="C172" s="615"/>
      <c r="D172" s="615"/>
      <c r="E172" s="1697">
        <f>SUM(E168,E169,E170,E171)</f>
        <v>2700</v>
      </c>
      <c r="F172" s="615"/>
      <c r="G172" s="615"/>
      <c r="H172" s="1697">
        <f>SUM(H168,H169,H170,H171)</f>
        <v>436066</v>
      </c>
      <c r="I172" s="637"/>
      <c r="J172" s="615"/>
      <c r="K172" s="1697">
        <f>SUM(K168,K169,K170,K171)</f>
        <v>438766</v>
      </c>
      <c r="L172" s="1697">
        <f>SUM(L168,L169,L170,L171)</f>
        <v>460500</v>
      </c>
    </row>
    <row r="173" spans="1:14" ht="15.9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2700</v>
      </c>
      <c r="F174" s="615"/>
      <c r="G174" s="615"/>
      <c r="H174" s="1697">
        <f>SUM(H160,H172,H173)</f>
        <v>436066</v>
      </c>
      <c r="I174" s="637"/>
      <c r="J174" s="615"/>
      <c r="K174" s="1697">
        <f>SUM(K160,K172,K173)</f>
        <v>438766</v>
      </c>
      <c r="L174" s="1697">
        <f>SUM(L160,L172,L173)</f>
        <v>460500</v>
      </c>
    </row>
    <row r="175" spans="1:14" ht="13.5" thickTop="1" x14ac:dyDescent="0.2">
      <c r="A175" s="2260" t="s">
        <v>1053</v>
      </c>
      <c r="B175" s="2261"/>
      <c r="C175" s="615"/>
      <c r="D175" s="615"/>
      <c r="E175" s="615"/>
      <c r="F175" s="615"/>
      <c r="G175" s="615"/>
      <c r="H175" s="617"/>
      <c r="I175" s="615"/>
      <c r="J175" s="615"/>
      <c r="K175" s="1704">
        <f>'Revenues 9-14'!E275-'Expenditures 15-22'!K174</f>
        <v>31912</v>
      </c>
      <c r="L175" s="617"/>
    </row>
    <row r="176" spans="1:14" s="665" customFormat="1" ht="9.1999999999999993"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95" customHeight="1" x14ac:dyDescent="0.2">
      <c r="A178" s="1640" t="s">
        <v>995</v>
      </c>
      <c r="B178" s="1641"/>
      <c r="C178" s="615"/>
      <c r="D178" s="615"/>
      <c r="E178" s="615"/>
      <c r="F178" s="615"/>
      <c r="G178" s="615"/>
      <c r="H178" s="615"/>
      <c r="I178" s="615"/>
      <c r="J178" s="615"/>
      <c r="K178" s="615"/>
      <c r="L178" s="615"/>
      <c r="M178" s="664"/>
      <c r="N178" s="664"/>
    </row>
    <row r="179" spans="1:14" s="673" customFormat="1" ht="15.9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9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136006</v>
      </c>
      <c r="D182" s="467">
        <v>11854</v>
      </c>
      <c r="E182" s="467">
        <v>15893</v>
      </c>
      <c r="F182" s="467">
        <v>21798</v>
      </c>
      <c r="G182" s="467">
        <v>0</v>
      </c>
      <c r="H182" s="466">
        <v>0</v>
      </c>
      <c r="I182" s="467">
        <v>0</v>
      </c>
      <c r="J182" s="467">
        <v>0</v>
      </c>
      <c r="K182" s="1691">
        <f>SUM(C182:J182)</f>
        <v>185551</v>
      </c>
      <c r="L182" s="466">
        <v>224610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136006</v>
      </c>
      <c r="D184" s="1697">
        <f t="shared" ref="D184:J184" si="17">SUM(D180,D182,D183)</f>
        <v>11854</v>
      </c>
      <c r="E184" s="1697">
        <f t="shared" si="17"/>
        <v>15893</v>
      </c>
      <c r="F184" s="1697">
        <f t="shared" si="17"/>
        <v>21798</v>
      </c>
      <c r="G184" s="1697">
        <f t="shared" si="17"/>
        <v>0</v>
      </c>
      <c r="H184" s="1697">
        <f t="shared" si="17"/>
        <v>0</v>
      </c>
      <c r="I184" s="1697">
        <f t="shared" si="17"/>
        <v>0</v>
      </c>
      <c r="J184" s="1697">
        <f t="shared" si="17"/>
        <v>0</v>
      </c>
      <c r="K184" s="1697">
        <f>SUM(K180,K182,K183)</f>
        <v>185551</v>
      </c>
      <c r="L184" s="1697">
        <f>SUM(L180, L182:L183)</f>
        <v>224610</v>
      </c>
    </row>
    <row r="185" spans="1:14" ht="15.9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9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9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9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9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9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95" customHeight="1" thickTop="1" x14ac:dyDescent="0.2">
      <c r="A205" s="678" t="s">
        <v>85</v>
      </c>
      <c r="B205" s="679" t="s">
        <v>38</v>
      </c>
      <c r="C205" s="615"/>
      <c r="D205" s="615"/>
      <c r="E205" s="615"/>
      <c r="F205" s="615"/>
      <c r="G205" s="615"/>
      <c r="H205" s="533">
        <v>14172</v>
      </c>
      <c r="I205" s="615"/>
      <c r="J205" s="615"/>
      <c r="K205" s="1705">
        <f>SUM(H205)</f>
        <v>14172</v>
      </c>
      <c r="L205" s="533">
        <v>14173</v>
      </c>
    </row>
    <row r="206" spans="1:14" ht="30" customHeight="1" x14ac:dyDescent="0.2">
      <c r="A206" s="680" t="s">
        <v>1770</v>
      </c>
      <c r="B206" s="671" t="s">
        <v>31</v>
      </c>
      <c r="C206" s="615"/>
      <c r="D206" s="615"/>
      <c r="E206" s="615"/>
      <c r="F206" s="615"/>
      <c r="G206" s="615"/>
      <c r="H206" s="466">
        <v>67159</v>
      </c>
      <c r="I206" s="615"/>
      <c r="J206" s="615"/>
      <c r="K206" s="1691">
        <f>SUM(H206)</f>
        <v>67159</v>
      </c>
      <c r="L206" s="466">
        <v>68000</v>
      </c>
    </row>
    <row r="207" spans="1:14" ht="15.9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81331</v>
      </c>
      <c r="I208" s="615"/>
      <c r="J208" s="615"/>
      <c r="K208" s="1697">
        <f>SUM(K204,K205,K206,K207)</f>
        <v>81331</v>
      </c>
      <c r="L208" s="1697">
        <f>SUM(L204,L205,L206,L207)</f>
        <v>82173</v>
      </c>
    </row>
    <row r="209" spans="1:14" ht="15.9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136006</v>
      </c>
      <c r="D210" s="1690">
        <f>SUM(D184,D185)</f>
        <v>11854</v>
      </c>
      <c r="E210" s="1690">
        <f>SUM(E184,E185,E196)</f>
        <v>15893</v>
      </c>
      <c r="F210" s="1690">
        <f>SUM(F184,F185)</f>
        <v>21798</v>
      </c>
      <c r="G210" s="1690">
        <f>SUM(G184,G185)</f>
        <v>0</v>
      </c>
      <c r="H210" s="1690">
        <f>SUM(H184,H185,H196,H208,H209)</f>
        <v>81331</v>
      </c>
      <c r="I210" s="1690">
        <f>SUM(I184,I185)</f>
        <v>0</v>
      </c>
      <c r="J210" s="1690">
        <f>SUM(J184,J185)</f>
        <v>0</v>
      </c>
      <c r="K210" s="1691">
        <f>SUM(K184,K185,K196,K208,K209)</f>
        <v>266882</v>
      </c>
      <c r="L210" s="1690">
        <f>SUM(L184,L185,L196,L208,L209)</f>
        <v>306783</v>
      </c>
    </row>
    <row r="211" spans="1:14" ht="13.5" thickTop="1" x14ac:dyDescent="0.2">
      <c r="A211" s="2260" t="s">
        <v>1053</v>
      </c>
      <c r="B211" s="2261"/>
      <c r="C211" s="617"/>
      <c r="D211" s="617"/>
      <c r="E211" s="617"/>
      <c r="F211" s="617"/>
      <c r="G211" s="617"/>
      <c r="H211" s="617"/>
      <c r="I211" s="615"/>
      <c r="J211" s="615"/>
      <c r="K211" s="1704">
        <f>'Revenues 9-14'!F275-'Expenditures 15-22'!K210</f>
        <v>86209</v>
      </c>
      <c r="L211" s="617"/>
    </row>
    <row r="212" spans="1:14" s="665" customFormat="1" ht="9.1999999999999993"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82" t="s">
        <v>1022</v>
      </c>
      <c r="B213" s="2283"/>
      <c r="C213" s="1571"/>
      <c r="D213" s="1572"/>
      <c r="E213" s="1572"/>
      <c r="F213" s="1572"/>
      <c r="G213" s="1572"/>
      <c r="H213" s="1572"/>
      <c r="I213" s="1572"/>
      <c r="J213" s="1572"/>
      <c r="K213" s="1572"/>
      <c r="L213" s="1573"/>
      <c r="M213" s="608"/>
      <c r="N213" s="608"/>
    </row>
    <row r="214" spans="1:14" s="673" customFormat="1" ht="15.9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22925</v>
      </c>
      <c r="E215" s="615"/>
      <c r="F215" s="615"/>
      <c r="G215" s="615"/>
      <c r="H215" s="615"/>
      <c r="I215" s="615"/>
      <c r="J215" s="615"/>
      <c r="K215" s="1691">
        <f>D215</f>
        <v>22925</v>
      </c>
      <c r="L215" s="466">
        <v>26690</v>
      </c>
    </row>
    <row r="216" spans="1:14" x14ac:dyDescent="0.2">
      <c r="A216" s="1524" t="s">
        <v>165</v>
      </c>
      <c r="B216" s="613" t="s">
        <v>1024</v>
      </c>
      <c r="C216" s="615"/>
      <c r="D216" s="467">
        <v>3532</v>
      </c>
      <c r="E216" s="615"/>
      <c r="F216" s="615"/>
      <c r="G216" s="615"/>
      <c r="H216" s="615"/>
      <c r="I216" s="615"/>
      <c r="J216" s="615"/>
      <c r="K216" s="1691">
        <f t="shared" ref="K216:K228" si="19">D216</f>
        <v>3532</v>
      </c>
      <c r="L216" s="466">
        <v>5200</v>
      </c>
    </row>
    <row r="217" spans="1:14" x14ac:dyDescent="0.2">
      <c r="A217" s="1524" t="s">
        <v>166</v>
      </c>
      <c r="B217" s="613">
        <v>1200</v>
      </c>
      <c r="C217" s="615"/>
      <c r="D217" s="466">
        <v>10425</v>
      </c>
      <c r="E217" s="615"/>
      <c r="F217" s="615"/>
      <c r="G217" s="615"/>
      <c r="H217" s="615"/>
      <c r="I217" s="615"/>
      <c r="J217" s="615"/>
      <c r="K217" s="1691">
        <f t="shared" si="19"/>
        <v>10425</v>
      </c>
      <c r="L217" s="466">
        <v>11100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2047</v>
      </c>
      <c r="E219" s="615"/>
      <c r="F219" s="615"/>
      <c r="G219" s="615"/>
      <c r="H219" s="615"/>
      <c r="I219" s="615"/>
      <c r="J219" s="615"/>
      <c r="K219" s="1691">
        <f t="shared" si="19"/>
        <v>2047</v>
      </c>
      <c r="L219" s="466">
        <v>2300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2580</v>
      </c>
      <c r="E223" s="615"/>
      <c r="F223" s="615"/>
      <c r="G223" s="615"/>
      <c r="H223" s="615"/>
      <c r="I223" s="615"/>
      <c r="J223" s="615"/>
      <c r="K223" s="1691">
        <f t="shared" si="19"/>
        <v>2580</v>
      </c>
      <c r="L223" s="466">
        <v>3200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2613</v>
      </c>
      <c r="E227" s="615"/>
      <c r="F227" s="615"/>
      <c r="G227" s="615"/>
      <c r="H227" s="615"/>
      <c r="I227" s="615"/>
      <c r="J227" s="615"/>
      <c r="K227" s="1691">
        <f t="shared" si="19"/>
        <v>2613</v>
      </c>
      <c r="L227" s="466">
        <v>3665</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44122</v>
      </c>
      <c r="E229" s="615"/>
      <c r="F229" s="615"/>
      <c r="G229" s="615"/>
      <c r="H229" s="615"/>
      <c r="I229" s="615"/>
      <c r="J229" s="615"/>
      <c r="K229" s="1690">
        <f>SUM(K215:K228)</f>
        <v>44122</v>
      </c>
      <c r="L229" s="1690">
        <f>SUM(L215:L228)</f>
        <v>52155</v>
      </c>
    </row>
    <row r="230" spans="1:12" ht="15.95" customHeight="1" thickTop="1" x14ac:dyDescent="0.2">
      <c r="A230" s="1632" t="s">
        <v>929</v>
      </c>
      <c r="B230" s="1633" t="s">
        <v>590</v>
      </c>
      <c r="C230" s="615"/>
      <c r="D230" s="615"/>
      <c r="E230" s="615"/>
      <c r="F230" s="615"/>
      <c r="G230" s="615"/>
      <c r="H230" s="615"/>
      <c r="I230" s="615"/>
      <c r="J230" s="615"/>
      <c r="K230" s="615"/>
      <c r="L230" s="615"/>
    </row>
    <row r="231" spans="1:12" ht="15.9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3506</v>
      </c>
      <c r="E234" s="615"/>
      <c r="F234" s="615"/>
      <c r="G234" s="615"/>
      <c r="H234" s="615"/>
      <c r="I234" s="615"/>
      <c r="J234" s="615"/>
      <c r="K234" s="1691">
        <f t="shared" si="20"/>
        <v>3506</v>
      </c>
      <c r="L234" s="466">
        <v>6475</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2962</v>
      </c>
      <c r="E237" s="615"/>
      <c r="F237" s="615"/>
      <c r="G237" s="615"/>
      <c r="H237" s="615"/>
      <c r="I237" s="615"/>
      <c r="J237" s="615"/>
      <c r="K237" s="1691">
        <f t="shared" si="20"/>
        <v>2962</v>
      </c>
      <c r="L237" s="466">
        <v>3075</v>
      </c>
    </row>
    <row r="238" spans="1:12" ht="12.75" customHeight="1" thickBot="1" x14ac:dyDescent="0.25">
      <c r="A238" s="1688" t="s">
        <v>581</v>
      </c>
      <c r="B238" s="1695" t="s">
        <v>740</v>
      </c>
      <c r="C238" s="615"/>
      <c r="D238" s="1690">
        <f>SUM(D232:D237)</f>
        <v>6468</v>
      </c>
      <c r="E238" s="615"/>
      <c r="F238" s="615"/>
      <c r="G238" s="615"/>
      <c r="H238" s="615"/>
      <c r="I238" s="615"/>
      <c r="J238" s="615"/>
      <c r="K238" s="1690">
        <f>SUM(K232:K237)</f>
        <v>6468</v>
      </c>
      <c r="L238" s="1690">
        <f>SUM(L232:L237)</f>
        <v>9550</v>
      </c>
    </row>
    <row r="239" spans="1:12" ht="15.9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41</v>
      </c>
      <c r="E240" s="615"/>
      <c r="F240" s="615"/>
      <c r="G240" s="615"/>
      <c r="H240" s="615"/>
      <c r="I240" s="615"/>
      <c r="J240" s="615"/>
      <c r="K240" s="1692">
        <f>D240</f>
        <v>41</v>
      </c>
      <c r="L240" s="480">
        <v>205</v>
      </c>
    </row>
    <row r="241" spans="1:12" x14ac:dyDescent="0.2">
      <c r="A241" s="1524" t="s">
        <v>869</v>
      </c>
      <c r="B241" s="613">
        <v>2220</v>
      </c>
      <c r="C241" s="615"/>
      <c r="D241" s="466">
        <v>959</v>
      </c>
      <c r="E241" s="615"/>
      <c r="F241" s="615"/>
      <c r="G241" s="615"/>
      <c r="H241" s="615"/>
      <c r="I241" s="615"/>
      <c r="J241" s="615"/>
      <c r="K241" s="1692">
        <f>D241</f>
        <v>959</v>
      </c>
      <c r="L241" s="466">
        <v>1050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1000</v>
      </c>
      <c r="E243" s="615"/>
      <c r="F243" s="615"/>
      <c r="G243" s="615"/>
      <c r="H243" s="615"/>
      <c r="I243" s="615"/>
      <c r="J243" s="615"/>
      <c r="K243" s="1690">
        <f>SUM(K240:K242)</f>
        <v>1000</v>
      </c>
      <c r="L243" s="1690">
        <f>SUM(L240:L242)</f>
        <v>1255</v>
      </c>
    </row>
    <row r="244" spans="1:12" ht="15.9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30</v>
      </c>
      <c r="E245" s="615"/>
      <c r="F245" s="615"/>
      <c r="G245" s="615"/>
      <c r="H245" s="615"/>
      <c r="I245" s="615"/>
      <c r="J245" s="615"/>
      <c r="K245" s="1692">
        <f>D245</f>
        <v>30</v>
      </c>
      <c r="L245" s="480">
        <v>40</v>
      </c>
    </row>
    <row r="246" spans="1:12" x14ac:dyDescent="0.2">
      <c r="A246" s="1524" t="s">
        <v>872</v>
      </c>
      <c r="B246" s="613">
        <v>2320</v>
      </c>
      <c r="C246" s="615"/>
      <c r="D246" s="466">
        <v>2176</v>
      </c>
      <c r="E246" s="615"/>
      <c r="F246" s="615"/>
      <c r="G246" s="615"/>
      <c r="H246" s="615"/>
      <c r="I246" s="615"/>
      <c r="J246" s="615"/>
      <c r="K246" s="1692">
        <f t="shared" ref="K246:K256" si="21">D246</f>
        <v>2176</v>
      </c>
      <c r="L246" s="466">
        <v>2400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1906</v>
      </c>
      <c r="B249" s="682" t="s">
        <v>300</v>
      </c>
      <c r="C249" s="615"/>
      <c r="D249" s="474">
        <v>0</v>
      </c>
      <c r="E249" s="615"/>
      <c r="F249" s="615"/>
      <c r="G249" s="615"/>
      <c r="H249" s="615"/>
      <c r="I249" s="615"/>
      <c r="J249" s="615"/>
      <c r="K249" s="1692">
        <f t="shared" si="21"/>
        <v>0</v>
      </c>
      <c r="L249" s="466">
        <v>0</v>
      </c>
    </row>
    <row r="250" spans="1:12" x14ac:dyDescent="0.2">
      <c r="A250" s="1525" t="s">
        <v>1907</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178</v>
      </c>
      <c r="E252" s="615"/>
      <c r="F252" s="615"/>
      <c r="G252" s="615"/>
      <c r="H252" s="615"/>
      <c r="I252" s="615"/>
      <c r="J252" s="615"/>
      <c r="K252" s="1692">
        <f t="shared" si="21"/>
        <v>178</v>
      </c>
      <c r="L252" s="466">
        <v>200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945</v>
      </c>
      <c r="E254" s="615"/>
      <c r="F254" s="615"/>
      <c r="G254" s="615"/>
      <c r="H254" s="615"/>
      <c r="I254" s="615"/>
      <c r="J254" s="615"/>
      <c r="K254" s="1692">
        <f t="shared" si="21"/>
        <v>945</v>
      </c>
      <c r="L254" s="466">
        <v>1000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3329</v>
      </c>
      <c r="E257" s="615"/>
      <c r="F257" s="615"/>
      <c r="G257" s="615"/>
      <c r="H257" s="615"/>
      <c r="I257" s="615"/>
      <c r="J257" s="615"/>
      <c r="K257" s="1690">
        <f>SUM(K245:K256)</f>
        <v>3329</v>
      </c>
      <c r="L257" s="1690">
        <f>SUM(L245:L256)</f>
        <v>3640</v>
      </c>
    </row>
    <row r="258" spans="1:14" ht="15.9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18550</v>
      </c>
      <c r="E259" s="615"/>
      <c r="F259" s="615"/>
      <c r="G259" s="615"/>
      <c r="H259" s="615"/>
      <c r="I259" s="615"/>
      <c r="J259" s="615"/>
      <c r="K259" s="1692">
        <f>D259</f>
        <v>18550</v>
      </c>
      <c r="L259" s="480">
        <v>20500</v>
      </c>
    </row>
    <row r="260" spans="1:14" s="596" customFormat="1" x14ac:dyDescent="0.2">
      <c r="A260" s="1542" t="s">
        <v>1905</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18550</v>
      </c>
      <c r="E261" s="615"/>
      <c r="F261" s="615"/>
      <c r="G261" s="615"/>
      <c r="H261" s="615"/>
      <c r="I261" s="615"/>
      <c r="J261" s="615"/>
      <c r="K261" s="1690">
        <f>SUM(K259:K260)</f>
        <v>18550</v>
      </c>
      <c r="L261" s="1690">
        <f>SUM(L259:L260)</f>
        <v>20500</v>
      </c>
    </row>
    <row r="262" spans="1:14" ht="15.9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1105</v>
      </c>
      <c r="E264" s="615"/>
      <c r="F264" s="615"/>
      <c r="G264" s="615"/>
      <c r="H264" s="615"/>
      <c r="I264" s="615"/>
      <c r="J264" s="615"/>
      <c r="K264" s="1692">
        <f t="shared" ref="K264:K269" si="22">D264</f>
        <v>1105</v>
      </c>
      <c r="L264" s="466">
        <v>1350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18396</v>
      </c>
      <c r="E266" s="615"/>
      <c r="F266" s="615"/>
      <c r="G266" s="615"/>
      <c r="H266" s="615"/>
      <c r="I266" s="615"/>
      <c r="J266" s="615"/>
      <c r="K266" s="1692">
        <f t="shared" si="22"/>
        <v>18396</v>
      </c>
      <c r="L266" s="466">
        <v>25000</v>
      </c>
    </row>
    <row r="267" spans="1:14" x14ac:dyDescent="0.2">
      <c r="A267" s="1524" t="s">
        <v>1010</v>
      </c>
      <c r="B267" s="613">
        <v>2550</v>
      </c>
      <c r="C267" s="615"/>
      <c r="D267" s="466">
        <v>17018</v>
      </c>
      <c r="E267" s="615"/>
      <c r="F267" s="615"/>
      <c r="G267" s="615"/>
      <c r="H267" s="615"/>
      <c r="I267" s="615"/>
      <c r="J267" s="615"/>
      <c r="K267" s="1692">
        <f t="shared" si="22"/>
        <v>17018</v>
      </c>
      <c r="L267" s="466">
        <v>20100</v>
      </c>
    </row>
    <row r="268" spans="1:14" x14ac:dyDescent="0.2">
      <c r="A268" s="1524" t="s">
        <v>102</v>
      </c>
      <c r="B268" s="613">
        <v>2560</v>
      </c>
      <c r="C268" s="615"/>
      <c r="D268" s="466">
        <v>16318</v>
      </c>
      <c r="E268" s="615"/>
      <c r="F268" s="615"/>
      <c r="G268" s="615"/>
      <c r="H268" s="615"/>
      <c r="I268" s="615"/>
      <c r="J268" s="615"/>
      <c r="K268" s="1692">
        <f t="shared" si="22"/>
        <v>16318</v>
      </c>
      <c r="L268" s="466">
        <v>17380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52837</v>
      </c>
      <c r="E270" s="615"/>
      <c r="F270" s="615"/>
      <c r="G270" s="615"/>
      <c r="H270" s="615"/>
      <c r="I270" s="615"/>
      <c r="J270" s="615"/>
      <c r="K270" s="1690">
        <f>SUM(K263:K269)</f>
        <v>52837</v>
      </c>
      <c r="L270" s="1690">
        <f>SUM(L263:L269)</f>
        <v>63830</v>
      </c>
    </row>
    <row r="271" spans="1:14" ht="15.9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82184</v>
      </c>
      <c r="E279" s="615"/>
      <c r="F279" s="615"/>
      <c r="G279" s="615"/>
      <c r="H279" s="615"/>
      <c r="I279" s="615"/>
      <c r="J279" s="615"/>
      <c r="K279" s="1697">
        <f>SUM(K238,K243,K257,K261,K270,K277,K278)</f>
        <v>82184</v>
      </c>
      <c r="L279" s="1697">
        <f>SUM(L238,L243,L257,L261,L270,L277,L278)</f>
        <v>98775</v>
      </c>
    </row>
    <row r="280" spans="1:12" ht="15.95" customHeight="1" thickTop="1" thickBot="1" x14ac:dyDescent="0.25">
      <c r="A280" s="1644" t="s">
        <v>930</v>
      </c>
      <c r="B280" s="1633">
        <v>3000</v>
      </c>
      <c r="C280" s="615"/>
      <c r="D280" s="574">
        <v>821</v>
      </c>
      <c r="E280" s="615"/>
      <c r="F280" s="615"/>
      <c r="G280" s="615"/>
      <c r="H280" s="615"/>
      <c r="I280" s="615"/>
      <c r="J280" s="615"/>
      <c r="K280" s="1699">
        <f>D280</f>
        <v>821</v>
      </c>
      <c r="L280" s="574">
        <v>910</v>
      </c>
    </row>
    <row r="281" spans="1:12" ht="15.95" customHeight="1" thickTop="1" x14ac:dyDescent="0.2">
      <c r="A281" s="1634" t="s">
        <v>144</v>
      </c>
      <c r="B281" s="1635" t="s">
        <v>915</v>
      </c>
      <c r="C281" s="615"/>
      <c r="D281" s="564"/>
      <c r="E281" s="615"/>
      <c r="F281" s="615"/>
      <c r="G281" s="615"/>
      <c r="H281" s="615"/>
      <c r="I281" s="615"/>
      <c r="J281" s="615"/>
      <c r="K281" s="615"/>
      <c r="L281" s="615"/>
    </row>
    <row r="282" spans="1:12" ht="15.95" customHeight="1" x14ac:dyDescent="0.2">
      <c r="A282" s="1851" t="s">
        <v>517</v>
      </c>
      <c r="B282" s="689" t="s">
        <v>1954</v>
      </c>
      <c r="C282" s="615"/>
      <c r="D282" s="467">
        <v>0</v>
      </c>
      <c r="E282" s="615"/>
      <c r="F282" s="615"/>
      <c r="G282" s="615"/>
      <c r="H282" s="615"/>
      <c r="I282" s="615"/>
      <c r="J282" s="615"/>
      <c r="K282" s="1691">
        <f>D282</f>
        <v>0</v>
      </c>
      <c r="L282" s="467">
        <v>0</v>
      </c>
    </row>
    <row r="283" spans="1:12" x14ac:dyDescent="0.2">
      <c r="A283" s="1524" t="s">
        <v>322</v>
      </c>
      <c r="B283" s="613">
        <v>4120</v>
      </c>
      <c r="C283" s="615"/>
      <c r="D283" s="466">
        <v>4374</v>
      </c>
      <c r="E283" s="615"/>
      <c r="F283" s="615"/>
      <c r="G283" s="615"/>
      <c r="H283" s="615"/>
      <c r="I283" s="615"/>
      <c r="J283" s="615"/>
      <c r="K283" s="1691">
        <f>D283</f>
        <v>4374</v>
      </c>
      <c r="L283" s="466">
        <v>7900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4374</v>
      </c>
      <c r="E285" s="615"/>
      <c r="F285" s="615"/>
      <c r="G285" s="615"/>
      <c r="H285" s="615"/>
      <c r="I285" s="615"/>
      <c r="J285" s="615"/>
      <c r="K285" s="1690">
        <f>SUM(K282:K284)</f>
        <v>4374</v>
      </c>
      <c r="L285" s="1690">
        <f>SUM(L282:L284)</f>
        <v>7900</v>
      </c>
    </row>
    <row r="286" spans="1:12" ht="15.95" customHeight="1" thickTop="1" x14ac:dyDescent="0.2">
      <c r="A286" s="1632" t="s">
        <v>931</v>
      </c>
      <c r="B286" s="1629" t="s">
        <v>513</v>
      </c>
      <c r="C286" s="615"/>
      <c r="D286" s="615"/>
      <c r="E286" s="615"/>
      <c r="F286" s="615"/>
      <c r="G286" s="615"/>
      <c r="H286" s="615"/>
      <c r="I286" s="615"/>
      <c r="J286" s="615"/>
      <c r="K286" s="615"/>
      <c r="L286" s="615"/>
    </row>
    <row r="287" spans="1:12" ht="15.9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9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278" t="s">
        <v>526</v>
      </c>
      <c r="B295" s="2279"/>
      <c r="C295" s="615"/>
      <c r="D295" s="1690">
        <f>SUM(D229,D279,D280,D285)</f>
        <v>131501</v>
      </c>
      <c r="E295" s="615"/>
      <c r="F295" s="615"/>
      <c r="G295" s="615"/>
      <c r="H295" s="1690">
        <f>H293</f>
        <v>0</v>
      </c>
      <c r="I295" s="615"/>
      <c r="J295" s="615"/>
      <c r="K295" s="1690">
        <f>SUM(K229,K279,K280,K285,K293,K294)</f>
        <v>131501</v>
      </c>
      <c r="L295" s="1690">
        <f>SUM(L229,L279,L280,L285,L293,L294)</f>
        <v>159740</v>
      </c>
    </row>
    <row r="296" spans="1:14" ht="13.5" thickTop="1" x14ac:dyDescent="0.2">
      <c r="A296" s="2260" t="s">
        <v>1053</v>
      </c>
      <c r="B296" s="2261"/>
      <c r="C296" s="615"/>
      <c r="D296" s="617"/>
      <c r="E296" s="615"/>
      <c r="F296" s="615"/>
      <c r="G296" s="615"/>
      <c r="H296" s="686"/>
      <c r="I296" s="615"/>
      <c r="J296" s="615"/>
      <c r="K296" s="1704">
        <f>'Revenues 9-14'!G275-'Expenditures 15-22'!K295</f>
        <v>84501</v>
      </c>
      <c r="L296" s="686"/>
    </row>
    <row r="297" spans="1:14" s="665" customFormat="1" ht="9.1999999999999993"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70" t="s">
        <v>145</v>
      </c>
      <c r="B298" s="2264"/>
      <c r="C298" s="1571"/>
      <c r="D298" s="1572"/>
      <c r="E298" s="1572"/>
      <c r="F298" s="1572"/>
      <c r="G298" s="1572"/>
      <c r="H298" s="1572"/>
      <c r="I298" s="1572"/>
      <c r="J298" s="1572"/>
      <c r="K298" s="1572"/>
      <c r="L298" s="1573"/>
    </row>
    <row r="299" spans="1:14" ht="15.95" customHeight="1" x14ac:dyDescent="0.2">
      <c r="A299" s="1632" t="s">
        <v>146</v>
      </c>
      <c r="B299" s="1635" t="s">
        <v>590</v>
      </c>
      <c r="C299" s="615"/>
      <c r="D299" s="615"/>
      <c r="E299" s="615"/>
      <c r="F299" s="615"/>
      <c r="G299" s="615"/>
      <c r="H299" s="615"/>
      <c r="I299" s="615"/>
      <c r="J299" s="615"/>
      <c r="K299" s="615"/>
      <c r="L299" s="615"/>
    </row>
    <row r="300" spans="1:14" ht="15.9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6306</v>
      </c>
      <c r="F301" s="466">
        <v>7076</v>
      </c>
      <c r="G301" s="466">
        <v>10083</v>
      </c>
      <c r="H301" s="466">
        <v>0</v>
      </c>
      <c r="I301" s="467">
        <v>5293</v>
      </c>
      <c r="J301" s="467">
        <v>0</v>
      </c>
      <c r="K301" s="1691">
        <f>SUM(C301:J301)</f>
        <v>28758</v>
      </c>
      <c r="L301" s="467">
        <v>82500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6306</v>
      </c>
      <c r="F303" s="1697">
        <f t="shared" si="23"/>
        <v>7076</v>
      </c>
      <c r="G303" s="1697">
        <f t="shared" si="23"/>
        <v>10083</v>
      </c>
      <c r="H303" s="1697">
        <f t="shared" si="23"/>
        <v>0</v>
      </c>
      <c r="I303" s="1697">
        <f t="shared" si="23"/>
        <v>5293</v>
      </c>
      <c r="J303" s="1697">
        <f t="shared" si="23"/>
        <v>0</v>
      </c>
      <c r="K303" s="1697">
        <f t="shared" si="23"/>
        <v>28758</v>
      </c>
      <c r="L303" s="1697">
        <f t="shared" si="23"/>
        <v>82500</v>
      </c>
    </row>
    <row r="304" spans="1:14" ht="15.95" customHeight="1" thickTop="1" x14ac:dyDescent="0.2">
      <c r="A304" s="1632" t="s">
        <v>147</v>
      </c>
      <c r="B304" s="1633" t="s">
        <v>915</v>
      </c>
      <c r="C304" s="615"/>
      <c r="D304" s="615"/>
      <c r="E304" s="615"/>
      <c r="F304" s="615"/>
      <c r="G304" s="615"/>
      <c r="H304" s="615"/>
      <c r="I304" s="615"/>
      <c r="J304" s="615"/>
      <c r="K304" s="615"/>
      <c r="L304" s="615"/>
    </row>
    <row r="305" spans="1:14" ht="15.95" customHeight="1" x14ac:dyDescent="0.2">
      <c r="A305" s="652" t="s">
        <v>953</v>
      </c>
      <c r="B305" s="621"/>
      <c r="C305" s="615"/>
      <c r="D305" s="615"/>
      <c r="E305" s="615"/>
      <c r="F305" s="615"/>
      <c r="G305" s="615"/>
      <c r="H305" s="615"/>
      <c r="I305" s="615"/>
      <c r="J305" s="615"/>
      <c r="K305" s="615"/>
      <c r="L305" s="615"/>
    </row>
    <row r="306" spans="1:14" x14ac:dyDescent="0.2">
      <c r="A306" s="1538" t="s">
        <v>1959</v>
      </c>
      <c r="B306" s="689" t="s">
        <v>1954</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9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275" t="s">
        <v>295</v>
      </c>
      <c r="B312" s="2276"/>
      <c r="C312" s="1690">
        <f>SUM(C303)</f>
        <v>0</v>
      </c>
      <c r="D312" s="1690">
        <f>SUM(D303)</f>
        <v>0</v>
      </c>
      <c r="E312" s="1690">
        <f>SUM(E303,E310)</f>
        <v>6306</v>
      </c>
      <c r="F312" s="1690">
        <f>SUM(F303)</f>
        <v>7076</v>
      </c>
      <c r="G312" s="1690">
        <f>SUM(G303)</f>
        <v>10083</v>
      </c>
      <c r="H312" s="1690">
        <f>SUM(H303,H310)</f>
        <v>0</v>
      </c>
      <c r="I312" s="1690">
        <f>SUM(I303)</f>
        <v>5293</v>
      </c>
      <c r="J312" s="1690">
        <f>SUM(J303)</f>
        <v>0</v>
      </c>
      <c r="K312" s="1690">
        <f>SUM(K303,K310,K311)</f>
        <v>28758</v>
      </c>
      <c r="L312" s="1690">
        <f>SUM(L303,L310,L311)</f>
        <v>82500</v>
      </c>
      <c r="M312" s="664"/>
      <c r="N312" s="664"/>
    </row>
    <row r="313" spans="1:14" ht="13.5" thickTop="1" x14ac:dyDescent="0.2">
      <c r="A313" s="2271" t="s">
        <v>1053</v>
      </c>
      <c r="B313" s="2272"/>
      <c r="C313" s="625"/>
      <c r="D313" s="625"/>
      <c r="E313" s="625"/>
      <c r="F313" s="625"/>
      <c r="G313" s="625"/>
      <c r="H313" s="625"/>
      <c r="I313" s="625"/>
      <c r="J313" s="625"/>
      <c r="K313" s="1705">
        <f>'Revenues 9-14'!H275-'Expenditures 15-22'!K312</f>
        <v>223622</v>
      </c>
      <c r="L313" s="625"/>
    </row>
    <row r="314" spans="1:14" s="665" customFormat="1" ht="9.1999999999999993"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84" t="s">
        <v>151</v>
      </c>
      <c r="B315" s="2285"/>
      <c r="C315" s="1576"/>
      <c r="D315" s="1577"/>
      <c r="E315" s="1577"/>
      <c r="F315" s="1577"/>
      <c r="G315" s="1577"/>
      <c r="H315" s="1577"/>
      <c r="I315" s="1577"/>
      <c r="J315" s="1577"/>
      <c r="K315" s="1577"/>
      <c r="L315" s="1578"/>
    </row>
    <row r="316" spans="1:14" s="673" customFormat="1" ht="9.1999999999999993"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86" t="s">
        <v>954</v>
      </c>
      <c r="B317" s="2285"/>
      <c r="C317" s="1576"/>
      <c r="D317" s="1577"/>
      <c r="E317" s="1577"/>
      <c r="F317" s="1577"/>
      <c r="G317" s="1577"/>
      <c r="H317" s="1577"/>
      <c r="I317" s="1577"/>
      <c r="J317" s="1577"/>
      <c r="K317" s="1577"/>
      <c r="L317" s="1578"/>
    </row>
    <row r="318" spans="1:14" s="673" customFormat="1" ht="15.9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1906</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6091</v>
      </c>
      <c r="I321" s="467">
        <v>0</v>
      </c>
      <c r="J321" s="467">
        <v>0</v>
      </c>
      <c r="K321" s="1691">
        <f t="shared" si="24"/>
        <v>6091</v>
      </c>
      <c r="L321" s="467">
        <v>10000</v>
      </c>
      <c r="M321" s="664"/>
      <c r="N321" s="664"/>
    </row>
    <row r="322" spans="1:14" s="673" customFormat="1" x14ac:dyDescent="0.2">
      <c r="A322" s="1539" t="s">
        <v>256</v>
      </c>
      <c r="B322" s="696" t="s">
        <v>302</v>
      </c>
      <c r="C322" s="467">
        <v>0</v>
      </c>
      <c r="D322" s="467">
        <v>0</v>
      </c>
      <c r="E322" s="467">
        <v>59488</v>
      </c>
      <c r="F322" s="467">
        <v>0</v>
      </c>
      <c r="G322" s="467">
        <v>0</v>
      </c>
      <c r="H322" s="467">
        <v>0</v>
      </c>
      <c r="I322" s="467">
        <v>0</v>
      </c>
      <c r="J322" s="467">
        <v>0</v>
      </c>
      <c r="K322" s="1691">
        <f t="shared" si="24"/>
        <v>59488</v>
      </c>
      <c r="L322" s="467">
        <v>60000</v>
      </c>
      <c r="M322" s="664"/>
      <c r="N322" s="664"/>
    </row>
    <row r="323" spans="1:14" s="673" customFormat="1" x14ac:dyDescent="0.2">
      <c r="A323" s="1539" t="s">
        <v>726</v>
      </c>
      <c r="B323" s="696" t="s">
        <v>303</v>
      </c>
      <c r="C323" s="467">
        <v>12264</v>
      </c>
      <c r="D323" s="467">
        <v>179</v>
      </c>
      <c r="E323" s="467">
        <v>0</v>
      </c>
      <c r="F323" s="467">
        <v>0</v>
      </c>
      <c r="G323" s="467">
        <v>0</v>
      </c>
      <c r="H323" s="467">
        <v>0</v>
      </c>
      <c r="I323" s="467">
        <v>0</v>
      </c>
      <c r="J323" s="467">
        <v>0</v>
      </c>
      <c r="K323" s="1691">
        <f t="shared" si="24"/>
        <v>12443</v>
      </c>
      <c r="L323" s="467">
        <v>15200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27218</v>
      </c>
      <c r="D325" s="467">
        <v>323</v>
      </c>
      <c r="E325" s="467">
        <v>0</v>
      </c>
      <c r="F325" s="467">
        <v>0</v>
      </c>
      <c r="G325" s="467">
        <v>0</v>
      </c>
      <c r="H325" s="467">
        <v>0</v>
      </c>
      <c r="I325" s="467">
        <v>0</v>
      </c>
      <c r="J325" s="467">
        <v>0</v>
      </c>
      <c r="K325" s="1691">
        <f t="shared" si="24"/>
        <v>27541</v>
      </c>
      <c r="L325" s="467">
        <v>27100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5898</v>
      </c>
      <c r="F327" s="467">
        <v>0</v>
      </c>
      <c r="G327" s="467">
        <v>0</v>
      </c>
      <c r="H327" s="467">
        <v>0</v>
      </c>
      <c r="I327" s="467">
        <v>0</v>
      </c>
      <c r="J327" s="467">
        <v>0</v>
      </c>
      <c r="K327" s="1691">
        <f t="shared" si="24"/>
        <v>5898</v>
      </c>
      <c r="L327" s="467">
        <v>10000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39482</v>
      </c>
      <c r="D330" s="1690">
        <f t="shared" ref="D330:J330" si="25">SUM(D319:D329)</f>
        <v>502</v>
      </c>
      <c r="E330" s="1690">
        <f t="shared" si="25"/>
        <v>65386</v>
      </c>
      <c r="F330" s="1690">
        <f t="shared" si="25"/>
        <v>0</v>
      </c>
      <c r="G330" s="1690">
        <f t="shared" si="25"/>
        <v>0</v>
      </c>
      <c r="H330" s="1690">
        <f t="shared" si="25"/>
        <v>6091</v>
      </c>
      <c r="I330" s="1690">
        <f t="shared" si="25"/>
        <v>0</v>
      </c>
      <c r="J330" s="1690">
        <f t="shared" si="25"/>
        <v>0</v>
      </c>
      <c r="K330" s="1690">
        <f>SUM(K319:K329)</f>
        <v>111461</v>
      </c>
      <c r="L330" s="1690">
        <f>SUM(L319:L329)</f>
        <v>122300</v>
      </c>
      <c r="M330" s="664"/>
      <c r="N330" s="664"/>
    </row>
    <row r="331" spans="1:14" s="673" customFormat="1" ht="12.75" customHeight="1" thickTop="1" x14ac:dyDescent="0.2">
      <c r="A331" s="1852" t="s">
        <v>1960</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1954</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1956</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95" customHeight="1" thickTop="1" x14ac:dyDescent="0.2">
      <c r="A335" s="1636" t="s">
        <v>955</v>
      </c>
      <c r="B335" s="1627" t="s">
        <v>513</v>
      </c>
      <c r="C335" s="615"/>
      <c r="D335" s="615"/>
      <c r="E335" s="615"/>
      <c r="F335" s="615"/>
      <c r="G335" s="615"/>
      <c r="H335" s="615"/>
      <c r="I335" s="615"/>
      <c r="J335" s="615"/>
      <c r="K335" s="615"/>
      <c r="L335" s="615"/>
    </row>
    <row r="336" spans="1:14" ht="15.9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9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39482</v>
      </c>
      <c r="D342" s="1690">
        <f>SUM(D330)</f>
        <v>502</v>
      </c>
      <c r="E342" s="1690">
        <f>SUM(E330)</f>
        <v>65386</v>
      </c>
      <c r="F342" s="1690">
        <f>SUM(F330)</f>
        <v>0</v>
      </c>
      <c r="G342" s="1690">
        <f>SUM(G330)</f>
        <v>0</v>
      </c>
      <c r="H342" s="1690">
        <f>SUM(H330,H334,H340)</f>
        <v>6091</v>
      </c>
      <c r="I342" s="1690">
        <f>SUM(I330)</f>
        <v>0</v>
      </c>
      <c r="J342" s="1690">
        <f>SUM(J330)</f>
        <v>0</v>
      </c>
      <c r="K342" s="1690">
        <f>SUM(K330,K334,K340)</f>
        <v>111461</v>
      </c>
      <c r="L342" s="1697">
        <f>SUM(L330,L340,L341)</f>
        <v>122300</v>
      </c>
    </row>
    <row r="343" spans="1:14" ht="12.75" customHeight="1" thickTop="1" x14ac:dyDescent="0.2">
      <c r="A343" s="2273" t="s">
        <v>1053</v>
      </c>
      <c r="B343" s="2274"/>
      <c r="C343" s="615"/>
      <c r="D343" s="615"/>
      <c r="E343" s="615"/>
      <c r="F343" s="615"/>
      <c r="G343" s="615"/>
      <c r="H343" s="615"/>
      <c r="I343" s="615"/>
      <c r="J343" s="615"/>
      <c r="K343" s="1704">
        <f>'Revenues 9-14'!J275-'Expenditures 15-22'!K342</f>
        <v>59825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63" t="s">
        <v>1023</v>
      </c>
      <c r="B345" s="2264"/>
      <c r="C345" s="1571"/>
      <c r="D345" s="1572"/>
      <c r="E345" s="1572"/>
      <c r="F345" s="1572"/>
      <c r="G345" s="1572"/>
      <c r="H345" s="1572"/>
      <c r="I345" s="1572"/>
      <c r="J345" s="1572"/>
      <c r="K345" s="1572"/>
      <c r="L345" s="1573"/>
      <c r="M345" s="666"/>
      <c r="N345" s="666"/>
    </row>
    <row r="346" spans="1:14" s="343" customFormat="1" ht="15.95" customHeight="1" x14ac:dyDescent="0.2">
      <c r="A346" s="1643" t="s">
        <v>899</v>
      </c>
      <c r="B346" s="1635" t="s">
        <v>590</v>
      </c>
      <c r="C346" s="615"/>
      <c r="D346" s="615"/>
      <c r="E346" s="615"/>
      <c r="F346" s="615"/>
      <c r="G346" s="615"/>
      <c r="H346" s="615"/>
      <c r="I346" s="615"/>
      <c r="J346" s="615"/>
      <c r="K346" s="615"/>
      <c r="L346" s="615"/>
      <c r="M346" s="608"/>
      <c r="N346" s="608"/>
    </row>
    <row r="347" spans="1:14" ht="15.9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6000</v>
      </c>
      <c r="F349" s="466">
        <v>10800</v>
      </c>
      <c r="G349" s="466">
        <v>0</v>
      </c>
      <c r="H349" s="466">
        <v>0</v>
      </c>
      <c r="I349" s="467">
        <v>0</v>
      </c>
      <c r="J349" s="467">
        <v>0</v>
      </c>
      <c r="K349" s="1691">
        <f>SUM(C349:J349)</f>
        <v>16800</v>
      </c>
      <c r="L349" s="466">
        <v>29107</v>
      </c>
    </row>
    <row r="350" spans="1:14" ht="12.75" customHeight="1" thickBot="1" x14ac:dyDescent="0.25">
      <c r="A350" s="1688" t="s">
        <v>743</v>
      </c>
      <c r="B350" s="1689" t="s">
        <v>35</v>
      </c>
      <c r="C350" s="1690">
        <f>SUM(C348:C349)</f>
        <v>0</v>
      </c>
      <c r="D350" s="1690">
        <f t="shared" ref="D350:L350" si="26">SUM(D348:D349)</f>
        <v>0</v>
      </c>
      <c r="E350" s="1690">
        <f t="shared" si="26"/>
        <v>6000</v>
      </c>
      <c r="F350" s="1690">
        <f t="shared" si="26"/>
        <v>10800</v>
      </c>
      <c r="G350" s="1690">
        <f t="shared" si="26"/>
        <v>0</v>
      </c>
      <c r="H350" s="1690">
        <f t="shared" si="26"/>
        <v>0</v>
      </c>
      <c r="I350" s="1690">
        <f t="shared" si="26"/>
        <v>0</v>
      </c>
      <c r="J350" s="1690">
        <f t="shared" si="26"/>
        <v>0</v>
      </c>
      <c r="K350" s="1690">
        <f t="shared" si="26"/>
        <v>16800</v>
      </c>
      <c r="L350" s="1690">
        <f t="shared" si="26"/>
        <v>29107</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6000</v>
      </c>
      <c r="F352" s="1690">
        <f t="shared" si="27"/>
        <v>10800</v>
      </c>
      <c r="G352" s="1690">
        <f t="shared" si="27"/>
        <v>0</v>
      </c>
      <c r="H352" s="1690">
        <f t="shared" si="27"/>
        <v>0</v>
      </c>
      <c r="I352" s="1690">
        <f t="shared" si="27"/>
        <v>0</v>
      </c>
      <c r="J352" s="1690">
        <f t="shared" si="27"/>
        <v>0</v>
      </c>
      <c r="K352" s="1690">
        <f t="shared" si="27"/>
        <v>16800</v>
      </c>
      <c r="L352" s="1690">
        <f t="shared" si="27"/>
        <v>29107</v>
      </c>
    </row>
    <row r="353" spans="1:14" s="343" customFormat="1" ht="15.9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1962</v>
      </c>
      <c r="B354" s="682" t="s">
        <v>1954</v>
      </c>
      <c r="C354" s="615"/>
      <c r="D354" s="615"/>
      <c r="E354" s="615"/>
      <c r="F354" s="615"/>
      <c r="G354" s="615"/>
      <c r="H354" s="474">
        <v>0</v>
      </c>
      <c r="I354" s="700"/>
      <c r="J354" s="615"/>
      <c r="K354" s="1719">
        <f>H354</f>
        <v>0</v>
      </c>
      <c r="L354" s="471">
        <v>0</v>
      </c>
    </row>
    <row r="355" spans="1:14" ht="12.75" customHeight="1" x14ac:dyDescent="0.2">
      <c r="A355" s="1533" t="s">
        <v>1963</v>
      </c>
      <c r="B355" s="689" t="s">
        <v>1956</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9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9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9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9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6000</v>
      </c>
      <c r="F367" s="1690">
        <f t="shared" si="28"/>
        <v>10800</v>
      </c>
      <c r="G367" s="1690">
        <f t="shared" si="28"/>
        <v>0</v>
      </c>
      <c r="H367" s="1690">
        <f t="shared" si="28"/>
        <v>0</v>
      </c>
      <c r="I367" s="1690">
        <f t="shared" si="28"/>
        <v>0</v>
      </c>
      <c r="J367" s="1690">
        <f t="shared" si="28"/>
        <v>0</v>
      </c>
      <c r="K367" s="1690">
        <f t="shared" si="28"/>
        <v>16800</v>
      </c>
      <c r="L367" s="1690">
        <f t="shared" si="28"/>
        <v>29107</v>
      </c>
    </row>
    <row r="368" spans="1:14" ht="13.5" thickTop="1" x14ac:dyDescent="0.2">
      <c r="A368" s="2260" t="s">
        <v>1053</v>
      </c>
      <c r="B368" s="2261"/>
      <c r="C368" s="653"/>
      <c r="D368" s="653"/>
      <c r="E368" s="625"/>
      <c r="F368" s="625"/>
      <c r="G368" s="625"/>
      <c r="H368" s="625"/>
      <c r="I368" s="625"/>
      <c r="J368" s="622"/>
      <c r="K368" s="1691">
        <f>'Revenues 9-14'!K275-'Expenditures 15-22'!K367</f>
        <v>-16445</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68"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950000000000003" customHeight="1" x14ac:dyDescent="0.2">
      <c r="A1" s="1904" t="s">
        <v>106</v>
      </c>
    </row>
    <row r="2" spans="1:6" ht="39.75" customHeight="1" x14ac:dyDescent="0.2">
      <c r="A2" s="2287" t="s">
        <v>1903</v>
      </c>
      <c r="B2" s="1548" t="s">
        <v>2034</v>
      </c>
      <c r="C2" s="713" t="s">
        <v>1908</v>
      </c>
      <c r="D2" s="713" t="s">
        <v>1909</v>
      </c>
      <c r="E2" s="713" t="s">
        <v>1910</v>
      </c>
      <c r="F2" s="713" t="s">
        <v>1911</v>
      </c>
    </row>
    <row r="3" spans="1:6" ht="12" customHeight="1" x14ac:dyDescent="0.2">
      <c r="A3" s="2288"/>
      <c r="B3" s="1545"/>
      <c r="C3" s="1546"/>
      <c r="D3" s="1547" t="s">
        <v>274</v>
      </c>
      <c r="E3" s="1546"/>
      <c r="F3" s="1547" t="s">
        <v>275</v>
      </c>
    </row>
    <row r="4" spans="1:6" ht="13.9" customHeight="1" x14ac:dyDescent="0.2">
      <c r="A4" s="714" t="s">
        <v>1217</v>
      </c>
      <c r="B4" s="1769">
        <f>'Revenues 9-14'!C5</f>
        <v>2130065</v>
      </c>
      <c r="C4" s="1544">
        <v>778712</v>
      </c>
      <c r="D4" s="1772">
        <f>B4-C4</f>
        <v>1351353</v>
      </c>
      <c r="E4" s="1544">
        <v>1997166</v>
      </c>
      <c r="F4" s="1772">
        <f>E4-C4</f>
        <v>1218454</v>
      </c>
    </row>
    <row r="5" spans="1:6" ht="13.9" customHeight="1" x14ac:dyDescent="0.2">
      <c r="A5" s="714" t="s">
        <v>925</v>
      </c>
      <c r="B5" s="1770">
        <f>'Revenues 9-14'!D5</f>
        <v>203251</v>
      </c>
      <c r="C5" s="583">
        <v>74305</v>
      </c>
      <c r="D5" s="1773">
        <f t="shared" ref="D5:D18" si="0">B5-C5</f>
        <v>128946</v>
      </c>
      <c r="E5" s="583">
        <v>190569</v>
      </c>
      <c r="F5" s="1773">
        <f>E5-C5</f>
        <v>116264</v>
      </c>
    </row>
    <row r="6" spans="1:6" ht="13.9" customHeight="1" x14ac:dyDescent="0.2">
      <c r="A6" s="714" t="s">
        <v>431</v>
      </c>
      <c r="B6" s="1770">
        <f>'Revenues 9-14'!E5</f>
        <v>467402</v>
      </c>
      <c r="C6" s="583">
        <v>171019</v>
      </c>
      <c r="D6" s="1773">
        <f t="shared" si="0"/>
        <v>296383</v>
      </c>
      <c r="E6" s="583">
        <v>438614</v>
      </c>
      <c r="F6" s="1773">
        <f t="shared" ref="F6:F18" si="1">E6-C6</f>
        <v>267595</v>
      </c>
    </row>
    <row r="7" spans="1:6" ht="13.9" customHeight="1" x14ac:dyDescent="0.2">
      <c r="A7" s="714" t="s">
        <v>157</v>
      </c>
      <c r="B7" s="1770">
        <f>'Revenues 9-14'!F5</f>
        <v>97560</v>
      </c>
      <c r="C7" s="583">
        <v>35666</v>
      </c>
      <c r="D7" s="1773">
        <f t="shared" si="0"/>
        <v>61894</v>
      </c>
      <c r="E7" s="583">
        <v>91473</v>
      </c>
      <c r="F7" s="1773">
        <f t="shared" si="1"/>
        <v>55807</v>
      </c>
    </row>
    <row r="8" spans="1:6" ht="13.9" customHeight="1" x14ac:dyDescent="0.2">
      <c r="A8" s="714" t="s">
        <v>1241</v>
      </c>
      <c r="B8" s="1770">
        <f>'Revenues 9-14'!G5</f>
        <v>31934</v>
      </c>
      <c r="C8" s="583">
        <v>21103</v>
      </c>
      <c r="D8" s="1773">
        <f t="shared" si="0"/>
        <v>10831</v>
      </c>
      <c r="E8" s="583">
        <v>54122</v>
      </c>
      <c r="F8" s="1773">
        <f t="shared" si="1"/>
        <v>33019</v>
      </c>
    </row>
    <row r="9" spans="1:6" ht="13.9" customHeight="1" x14ac:dyDescent="0.2">
      <c r="A9" s="714" t="s">
        <v>428</v>
      </c>
      <c r="B9" s="1770">
        <f>'Revenues 9-14'!H5</f>
        <v>0</v>
      </c>
      <c r="C9" s="583">
        <v>0</v>
      </c>
      <c r="D9" s="1773">
        <f t="shared" si="0"/>
        <v>0</v>
      </c>
      <c r="E9" s="583">
        <v>0</v>
      </c>
      <c r="F9" s="1773">
        <f t="shared" si="1"/>
        <v>0</v>
      </c>
    </row>
    <row r="10" spans="1:6" ht="13.9" customHeight="1" x14ac:dyDescent="0.2">
      <c r="A10" s="714" t="s">
        <v>427</v>
      </c>
      <c r="B10" s="1770">
        <f>'Revenues 9-14'!I5</f>
        <v>40650</v>
      </c>
      <c r="C10" s="583">
        <v>14861</v>
      </c>
      <c r="D10" s="1773">
        <f t="shared" si="0"/>
        <v>25789</v>
      </c>
      <c r="E10" s="583">
        <v>38114</v>
      </c>
      <c r="F10" s="1773">
        <f t="shared" si="1"/>
        <v>23253</v>
      </c>
    </row>
    <row r="11" spans="1:6" x14ac:dyDescent="0.2">
      <c r="A11" s="714" t="s">
        <v>429</v>
      </c>
      <c r="B11" s="1770">
        <f>'Revenues 9-14'!J5</f>
        <v>163538</v>
      </c>
      <c r="C11" s="583">
        <v>57185</v>
      </c>
      <c r="D11" s="1773">
        <f t="shared" si="0"/>
        <v>106353</v>
      </c>
      <c r="E11" s="583">
        <v>146662</v>
      </c>
      <c r="F11" s="1773">
        <f t="shared" si="1"/>
        <v>89477</v>
      </c>
    </row>
    <row r="12" spans="1:6" ht="13.9" customHeight="1" x14ac:dyDescent="0.2">
      <c r="A12" s="714" t="s">
        <v>159</v>
      </c>
      <c r="B12" s="1770">
        <f>'Revenues 9-14'!K5</f>
        <v>0</v>
      </c>
      <c r="C12" s="583">
        <v>0</v>
      </c>
      <c r="D12" s="1773">
        <f t="shared" si="0"/>
        <v>0</v>
      </c>
      <c r="E12" s="583">
        <v>0</v>
      </c>
      <c r="F12" s="1773">
        <f t="shared" si="1"/>
        <v>0</v>
      </c>
    </row>
    <row r="13" spans="1:6" ht="13.9" customHeight="1" x14ac:dyDescent="0.2">
      <c r="A13" s="714" t="s">
        <v>993</v>
      </c>
      <c r="B13" s="1770">
        <f>SUM('Revenues 9-14'!C6:D6)</f>
        <v>10736</v>
      </c>
      <c r="C13" s="583">
        <v>0</v>
      </c>
      <c r="D13" s="1773">
        <f t="shared" si="0"/>
        <v>10736</v>
      </c>
      <c r="E13" s="583">
        <v>0</v>
      </c>
      <c r="F13" s="1773">
        <f t="shared" si="1"/>
        <v>0</v>
      </c>
    </row>
    <row r="14" spans="1:6" ht="13.9" customHeight="1" x14ac:dyDescent="0.2">
      <c r="A14" s="714" t="s">
        <v>430</v>
      </c>
      <c r="B14" s="1770">
        <f>SUM('Revenues 9-14'!C7:D7,'Revenues 9-14'!F7:H7)</f>
        <v>16260</v>
      </c>
      <c r="C14" s="583">
        <v>5944</v>
      </c>
      <c r="D14" s="1773">
        <f t="shared" si="0"/>
        <v>10316</v>
      </c>
      <c r="E14" s="583">
        <v>15246</v>
      </c>
      <c r="F14" s="1773">
        <f t="shared" si="1"/>
        <v>9302</v>
      </c>
    </row>
    <row r="15" spans="1:6" ht="13.9" customHeight="1" x14ac:dyDescent="0.2">
      <c r="A15" s="714" t="s">
        <v>1220</v>
      </c>
      <c r="B15" s="1770">
        <f>'Revenues 9-14'!E9</f>
        <v>0</v>
      </c>
      <c r="C15" s="583">
        <v>0</v>
      </c>
      <c r="D15" s="1773">
        <f t="shared" si="0"/>
        <v>0</v>
      </c>
      <c r="E15" s="583">
        <v>0</v>
      </c>
      <c r="F15" s="1773">
        <f t="shared" si="1"/>
        <v>0</v>
      </c>
    </row>
    <row r="16" spans="1:6" ht="13.9" customHeight="1" x14ac:dyDescent="0.2">
      <c r="A16" s="714" t="s">
        <v>1221</v>
      </c>
      <c r="B16" s="1770">
        <f>'Revenues 9-14'!G8</f>
        <v>174015</v>
      </c>
      <c r="C16" s="583">
        <v>51775</v>
      </c>
      <c r="D16" s="1773">
        <f t="shared" si="0"/>
        <v>122240</v>
      </c>
      <c r="E16" s="583">
        <v>132789</v>
      </c>
      <c r="F16" s="1773">
        <f t="shared" si="1"/>
        <v>81014</v>
      </c>
    </row>
    <row r="17" spans="1:6" ht="13.9" customHeight="1" x14ac:dyDescent="0.2">
      <c r="A17" s="714" t="s">
        <v>1222</v>
      </c>
      <c r="B17" s="1770">
        <f>'Revenues 9-14'!C10</f>
        <v>0</v>
      </c>
      <c r="C17" s="583">
        <v>0</v>
      </c>
      <c r="D17" s="1773">
        <f t="shared" si="0"/>
        <v>0</v>
      </c>
      <c r="E17" s="583">
        <v>0</v>
      </c>
      <c r="F17" s="1773">
        <f t="shared" si="1"/>
        <v>0</v>
      </c>
    </row>
    <row r="18" spans="1:6" ht="13.9" customHeight="1" x14ac:dyDescent="0.2">
      <c r="A18" s="714" t="s">
        <v>786</v>
      </c>
      <c r="B18" s="1770">
        <f>SUM('Revenues 9-14'!C11:K11)</f>
        <v>0</v>
      </c>
      <c r="C18" s="583">
        <v>0</v>
      </c>
      <c r="D18" s="1773">
        <f t="shared" si="0"/>
        <v>0</v>
      </c>
      <c r="E18" s="583">
        <v>0</v>
      </c>
      <c r="F18" s="1773">
        <f t="shared" si="1"/>
        <v>0</v>
      </c>
    </row>
    <row r="19" spans="1:6" ht="13.9" customHeight="1" thickBot="1" x14ac:dyDescent="0.25">
      <c r="A19" s="1774" t="s">
        <v>1223</v>
      </c>
      <c r="B19" s="1771">
        <f>SUM(B4:B18)</f>
        <v>3335411</v>
      </c>
      <c r="C19" s="1771">
        <f>SUM(C4:C18)</f>
        <v>1210570</v>
      </c>
      <c r="D19" s="1771">
        <f>SUM(D4:D18)</f>
        <v>2124841</v>
      </c>
      <c r="E19" s="1771">
        <f>SUM(E4:E18)</f>
        <v>3104755</v>
      </c>
      <c r="F19" s="1771">
        <f>SUM(F4:F18)</f>
        <v>1894185</v>
      </c>
    </row>
    <row r="20" spans="1:6" ht="13.5" thickTop="1" x14ac:dyDescent="0.2">
      <c r="B20" s="712"/>
      <c r="F20" s="715"/>
    </row>
    <row r="21" spans="1:6" x14ac:dyDescent="0.2">
      <c r="A21" s="716" t="s">
        <v>1913</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309" t="s">
        <v>650</v>
      </c>
      <c r="B1" s="2307"/>
      <c r="C1" s="720"/>
    </row>
    <row r="2" spans="1:7" ht="33.75" x14ac:dyDescent="0.2">
      <c r="A2" s="2314" t="s">
        <v>1903</v>
      </c>
      <c r="B2" s="2315"/>
      <c r="C2" s="1905" t="s">
        <v>2035</v>
      </c>
      <c r="D2" s="722" t="s">
        <v>2042</v>
      </c>
      <c r="E2" s="722" t="s">
        <v>2043</v>
      </c>
      <c r="F2" s="1905" t="s">
        <v>2036</v>
      </c>
    </row>
    <row r="3" spans="1:7" ht="15.95" customHeight="1" x14ac:dyDescent="0.2">
      <c r="A3" s="2316" t="s">
        <v>1176</v>
      </c>
      <c r="B3" s="2317"/>
      <c r="C3" s="2310"/>
      <c r="D3" s="2311"/>
      <c r="E3" s="2311"/>
      <c r="F3" s="2312"/>
    </row>
    <row r="4" spans="1:7" ht="12.75" customHeight="1" thickBot="1" x14ac:dyDescent="0.25">
      <c r="A4" s="2304" t="s">
        <v>651</v>
      </c>
      <c r="B4" s="2305"/>
      <c r="C4" s="579"/>
      <c r="D4" s="579"/>
      <c r="E4" s="579"/>
      <c r="F4" s="1775">
        <f>SUM(C4+D4)-E4</f>
        <v>0</v>
      </c>
    </row>
    <row r="5" spans="1:7" ht="15.95" customHeight="1" thickTop="1" x14ac:dyDescent="0.2">
      <c r="A5" s="2308" t="s">
        <v>1172</v>
      </c>
      <c r="B5" s="2303"/>
      <c r="C5" s="2297"/>
      <c r="D5" s="2298"/>
      <c r="E5" s="2298"/>
      <c r="F5" s="2299"/>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300" t="s">
        <v>652</v>
      </c>
      <c r="B15" s="2301"/>
      <c r="C15" s="1775">
        <f>SUM(C6:C14)</f>
        <v>0</v>
      </c>
      <c r="D15" s="1775">
        <f>SUM(D6:D14)</f>
        <v>0</v>
      </c>
      <c r="E15" s="1775">
        <f>SUM(E6:E14)</f>
        <v>0</v>
      </c>
      <c r="F15" s="1775">
        <f>SUM(F6:F14)</f>
        <v>0</v>
      </c>
      <c r="G15" s="550"/>
    </row>
    <row r="16" spans="1:7" s="202" customFormat="1" ht="15.95" customHeight="1" thickTop="1" x14ac:dyDescent="0.2">
      <c r="A16" s="2313" t="s">
        <v>1173</v>
      </c>
      <c r="B16" s="2303"/>
      <c r="C16" s="2297"/>
      <c r="D16" s="2298"/>
      <c r="E16" s="2298"/>
      <c r="F16" s="2299"/>
    </row>
    <row r="17" spans="1:11" ht="12.75" customHeight="1" thickBot="1" x14ac:dyDescent="0.25">
      <c r="A17" s="2295" t="s">
        <v>66</v>
      </c>
      <c r="B17" s="2296"/>
      <c r="C17" s="725"/>
      <c r="D17" s="583"/>
      <c r="E17" s="725"/>
      <c r="F17" s="1775">
        <f>SUM(C17+D17)-E17</f>
        <v>0</v>
      </c>
    </row>
    <row r="18" spans="1:11" ht="12.75" customHeight="1" thickTop="1" thickBot="1" x14ac:dyDescent="0.25">
      <c r="A18" s="2295" t="s">
        <v>6</v>
      </c>
      <c r="B18" s="2296"/>
      <c r="C18" s="725"/>
      <c r="D18" s="583"/>
      <c r="E18" s="725"/>
      <c r="F18" s="1775">
        <f>SUM(C18+D18)-E18</f>
        <v>0</v>
      </c>
    </row>
    <row r="19" spans="1:11" ht="12.75" customHeight="1" thickTop="1" thickBot="1" x14ac:dyDescent="0.25">
      <c r="A19" s="2295" t="s">
        <v>406</v>
      </c>
      <c r="B19" s="2296"/>
      <c r="C19" s="725"/>
      <c r="D19" s="583"/>
      <c r="E19" s="725"/>
      <c r="F19" s="1775">
        <f>SUM(C19+D19)-E19</f>
        <v>0</v>
      </c>
    </row>
    <row r="20" spans="1:11" ht="12.75" customHeight="1" thickTop="1" thickBot="1" x14ac:dyDescent="0.25">
      <c r="A20" s="2295" t="s">
        <v>468</v>
      </c>
      <c r="B20" s="2296"/>
      <c r="C20" s="725"/>
      <c r="D20" s="583"/>
      <c r="E20" s="725"/>
      <c r="F20" s="1775">
        <f>SUM(C20+D20)-E20</f>
        <v>0</v>
      </c>
    </row>
    <row r="21" spans="1:11" ht="14.25" thickTop="1" thickBot="1" x14ac:dyDescent="0.25">
      <c r="A21" s="2300" t="s">
        <v>653</v>
      </c>
      <c r="B21" s="2301"/>
      <c r="C21" s="1775">
        <f>SUM(C17:C20)</f>
        <v>0</v>
      </c>
      <c r="D21" s="1775">
        <f>SUM(D17:D20)</f>
        <v>0</v>
      </c>
      <c r="E21" s="1775">
        <f>SUM(E17:E20)</f>
        <v>0</v>
      </c>
      <c r="F21" s="1775">
        <f>SUM(F17:F20)</f>
        <v>0</v>
      </c>
      <c r="G21" s="550"/>
    </row>
    <row r="22" spans="1:11" ht="15.95" customHeight="1" thickTop="1" x14ac:dyDescent="0.2">
      <c r="A22" s="2302" t="s">
        <v>1174</v>
      </c>
      <c r="B22" s="2303"/>
      <c r="C22" s="2297"/>
      <c r="D22" s="2298"/>
      <c r="E22" s="2298"/>
      <c r="F22" s="2299"/>
    </row>
    <row r="23" spans="1:11" ht="13.5" thickBot="1" x14ac:dyDescent="0.25">
      <c r="A23" s="2304" t="s">
        <v>654</v>
      </c>
      <c r="B23" s="2305"/>
      <c r="C23" s="579"/>
      <c r="D23" s="579"/>
      <c r="E23" s="579"/>
      <c r="F23" s="1775">
        <f>SUM(C23+D23)-E23</f>
        <v>0</v>
      </c>
      <c r="G23" s="550"/>
    </row>
    <row r="24" spans="1:11" ht="15.95" customHeight="1" thickTop="1" x14ac:dyDescent="0.2">
      <c r="A24" s="2302" t="s">
        <v>1175</v>
      </c>
      <c r="B24" s="2303"/>
      <c r="C24" s="2297"/>
      <c r="D24" s="2298"/>
      <c r="E24" s="2298"/>
      <c r="F24" s="2299"/>
    </row>
    <row r="25" spans="1:11" ht="13.5" thickBot="1" x14ac:dyDescent="0.25">
      <c r="A25" s="2304" t="s">
        <v>655</v>
      </c>
      <c r="B25" s="2305"/>
      <c r="C25" s="579"/>
      <c r="D25" s="579"/>
      <c r="E25" s="579"/>
      <c r="F25" s="1775">
        <f>SUM(C25+D25)-E25</f>
        <v>0</v>
      </c>
      <c r="G25" s="550"/>
    </row>
    <row r="26" spans="1:11" ht="15.95" customHeight="1" thickTop="1" x14ac:dyDescent="0.2">
      <c r="A26" s="2308" t="s">
        <v>678</v>
      </c>
      <c r="B26" s="2303"/>
      <c r="C26" s="726"/>
      <c r="D26" s="726"/>
      <c r="E26" s="726"/>
      <c r="F26" s="727"/>
    </row>
    <row r="27" spans="1:11" ht="13.5" thickBot="1" x14ac:dyDescent="0.25">
      <c r="A27" s="2300" t="s">
        <v>1130</v>
      </c>
      <c r="B27" s="2301"/>
      <c r="C27" s="583"/>
      <c r="D27" s="583"/>
      <c r="E27" s="583"/>
      <c r="F27" s="1775">
        <f>SUM(C27+D27)-E27</f>
        <v>0</v>
      </c>
      <c r="G27" s="550"/>
    </row>
    <row r="28" spans="1:11" ht="7.5" customHeight="1" thickTop="1" x14ac:dyDescent="0.2">
      <c r="A28" s="592"/>
    </row>
    <row r="29" spans="1:11" ht="23.45" customHeight="1" x14ac:dyDescent="0.2">
      <c r="A29" s="2306" t="s">
        <v>603</v>
      </c>
      <c r="B29" s="2307"/>
      <c r="C29" s="728"/>
      <c r="D29" s="728"/>
      <c r="E29" s="728"/>
      <c r="F29" s="728"/>
      <c r="G29" s="728"/>
      <c r="H29" s="728"/>
      <c r="I29" s="728"/>
      <c r="J29" s="728"/>
    </row>
    <row r="30" spans="1:11" ht="33.75" x14ac:dyDescent="0.2">
      <c r="A30" s="1549" t="s">
        <v>1131</v>
      </c>
      <c r="B30" s="729" t="s">
        <v>1186</v>
      </c>
      <c r="C30" s="1906" t="s">
        <v>604</v>
      </c>
      <c r="D30" s="1906" t="s">
        <v>1772</v>
      </c>
      <c r="E30" s="1906" t="s">
        <v>2037</v>
      </c>
      <c r="F30" s="1906" t="s">
        <v>2038</v>
      </c>
      <c r="G30" s="1906" t="s">
        <v>2041</v>
      </c>
      <c r="H30" s="1906" t="s">
        <v>2039</v>
      </c>
      <c r="I30" s="1906" t="s">
        <v>2040</v>
      </c>
      <c r="J30" s="1907" t="s">
        <v>2</v>
      </c>
      <c r="K30" s="730"/>
    </row>
    <row r="31" spans="1:11" ht="12" customHeight="1" x14ac:dyDescent="0.2">
      <c r="A31" s="731" t="s">
        <v>2091</v>
      </c>
      <c r="B31" s="732">
        <v>39600</v>
      </c>
      <c r="C31" s="733">
        <v>750000</v>
      </c>
      <c r="D31" s="734">
        <v>1</v>
      </c>
      <c r="E31" s="733">
        <v>190000</v>
      </c>
      <c r="F31" s="733"/>
      <c r="G31" s="733"/>
      <c r="H31" s="733">
        <v>95000</v>
      </c>
      <c r="I31" s="1776">
        <f>((E31+F31)-H31)+G31</f>
        <v>95000</v>
      </c>
      <c r="J31" s="733">
        <f>95000-41640</f>
        <v>53360</v>
      </c>
      <c r="K31" s="735"/>
    </row>
    <row r="32" spans="1:11" ht="12" customHeight="1" x14ac:dyDescent="0.2">
      <c r="A32" s="731" t="s">
        <v>2230</v>
      </c>
      <c r="B32" s="732">
        <v>40603</v>
      </c>
      <c r="C32" s="733">
        <v>3500000</v>
      </c>
      <c r="D32" s="734">
        <v>4</v>
      </c>
      <c r="E32" s="733">
        <v>3160000</v>
      </c>
      <c r="F32" s="733"/>
      <c r="G32" s="733"/>
      <c r="H32" s="733">
        <v>70000</v>
      </c>
      <c r="I32" s="1776">
        <f>((E32+F32)-H32)+G32</f>
        <v>3090000</v>
      </c>
      <c r="J32" s="733">
        <f>3090000-99118</f>
        <v>2990882</v>
      </c>
      <c r="K32" s="735"/>
    </row>
    <row r="33" spans="1:11" ht="12" customHeight="1" x14ac:dyDescent="0.2">
      <c r="A33" s="731" t="s">
        <v>2092</v>
      </c>
      <c r="B33" s="732">
        <v>42416</v>
      </c>
      <c r="C33" s="733">
        <v>125000</v>
      </c>
      <c r="D33" s="734">
        <v>1</v>
      </c>
      <c r="E33" s="733">
        <v>49000</v>
      </c>
      <c r="F33" s="733"/>
      <c r="G33" s="733"/>
      <c r="H33" s="733">
        <v>49000</v>
      </c>
      <c r="I33" s="1776">
        <f t="shared" ref="I33:I48" si="1">((E33+F33)-H33)+G33</f>
        <v>0</v>
      </c>
      <c r="J33" s="733">
        <f>0-12869</f>
        <v>-12869</v>
      </c>
      <c r="K33" s="735"/>
    </row>
    <row r="34" spans="1:11" ht="12" customHeight="1" x14ac:dyDescent="0.2">
      <c r="A34" s="731" t="s">
        <v>2093</v>
      </c>
      <c r="B34" s="732">
        <v>42416</v>
      </c>
      <c r="C34" s="733">
        <v>125000</v>
      </c>
      <c r="D34" s="734">
        <v>1</v>
      </c>
      <c r="E34" s="733">
        <v>117000</v>
      </c>
      <c r="F34" s="733"/>
      <c r="G34" s="733"/>
      <c r="H34" s="733">
        <v>33000</v>
      </c>
      <c r="I34" s="1776">
        <f t="shared" si="1"/>
        <v>84000</v>
      </c>
      <c r="J34" s="733">
        <f>84000-17575</f>
        <v>66425</v>
      </c>
      <c r="K34" s="736"/>
    </row>
    <row r="35" spans="1:11" ht="12" customHeight="1" x14ac:dyDescent="0.2">
      <c r="A35" s="731" t="s">
        <v>2214</v>
      </c>
      <c r="B35" s="732"/>
      <c r="C35" s="737"/>
      <c r="D35" s="734"/>
      <c r="E35" s="737"/>
      <c r="F35" s="737"/>
      <c r="G35" s="737"/>
      <c r="H35" s="737"/>
      <c r="I35" s="1776">
        <f t="shared" si="1"/>
        <v>0</v>
      </c>
      <c r="J35" s="737">
        <v>-20752</v>
      </c>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4500000</v>
      </c>
      <c r="D49" s="744"/>
      <c r="E49" s="1776">
        <f t="shared" ref="E49:J49" si="2">SUM(E31:E48)</f>
        <v>3516000</v>
      </c>
      <c r="F49" s="1776">
        <f t="shared" si="2"/>
        <v>0</v>
      </c>
      <c r="G49" s="1776">
        <f t="shared" si="2"/>
        <v>0</v>
      </c>
      <c r="H49" s="1776">
        <f t="shared" si="2"/>
        <v>247000</v>
      </c>
      <c r="I49" s="1776">
        <f t="shared" si="2"/>
        <v>3269000</v>
      </c>
      <c r="J49" s="1776">
        <f t="shared" si="2"/>
        <v>3077046</v>
      </c>
      <c r="K49" s="736"/>
    </row>
    <row r="50" spans="1:11" ht="6" customHeight="1" x14ac:dyDescent="0.2">
      <c r="A50" s="745"/>
      <c r="B50" s="735"/>
      <c r="C50" s="735"/>
      <c r="D50" s="735"/>
      <c r="E50" s="735"/>
      <c r="F50" s="735"/>
      <c r="G50" s="735"/>
      <c r="H50" s="735"/>
      <c r="I50" s="735"/>
      <c r="J50" s="745"/>
    </row>
    <row r="51" spans="1:11" x14ac:dyDescent="0.2">
      <c r="A51" s="746" t="s">
        <v>1912</v>
      </c>
      <c r="B51" s="745"/>
      <c r="C51" s="736"/>
      <c r="D51" s="736"/>
      <c r="E51" s="736"/>
      <c r="F51" s="736"/>
      <c r="G51" s="736"/>
      <c r="H51" s="735"/>
      <c r="I51" s="735"/>
      <c r="J51" s="745"/>
    </row>
    <row r="52" spans="1:11" ht="11.25" customHeight="1" x14ac:dyDescent="0.2">
      <c r="A52" s="747" t="s">
        <v>968</v>
      </c>
      <c r="B52" s="2289" t="s">
        <v>605</v>
      </c>
      <c r="C52" s="2290"/>
      <c r="D52" s="2290"/>
      <c r="E52" s="748" t="s">
        <v>900</v>
      </c>
      <c r="F52" s="2291"/>
      <c r="G52" s="2292"/>
      <c r="H52" s="735"/>
      <c r="I52" s="735"/>
      <c r="J52" s="745"/>
    </row>
    <row r="53" spans="1:11" ht="11.25" customHeight="1" x14ac:dyDescent="0.2">
      <c r="A53" s="749" t="s">
        <v>969</v>
      </c>
      <c r="B53" s="750" t="s">
        <v>1008</v>
      </c>
      <c r="C53" s="745"/>
      <c r="D53" s="736"/>
      <c r="E53" s="748" t="s">
        <v>518</v>
      </c>
      <c r="F53" s="2293"/>
      <c r="G53" s="2294"/>
      <c r="H53" s="735"/>
      <c r="I53" s="735"/>
      <c r="J53" s="745"/>
    </row>
    <row r="54" spans="1:11" ht="11.25" customHeight="1" x14ac:dyDescent="0.2">
      <c r="A54" s="751" t="s">
        <v>970</v>
      </c>
      <c r="B54" s="746" t="s">
        <v>1009</v>
      </c>
      <c r="C54" s="745"/>
      <c r="D54" s="736"/>
      <c r="E54" s="748" t="s">
        <v>519</v>
      </c>
      <c r="F54" s="2293"/>
      <c r="G54" s="229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8" t="s">
        <v>911</v>
      </c>
      <c r="B1" s="2319"/>
      <c r="C1" s="2319"/>
      <c r="D1" s="2319"/>
      <c r="E1" s="2319"/>
      <c r="F1" s="2319"/>
      <c r="G1" s="2320"/>
      <c r="H1" s="1550"/>
      <c r="I1" s="759"/>
      <c r="J1" s="433"/>
    </row>
    <row r="2" spans="1:11" ht="26.25" x14ac:dyDescent="0.2">
      <c r="A2" s="2337" t="s">
        <v>1776</v>
      </c>
      <c r="B2" s="2338"/>
      <c r="C2" s="2338"/>
      <c r="D2" s="2338"/>
      <c r="E2" s="2339"/>
      <c r="F2" s="760" t="s">
        <v>960</v>
      </c>
      <c r="G2" s="761" t="s">
        <v>1773</v>
      </c>
      <c r="H2" s="761" t="s">
        <v>430</v>
      </c>
      <c r="I2" s="761" t="s">
        <v>1220</v>
      </c>
      <c r="J2" s="761" t="s">
        <v>1917</v>
      </c>
      <c r="K2" s="761" t="s">
        <v>140</v>
      </c>
    </row>
    <row r="3" spans="1:11" x14ac:dyDescent="0.2">
      <c r="A3" s="2340" t="s">
        <v>1698</v>
      </c>
      <c r="B3" s="2341"/>
      <c r="C3" s="2341"/>
      <c r="D3" s="2341"/>
      <c r="E3" s="2342"/>
      <c r="F3" s="762"/>
      <c r="G3" s="763"/>
      <c r="H3" s="763"/>
      <c r="I3" s="763"/>
      <c r="J3" s="764"/>
      <c r="K3" s="764"/>
    </row>
    <row r="4" spans="1:11" x14ac:dyDescent="0.2">
      <c r="A4" s="2343" t="s">
        <v>387</v>
      </c>
      <c r="B4" s="2344"/>
      <c r="C4" s="2344"/>
      <c r="D4" s="2344"/>
      <c r="E4" s="2290"/>
      <c r="F4" s="765"/>
      <c r="G4" s="766"/>
      <c r="H4" s="767"/>
      <c r="I4" s="766"/>
      <c r="J4" s="768"/>
      <c r="K4" s="768"/>
    </row>
    <row r="5" spans="1:11" x14ac:dyDescent="0.2">
      <c r="A5" s="2321" t="s">
        <v>1129</v>
      </c>
      <c r="B5" s="2322"/>
      <c r="C5" s="2322"/>
      <c r="D5" s="2322"/>
      <c r="E5" s="2323"/>
      <c r="F5" s="769" t="s">
        <v>903</v>
      </c>
      <c r="G5" s="770"/>
      <c r="H5" s="763">
        <v>16260</v>
      </c>
      <c r="I5" s="771"/>
      <c r="J5" s="772"/>
      <c r="K5" s="772"/>
    </row>
    <row r="6" spans="1:11" x14ac:dyDescent="0.2">
      <c r="A6" s="773" t="s">
        <v>744</v>
      </c>
      <c r="B6" s="774"/>
      <c r="C6" s="774"/>
      <c r="D6" s="774"/>
      <c r="E6" s="775"/>
      <c r="F6" s="776" t="s">
        <v>904</v>
      </c>
      <c r="G6" s="763"/>
      <c r="H6" s="763">
        <v>10</v>
      </c>
      <c r="I6" s="763"/>
      <c r="J6" s="764">
        <v>794</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251586</v>
      </c>
      <c r="K8" s="768"/>
    </row>
    <row r="9" spans="1:11" x14ac:dyDescent="0.2">
      <c r="A9" s="777" t="s">
        <v>140</v>
      </c>
      <c r="B9" s="778"/>
      <c r="C9" s="778"/>
      <c r="D9" s="778"/>
      <c r="E9" s="779"/>
      <c r="F9" s="776" t="s">
        <v>908</v>
      </c>
      <c r="G9" s="781"/>
      <c r="H9" s="770"/>
      <c r="I9" s="770"/>
      <c r="J9" s="780"/>
      <c r="K9" s="764"/>
    </row>
    <row r="10" spans="1:11" x14ac:dyDescent="0.2">
      <c r="A10" s="2321" t="s">
        <v>1918</v>
      </c>
      <c r="B10" s="2322"/>
      <c r="C10" s="2322"/>
      <c r="D10" s="2322"/>
      <c r="E10" s="2324"/>
      <c r="F10" s="782" t="s">
        <v>917</v>
      </c>
      <c r="G10" s="781"/>
      <c r="H10" s="783"/>
      <c r="I10" s="763"/>
      <c r="J10" s="764"/>
      <c r="K10" s="764"/>
    </row>
    <row r="11" spans="1:11" x14ac:dyDescent="0.2">
      <c r="A11" s="2321" t="s">
        <v>162</v>
      </c>
      <c r="B11" s="2322"/>
      <c r="C11" s="2322"/>
      <c r="D11" s="2322"/>
      <c r="E11" s="2323"/>
      <c r="F11" s="769" t="s">
        <v>907</v>
      </c>
      <c r="G11" s="770"/>
      <c r="H11" s="763"/>
      <c r="I11" s="763"/>
      <c r="J11" s="764"/>
      <c r="K11" s="772"/>
    </row>
    <row r="12" spans="1:11" ht="13.5" thickBot="1" x14ac:dyDescent="0.25">
      <c r="A12" s="2348" t="s">
        <v>961</v>
      </c>
      <c r="B12" s="2349"/>
      <c r="C12" s="2349"/>
      <c r="D12" s="2349"/>
      <c r="E12" s="2350"/>
      <c r="F12" s="1777"/>
      <c r="G12" s="1778">
        <f>SUM(G5:G11)</f>
        <v>0</v>
      </c>
      <c r="H12" s="1778">
        <f>SUM(H5:H11)</f>
        <v>16270</v>
      </c>
      <c r="I12" s="1778">
        <f>SUM(I5:I11)</f>
        <v>0</v>
      </c>
      <c r="J12" s="1778">
        <f>SUM(J5:J11)</f>
        <v>252380</v>
      </c>
      <c r="K12" s="1778">
        <f>SUM(K5:K11)</f>
        <v>0</v>
      </c>
    </row>
    <row r="13" spans="1:11" ht="13.5" thickTop="1" x14ac:dyDescent="0.2">
      <c r="A13" s="2345" t="s">
        <v>388</v>
      </c>
      <c r="B13" s="2346"/>
      <c r="C13" s="2346"/>
      <c r="D13" s="2346"/>
      <c r="E13" s="2347"/>
      <c r="F13" s="784"/>
      <c r="G13" s="785"/>
      <c r="H13" s="786"/>
      <c r="I13" s="787"/>
      <c r="J13" s="787"/>
      <c r="K13" s="787"/>
    </row>
    <row r="14" spans="1:11" x14ac:dyDescent="0.2">
      <c r="A14" s="2328" t="s">
        <v>476</v>
      </c>
      <c r="B14" s="2328"/>
      <c r="C14" s="2328"/>
      <c r="D14" s="2328"/>
      <c r="E14" s="2329"/>
      <c r="F14" s="788" t="s">
        <v>909</v>
      </c>
      <c r="G14" s="781"/>
      <c r="H14" s="763">
        <v>16270</v>
      </c>
      <c r="I14" s="770"/>
      <c r="J14" s="772"/>
      <c r="K14" s="764"/>
    </row>
    <row r="15" spans="1:11" x14ac:dyDescent="0.2">
      <c r="A15" s="2322" t="s">
        <v>4</v>
      </c>
      <c r="B15" s="2322"/>
      <c r="C15" s="2322"/>
      <c r="D15" s="2322"/>
      <c r="E15" s="2323"/>
      <c r="F15" s="788" t="s">
        <v>910</v>
      </c>
      <c r="G15" s="770"/>
      <c r="H15" s="763"/>
      <c r="I15" s="763"/>
      <c r="J15" s="764">
        <f>6307+7076+10083+5293-1</f>
        <v>28758</v>
      </c>
      <c r="K15" s="764"/>
    </row>
    <row r="16" spans="1:11" x14ac:dyDescent="0.2">
      <c r="A16" s="2322" t="s">
        <v>316</v>
      </c>
      <c r="B16" s="2322"/>
      <c r="C16" s="2322"/>
      <c r="D16" s="2322"/>
      <c r="E16" s="2323"/>
      <c r="F16" s="788" t="s">
        <v>980</v>
      </c>
      <c r="G16" s="771"/>
      <c r="H16" s="766"/>
      <c r="I16" s="766"/>
      <c r="J16" s="768"/>
      <c r="K16" s="768"/>
    </row>
    <row r="17" spans="1:11" x14ac:dyDescent="0.2">
      <c r="A17" s="2353" t="s">
        <v>992</v>
      </c>
      <c r="B17" s="2353"/>
      <c r="C17" s="2353"/>
      <c r="D17" s="2353"/>
      <c r="E17" s="2354"/>
      <c r="F17" s="789"/>
      <c r="G17" s="790"/>
      <c r="H17" s="791"/>
      <c r="I17" s="791"/>
      <c r="J17" s="792"/>
      <c r="K17" s="793"/>
    </row>
    <row r="18" spans="1:11" x14ac:dyDescent="0.2">
      <c r="A18" s="2332" t="s">
        <v>386</v>
      </c>
      <c r="B18" s="2333"/>
      <c r="C18" s="2333"/>
      <c r="D18" s="2333"/>
      <c r="E18" s="2334"/>
      <c r="F18" s="788" t="s">
        <v>989</v>
      </c>
      <c r="G18" s="781"/>
      <c r="H18" s="781"/>
      <c r="I18" s="781"/>
      <c r="J18" s="764"/>
      <c r="K18" s="794"/>
    </row>
    <row r="19" spans="1:11" ht="21.75" customHeight="1" x14ac:dyDescent="0.2">
      <c r="A19" s="2330" t="s">
        <v>1914</v>
      </c>
      <c r="B19" s="2330"/>
      <c r="C19" s="2330"/>
      <c r="D19" s="2330"/>
      <c r="E19" s="2331"/>
      <c r="F19" s="788" t="s">
        <v>990</v>
      </c>
      <c r="G19" s="781"/>
      <c r="H19" s="781"/>
      <c r="I19" s="781"/>
      <c r="J19" s="764"/>
      <c r="K19" s="794"/>
    </row>
    <row r="20" spans="1:11" x14ac:dyDescent="0.2">
      <c r="A20" s="2332" t="s">
        <v>1919</v>
      </c>
      <c r="B20" s="2333"/>
      <c r="C20" s="2333"/>
      <c r="D20" s="2333"/>
      <c r="E20" s="2334"/>
      <c r="F20" s="788" t="s">
        <v>991</v>
      </c>
      <c r="G20" s="781"/>
      <c r="H20" s="781"/>
      <c r="I20" s="781"/>
      <c r="J20" s="764"/>
      <c r="K20" s="794"/>
    </row>
    <row r="21" spans="1:11" ht="13.5" thickBot="1" x14ac:dyDescent="0.25">
      <c r="A21" s="2351" t="s">
        <v>659</v>
      </c>
      <c r="B21" s="2351"/>
      <c r="C21" s="2351"/>
      <c r="D21" s="2351"/>
      <c r="E21" s="2351"/>
      <c r="F21" s="1779"/>
      <c r="G21" s="791"/>
      <c r="H21" s="795"/>
      <c r="I21" s="795"/>
      <c r="J21" s="1780">
        <f>SUM(J18:J20)</f>
        <v>0</v>
      </c>
      <c r="K21" s="792"/>
    </row>
    <row r="22" spans="1:11" ht="13.5" thickTop="1" x14ac:dyDescent="0.2">
      <c r="A22" s="2322" t="s">
        <v>1920</v>
      </c>
      <c r="B22" s="2322"/>
      <c r="C22" s="2322"/>
      <c r="D22" s="2322"/>
      <c r="E22" s="2323"/>
      <c r="F22" s="788" t="s">
        <v>917</v>
      </c>
      <c r="G22" s="781"/>
      <c r="H22" s="763"/>
      <c r="I22" s="763"/>
      <c r="J22" s="796"/>
      <c r="K22" s="764"/>
    </row>
    <row r="23" spans="1:11" ht="13.5" thickBot="1" x14ac:dyDescent="0.25">
      <c r="A23" s="2352" t="s">
        <v>962</v>
      </c>
      <c r="B23" s="2351"/>
      <c r="C23" s="2351"/>
      <c r="D23" s="2351"/>
      <c r="E23" s="2351"/>
      <c r="F23" s="1781"/>
      <c r="G23" s="1778">
        <f>SUM(G14:G16,G21,G22)</f>
        <v>0</v>
      </c>
      <c r="H23" s="1778">
        <f>SUM(H14:H16,H21,H22)</f>
        <v>16270</v>
      </c>
      <c r="I23" s="1778">
        <f>SUM(I14:I16,I21,I22)</f>
        <v>0</v>
      </c>
      <c r="J23" s="1778">
        <f>SUM(J14:J16,J21,J22)</f>
        <v>28758</v>
      </c>
      <c r="K23" s="1778">
        <f>SUM(K14:K16,K21,K22)</f>
        <v>0</v>
      </c>
    </row>
    <row r="24" spans="1:11" ht="14.25" thickTop="1" thickBot="1" x14ac:dyDescent="0.25">
      <c r="A24" s="2352" t="s">
        <v>2023</v>
      </c>
      <c r="B24" s="2351"/>
      <c r="C24" s="2351"/>
      <c r="D24" s="2351"/>
      <c r="E24" s="2351"/>
      <c r="F24" s="1782"/>
      <c r="G24" s="1783">
        <f>SUM(G3,G12)-G23</f>
        <v>0</v>
      </c>
      <c r="H24" s="1783">
        <f>SUM(H3,H12)-H23</f>
        <v>0</v>
      </c>
      <c r="I24" s="1783">
        <f>SUM(I3,I12)-I23</f>
        <v>0</v>
      </c>
      <c r="J24" s="1783">
        <f>SUM(J3,J12)-J23</f>
        <v>223622</v>
      </c>
      <c r="K24" s="1783">
        <f>SUM(K3,K12)-K23</f>
        <v>0</v>
      </c>
    </row>
    <row r="25" spans="1:11" ht="13.5" thickTop="1" x14ac:dyDescent="0.2">
      <c r="A25" s="797" t="s">
        <v>440</v>
      </c>
      <c r="B25" s="798"/>
      <c r="C25" s="798"/>
      <c r="D25" s="798"/>
      <c r="E25" s="799"/>
      <c r="F25" s="800">
        <v>714</v>
      </c>
      <c r="G25" s="801"/>
      <c r="H25" s="801"/>
      <c r="I25" s="801"/>
      <c r="J25" s="796">
        <v>223622</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45" customHeight="1" thickTop="1" x14ac:dyDescent="0.2">
      <c r="I27" s="202"/>
      <c r="J27" s="202"/>
    </row>
    <row r="28" spans="1:11" ht="29.25" customHeight="1" x14ac:dyDescent="0.2">
      <c r="A28" s="1901" t="s">
        <v>2033</v>
      </c>
      <c r="B28" s="1902"/>
      <c r="C28" s="1902"/>
      <c r="D28" s="1902"/>
      <c r="E28" s="1903"/>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25"/>
      <c r="I31" s="2326"/>
      <c r="J31" s="2326"/>
      <c r="K31" s="2326"/>
    </row>
    <row r="32" spans="1:11" x14ac:dyDescent="0.2">
      <c r="A32" s="808"/>
      <c r="B32" s="237"/>
      <c r="C32" s="237"/>
      <c r="D32" s="237"/>
      <c r="E32" s="804"/>
      <c r="F32" s="810" t="s">
        <v>561</v>
      </c>
      <c r="G32" s="763"/>
      <c r="H32" s="2327"/>
      <c r="I32" s="2326"/>
      <c r="J32" s="2326"/>
      <c r="K32" s="2326"/>
    </row>
    <row r="33" spans="1:11" ht="1.7" customHeight="1" x14ac:dyDescent="0.2">
      <c r="A33" s="811" t="s">
        <v>1231</v>
      </c>
      <c r="B33" s="364"/>
      <c r="C33" s="364"/>
      <c r="D33" s="364"/>
      <c r="E33" s="364"/>
      <c r="F33" s="364"/>
      <c r="G33" s="812"/>
      <c r="H33" s="2327"/>
      <c r="I33" s="2326"/>
      <c r="J33" s="2326"/>
      <c r="K33" s="2326"/>
    </row>
    <row r="34" spans="1:11" x14ac:dyDescent="0.2">
      <c r="A34" s="813" t="s">
        <v>1921</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22" t="s">
        <v>562</v>
      </c>
      <c r="B41" s="2335"/>
      <c r="C41" s="2335"/>
      <c r="D41" s="2335"/>
      <c r="E41" s="2335"/>
      <c r="F41" s="2336"/>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1915</v>
      </c>
      <c r="B46" s="408" t="s">
        <v>1774</v>
      </c>
    </row>
    <row r="47" spans="1:11" s="822" customFormat="1" ht="12.75" customHeight="1" x14ac:dyDescent="0.2">
      <c r="A47" s="820"/>
      <c r="B47" s="821" t="s">
        <v>1775</v>
      </c>
      <c r="E47" s="821"/>
      <c r="K47" s="823"/>
    </row>
    <row r="48" spans="1:11" ht="12.75" customHeight="1" x14ac:dyDescent="0.2">
      <c r="A48" s="1552"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57" t="s">
        <v>2032</v>
      </c>
      <c r="B1" s="2358"/>
      <c r="C1" s="2359"/>
      <c r="D1" s="825"/>
      <c r="E1" s="826"/>
      <c r="F1" s="826"/>
      <c r="G1" s="827"/>
      <c r="H1" s="828"/>
      <c r="I1" s="829"/>
      <c r="J1" s="2355"/>
      <c r="K1" s="2356"/>
      <c r="L1" s="2356"/>
    </row>
    <row r="2" spans="1:14" ht="69.95" customHeight="1" x14ac:dyDescent="0.2">
      <c r="A2" s="830" t="s">
        <v>1777</v>
      </c>
      <c r="B2" s="831" t="s">
        <v>396</v>
      </c>
      <c r="C2" s="832" t="s">
        <v>2027</v>
      </c>
      <c r="D2" s="832" t="s">
        <v>2024</v>
      </c>
      <c r="E2" s="832" t="s">
        <v>2025</v>
      </c>
      <c r="F2" s="832" t="s">
        <v>2026</v>
      </c>
      <c r="G2" s="832" t="s">
        <v>626</v>
      </c>
      <c r="H2" s="832" t="s">
        <v>2028</v>
      </c>
      <c r="I2" s="832" t="s">
        <v>2029</v>
      </c>
      <c r="J2" s="832" t="s">
        <v>2044</v>
      </c>
      <c r="K2" s="832" t="s">
        <v>2030</v>
      </c>
      <c r="L2" s="832" t="s">
        <v>2031</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988388</v>
      </c>
      <c r="D5" s="840">
        <v>0</v>
      </c>
      <c r="E5" s="840">
        <v>0</v>
      </c>
      <c r="F5" s="1780">
        <f>(C5+D5)-E5</f>
        <v>988388</v>
      </c>
      <c r="G5" s="836"/>
      <c r="H5" s="841"/>
      <c r="I5" s="841"/>
      <c r="J5" s="841"/>
      <c r="K5" s="792"/>
      <c r="L5" s="1789">
        <f>F5-K5</f>
        <v>988388</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19949067</v>
      </c>
      <c r="D8" s="843">
        <v>0</v>
      </c>
      <c r="E8" s="843">
        <v>0</v>
      </c>
      <c r="F8" s="1780">
        <f>(C8+D8)-E8</f>
        <v>19949067</v>
      </c>
      <c r="G8" s="842">
        <v>50</v>
      </c>
      <c r="H8" s="764">
        <v>4317297</v>
      </c>
      <c r="I8" s="764">
        <v>375174</v>
      </c>
      <c r="J8" s="764">
        <v>0</v>
      </c>
      <c r="K8" s="1789">
        <f>(H8+I8)-J8</f>
        <v>4692471</v>
      </c>
      <c r="L8" s="1789">
        <f>F8-K8</f>
        <v>15256596</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1253846</v>
      </c>
      <c r="D10" s="845">
        <v>10083</v>
      </c>
      <c r="E10" s="845">
        <v>0</v>
      </c>
      <c r="F10" s="1784">
        <f>(C10+D10)-E10</f>
        <v>1263929</v>
      </c>
      <c r="G10" s="842">
        <v>20</v>
      </c>
      <c r="H10" s="846">
        <v>397034</v>
      </c>
      <c r="I10" s="846">
        <v>62017</v>
      </c>
      <c r="J10" s="846">
        <v>0</v>
      </c>
      <c r="K10" s="1789">
        <f>(H10+I10)-J10</f>
        <v>459051</v>
      </c>
      <c r="L10" s="1789">
        <f>F10-K10</f>
        <v>804878</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368914</v>
      </c>
      <c r="D12" s="843">
        <v>25265</v>
      </c>
      <c r="E12" s="843">
        <v>51662</v>
      </c>
      <c r="F12" s="1780">
        <f>(C12+D12)-E12</f>
        <v>342517</v>
      </c>
      <c r="G12" s="842">
        <v>10</v>
      </c>
      <c r="H12" s="764">
        <v>232509</v>
      </c>
      <c r="I12" s="764">
        <v>34250</v>
      </c>
      <c r="J12" s="764">
        <v>51662</v>
      </c>
      <c r="K12" s="1789">
        <f>(H12+I12)-J12</f>
        <v>215097</v>
      </c>
      <c r="L12" s="1789">
        <f>F12-K12</f>
        <v>127420</v>
      </c>
    </row>
    <row r="13" spans="1:14" ht="14.25" thickTop="1" thickBot="1" x14ac:dyDescent="0.25">
      <c r="A13" s="847" t="s">
        <v>1184</v>
      </c>
      <c r="B13" s="839">
        <v>252</v>
      </c>
      <c r="C13" s="843">
        <v>398711</v>
      </c>
      <c r="D13" s="843">
        <v>0</v>
      </c>
      <c r="E13" s="843">
        <v>0</v>
      </c>
      <c r="F13" s="1780">
        <f>(C13+D13)-E13</f>
        <v>398711</v>
      </c>
      <c r="G13" s="842">
        <v>5</v>
      </c>
      <c r="H13" s="764">
        <v>398711</v>
      </c>
      <c r="I13" s="764">
        <v>0</v>
      </c>
      <c r="J13" s="764">
        <v>0</v>
      </c>
      <c r="K13" s="1789">
        <f>(H13+I13)-J13</f>
        <v>398711</v>
      </c>
      <c r="L13" s="1789">
        <f>F13-K13</f>
        <v>0</v>
      </c>
    </row>
    <row r="14" spans="1:14" ht="14.25" thickTop="1" thickBot="1" x14ac:dyDescent="0.25">
      <c r="A14" s="847" t="s">
        <v>1185</v>
      </c>
      <c r="B14" s="839">
        <v>253</v>
      </c>
      <c r="C14" s="764">
        <v>26678</v>
      </c>
      <c r="D14" s="764">
        <v>0</v>
      </c>
      <c r="E14" s="764">
        <v>0</v>
      </c>
      <c r="F14" s="1780">
        <f>(C14+D14)-E14</f>
        <v>26678</v>
      </c>
      <c r="G14" s="842">
        <v>3</v>
      </c>
      <c r="H14" s="764">
        <v>26678</v>
      </c>
      <c r="I14" s="764">
        <v>0</v>
      </c>
      <c r="J14" s="764">
        <v>0</v>
      </c>
      <c r="K14" s="1789">
        <f>(H14+I14)-J14</f>
        <v>26678</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22985604</v>
      </c>
      <c r="D16" s="1780">
        <f>SUM(D3,D5:D6,D8:D10,D12:D15)</f>
        <v>35348</v>
      </c>
      <c r="E16" s="1780">
        <f>SUM(E3,E5:E6,E8:E10,E12:E15)</f>
        <v>51662</v>
      </c>
      <c r="F16" s="1780">
        <f>SUM(F3,F5:F6,F8:F10,F12:F15)</f>
        <v>22969290</v>
      </c>
      <c r="G16" s="842"/>
      <c r="H16" s="1780">
        <f>SUM(H3,H6,H8:H10,H12:H14,)</f>
        <v>5372229</v>
      </c>
      <c r="I16" s="1780">
        <f>SUM(I3,I6,I8:I10,I12:I14,)</f>
        <v>471441</v>
      </c>
      <c r="J16" s="1780">
        <f>SUM(J3,J6,J8:J10,J12:J14,)</f>
        <v>51662</v>
      </c>
      <c r="K16" s="1780">
        <f>(H16+I16)-J16</f>
        <v>5792008</v>
      </c>
      <c r="L16" s="1780">
        <f>F16-K16</f>
        <v>17177282</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33851</v>
      </c>
      <c r="G17" s="836">
        <v>10</v>
      </c>
      <c r="H17" s="768"/>
      <c r="I17" s="1789">
        <f>F17/G17</f>
        <v>3385.1</v>
      </c>
      <c r="J17" s="768"/>
      <c r="K17" s="794"/>
      <c r="L17" s="794"/>
    </row>
    <row r="18" spans="1:12" ht="14.25" thickTop="1" thickBot="1" x14ac:dyDescent="0.25">
      <c r="A18" s="1787" t="s">
        <v>706</v>
      </c>
      <c r="B18" s="1788"/>
      <c r="C18" s="770"/>
      <c r="D18" s="770"/>
      <c r="E18" s="770"/>
      <c r="F18" s="849"/>
      <c r="G18" s="850"/>
      <c r="H18" s="772"/>
      <c r="I18" s="1780">
        <f>SUM(I16,I17)</f>
        <v>474826.1</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1.1"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31" sqref="C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7" customHeight="1" thickTop="1" x14ac:dyDescent="0.2">
      <c r="A1" s="2363" t="s">
        <v>1699</v>
      </c>
      <c r="B1" s="2364"/>
      <c r="C1" s="2364"/>
      <c r="D1" s="2364"/>
      <c r="E1" s="2364"/>
      <c r="F1" s="2365"/>
      <c r="G1" s="854"/>
    </row>
    <row r="2" spans="1:7" ht="15" customHeight="1" thickBot="1" x14ac:dyDescent="0.25">
      <c r="A2" s="2366" t="s">
        <v>498</v>
      </c>
      <c r="B2" s="2367"/>
      <c r="C2" s="2367"/>
      <c r="D2" s="2367"/>
      <c r="E2" s="2367"/>
      <c r="F2" s="2368"/>
      <c r="G2" s="856"/>
    </row>
    <row r="3" spans="1:7" ht="5.4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369"/>
      <c r="B5" s="2370"/>
      <c r="C5" s="2370"/>
      <c r="D5" s="2370"/>
      <c r="E5" s="2370"/>
      <c r="F5" s="2370"/>
    </row>
    <row r="6" spans="1:7" ht="13.5" customHeight="1" thickBot="1" x14ac:dyDescent="0.25">
      <c r="A6" s="2360" t="s">
        <v>1166</v>
      </c>
      <c r="B6" s="2361"/>
      <c r="C6" s="2361"/>
      <c r="D6" s="2361"/>
      <c r="E6" s="2361"/>
      <c r="F6" s="236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0">
        <f>'Expenditures 15-22'!K114</f>
        <v>5285573</v>
      </c>
      <c r="G8" s="864"/>
    </row>
    <row r="9" spans="1:7" x14ac:dyDescent="0.2">
      <c r="A9" s="868" t="s">
        <v>480</v>
      </c>
      <c r="B9" s="869" t="s">
        <v>1986</v>
      </c>
      <c r="C9" s="870"/>
      <c r="D9" s="868" t="s">
        <v>522</v>
      </c>
      <c r="E9" s="867"/>
      <c r="F9" s="1931">
        <f>'Expenditures 15-22'!K151</f>
        <v>248372</v>
      </c>
      <c r="G9" s="871"/>
    </row>
    <row r="10" spans="1:7" x14ac:dyDescent="0.2">
      <c r="A10" s="868" t="s">
        <v>520</v>
      </c>
      <c r="B10" s="869" t="s">
        <v>1987</v>
      </c>
      <c r="C10" s="870"/>
      <c r="D10" s="868" t="s">
        <v>522</v>
      </c>
      <c r="E10" s="867"/>
      <c r="F10" s="1931">
        <f>'Expenditures 15-22'!K174</f>
        <v>438766</v>
      </c>
      <c r="G10" s="871"/>
    </row>
    <row r="11" spans="1:7" x14ac:dyDescent="0.2">
      <c r="A11" s="868" t="s">
        <v>481</v>
      </c>
      <c r="B11" s="869" t="s">
        <v>1988</v>
      </c>
      <c r="C11" s="870"/>
      <c r="D11" s="868" t="s">
        <v>522</v>
      </c>
      <c r="E11" s="867"/>
      <c r="F11" s="1931">
        <f>'Expenditures 15-22'!K210</f>
        <v>266882</v>
      </c>
      <c r="G11" s="871"/>
    </row>
    <row r="12" spans="1:7" x14ac:dyDescent="0.2">
      <c r="A12" s="868" t="s">
        <v>482</v>
      </c>
      <c r="B12" s="869" t="s">
        <v>1989</v>
      </c>
      <c r="C12" s="870"/>
      <c r="D12" s="868" t="s">
        <v>522</v>
      </c>
      <c r="E12" s="867"/>
      <c r="F12" s="1931">
        <f>'Expenditures 15-22'!K295</f>
        <v>131501</v>
      </c>
      <c r="G12" s="871"/>
    </row>
    <row r="13" spans="1:7" x14ac:dyDescent="0.2">
      <c r="A13" s="868" t="s">
        <v>108</v>
      </c>
      <c r="B13" s="869" t="s">
        <v>1990</v>
      </c>
      <c r="C13" s="870"/>
      <c r="D13" s="868" t="s">
        <v>522</v>
      </c>
      <c r="E13" s="867"/>
      <c r="F13" s="1931">
        <f>'Expenditures 15-22'!K342</f>
        <v>111461</v>
      </c>
      <c r="G13" s="872"/>
    </row>
    <row r="14" spans="1:7" ht="12" customHeight="1" thickBot="1" x14ac:dyDescent="0.25">
      <c r="A14" s="1790"/>
      <c r="B14" s="1791"/>
      <c r="C14" s="1792"/>
      <c r="D14" s="1793" t="s">
        <v>522</v>
      </c>
      <c r="E14" s="1794" t="s">
        <v>1015</v>
      </c>
      <c r="F14" s="1795">
        <f>SUM(F8:F13)</f>
        <v>6482555</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2">
        <f>'Revenues 9-14'!F43</f>
        <v>0</v>
      </c>
      <c r="G18" s="864"/>
    </row>
    <row r="19" spans="1:7" x14ac:dyDescent="0.2">
      <c r="A19" s="868" t="s">
        <v>481</v>
      </c>
      <c r="B19" s="869" t="s">
        <v>1069</v>
      </c>
      <c r="C19" s="876">
        <f>'Revenues 9-14'!B47</f>
        <v>1421</v>
      </c>
      <c r="D19" s="877" t="str">
        <f>'Revenues 9-14'!A47</f>
        <v>Summer Sch - Transp. Fees from Pupils or Parents (In State)</v>
      </c>
      <c r="E19" s="878"/>
      <c r="F19" s="1933">
        <f>'Revenues 9-14'!F47</f>
        <v>0</v>
      </c>
      <c r="G19" s="864"/>
    </row>
    <row r="20" spans="1:7" x14ac:dyDescent="0.2">
      <c r="A20" s="868" t="s">
        <v>481</v>
      </c>
      <c r="B20" s="869" t="s">
        <v>1070</v>
      </c>
      <c r="C20" s="874">
        <f>'Revenues 9-14'!B48</f>
        <v>1422</v>
      </c>
      <c r="D20" s="875" t="str">
        <f>'Revenues 9-14'!A48</f>
        <v>Summer Sch - Transp. Fees from Other Districts (In State)</v>
      </c>
      <c r="E20" s="867"/>
      <c r="F20" s="1934">
        <f>'Revenues 9-14'!F48</f>
        <v>0</v>
      </c>
      <c r="G20" s="864"/>
    </row>
    <row r="21" spans="1:7" x14ac:dyDescent="0.2">
      <c r="A21" s="868" t="s">
        <v>481</v>
      </c>
      <c r="B21" s="869" t="s">
        <v>1071</v>
      </c>
      <c r="C21" s="876">
        <f>'Revenues 9-14'!B49</f>
        <v>1423</v>
      </c>
      <c r="D21" s="875" t="str">
        <f>'Revenues 9-14'!A49</f>
        <v>Summer Sch - Transp. Fees from Other Sources (In State)</v>
      </c>
      <c r="E21" s="867"/>
      <c r="F21" s="1935">
        <f>'Revenues 9-14'!F49</f>
        <v>0</v>
      </c>
      <c r="G21" s="864"/>
    </row>
    <row r="22" spans="1:7" x14ac:dyDescent="0.2">
      <c r="A22" s="868" t="s">
        <v>481</v>
      </c>
      <c r="B22" s="869" t="s">
        <v>1072</v>
      </c>
      <c r="C22" s="876">
        <f>'Revenues 9-14'!B50</f>
        <v>1424</v>
      </c>
      <c r="D22" s="875" t="str">
        <f>'Revenues 9-14'!A50</f>
        <v>Summer Sch - Transp. Fees from Other Sources (Out of State)</v>
      </c>
      <c r="E22" s="867"/>
      <c r="F22" s="1935">
        <f>'Revenues 9-14'!F50</f>
        <v>0</v>
      </c>
      <c r="G22" s="864"/>
    </row>
    <row r="23" spans="1:7" x14ac:dyDescent="0.2">
      <c r="A23" s="868" t="s">
        <v>481</v>
      </c>
      <c r="B23" s="869" t="s">
        <v>1073</v>
      </c>
      <c r="C23" s="874">
        <f>'Revenues 9-14'!B52</f>
        <v>1432</v>
      </c>
      <c r="D23" s="875" t="str">
        <f>'Revenues 9-14'!A52</f>
        <v>CTE - Transp Fees from Other Districts (In State)</v>
      </c>
      <c r="E23" s="867"/>
      <c r="F23" s="1935">
        <f>'Revenues 9-14'!F52</f>
        <v>0</v>
      </c>
      <c r="G23" s="864"/>
    </row>
    <row r="24" spans="1:7" x14ac:dyDescent="0.2">
      <c r="A24" s="868" t="s">
        <v>481</v>
      </c>
      <c r="B24" s="869" t="s">
        <v>1074</v>
      </c>
      <c r="C24" s="874">
        <f>'Revenues 9-14'!B56</f>
        <v>1442</v>
      </c>
      <c r="D24" s="875" t="str">
        <f>'Revenues 9-14'!A56</f>
        <v>Special Ed - Transp Fees from Other Districts (In State)</v>
      </c>
      <c r="E24" s="867"/>
      <c r="F24" s="1935">
        <f>'Revenues 9-14'!F56</f>
        <v>34996</v>
      </c>
      <c r="G24" s="864"/>
    </row>
    <row r="25" spans="1:7" x14ac:dyDescent="0.2">
      <c r="A25" s="868" t="s">
        <v>481</v>
      </c>
      <c r="B25" s="869" t="s">
        <v>1075</v>
      </c>
      <c r="C25" s="874">
        <f>'Revenues 9-14'!B59</f>
        <v>1451</v>
      </c>
      <c r="D25" s="875" t="str">
        <f>'Revenues 9-14'!A59</f>
        <v>Adult - Transp Fees from Pupils or Parents (In State)</v>
      </c>
      <c r="E25" s="867"/>
      <c r="F25" s="1935">
        <f>'Revenues 9-14'!F59</f>
        <v>0</v>
      </c>
      <c r="G25" s="864"/>
    </row>
    <row r="26" spans="1:7" x14ac:dyDescent="0.2">
      <c r="A26" s="868" t="s">
        <v>481</v>
      </c>
      <c r="B26" s="869" t="s">
        <v>1076</v>
      </c>
      <c r="C26" s="874">
        <f>'Revenues 9-14'!B60</f>
        <v>1452</v>
      </c>
      <c r="D26" s="875" t="str">
        <f>'Revenues 9-14'!A60</f>
        <v>Adult - Transp Fees from Other Districts (In State)</v>
      </c>
      <c r="E26" s="867"/>
      <c r="F26" s="1935">
        <f>'Revenues 9-14'!F60</f>
        <v>0</v>
      </c>
      <c r="G26" s="864"/>
    </row>
    <row r="27" spans="1:7" x14ac:dyDescent="0.2">
      <c r="A27" s="868" t="s">
        <v>481</v>
      </c>
      <c r="B27" s="869" t="s">
        <v>1077</v>
      </c>
      <c r="C27" s="874">
        <f>'Revenues 9-14'!B61</f>
        <v>1453</v>
      </c>
      <c r="D27" s="875" t="str">
        <f>'Revenues 9-14'!A61</f>
        <v>Adult - Transp Fees from Other Sources (In State)</v>
      </c>
      <c r="E27" s="867"/>
      <c r="F27" s="1935">
        <f>'Revenues 9-14'!F61</f>
        <v>0</v>
      </c>
      <c r="G27" s="864"/>
    </row>
    <row r="28" spans="1:7" x14ac:dyDescent="0.2">
      <c r="A28" s="868" t="s">
        <v>481</v>
      </c>
      <c r="B28" s="869" t="s">
        <v>1078</v>
      </c>
      <c r="C28" s="874">
        <f>'Revenues 9-14'!B62</f>
        <v>1454</v>
      </c>
      <c r="D28" s="875" t="str">
        <f>'Revenues 9-14'!A62</f>
        <v>Adult - Transp Fees from Other Sources (Out of State)</v>
      </c>
      <c r="E28" s="867"/>
      <c r="F28" s="1935">
        <f>'Revenues 9-14'!F62</f>
        <v>0</v>
      </c>
      <c r="G28" s="864"/>
    </row>
    <row r="29" spans="1:7" x14ac:dyDescent="0.2">
      <c r="A29" s="868" t="s">
        <v>1159</v>
      </c>
      <c r="B29" s="869" t="s">
        <v>1683</v>
      </c>
      <c r="C29" s="879">
        <f>'Revenues 9-14'!B148</f>
        <v>3410</v>
      </c>
      <c r="D29" s="880" t="str">
        <f>'Revenues 9-14'!A148</f>
        <v>Adult Ed (from ICCB)</v>
      </c>
      <c r="E29" s="867"/>
      <c r="F29" s="1935">
        <f>SUM('Revenues 9-14'!D148,F149)</f>
        <v>0</v>
      </c>
      <c r="G29" s="864"/>
    </row>
    <row r="30" spans="1:7" x14ac:dyDescent="0.2">
      <c r="A30" s="868" t="s">
        <v>1159</v>
      </c>
      <c r="B30" s="869" t="s">
        <v>861</v>
      </c>
      <c r="C30" s="879">
        <f>'Revenues 9-14'!B149</f>
        <v>3499</v>
      </c>
      <c r="D30" s="880" t="str">
        <f>'Revenues 9-14'!A149</f>
        <v>Adult Ed - Other (Describe &amp; Itemize)</v>
      </c>
      <c r="E30" s="867"/>
      <c r="F30" s="1936">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5">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5">
        <f>SUM('Revenues 9-14'!D219,'Revenues 9-14'!F219)</f>
        <v>0</v>
      </c>
      <c r="G32" s="864"/>
    </row>
    <row r="33" spans="1:7" x14ac:dyDescent="0.2">
      <c r="A33" s="868" t="s">
        <v>480</v>
      </c>
      <c r="B33" s="869" t="s">
        <v>801</v>
      </c>
      <c r="C33" s="874">
        <f>'Revenues 9-14'!B229</f>
        <v>4810</v>
      </c>
      <c r="D33" s="882" t="str">
        <f>'Revenues 9-14'!A229</f>
        <v>Federal - Adult Education</v>
      </c>
      <c r="E33" s="867"/>
      <c r="F33" s="1935">
        <f>'Revenues 9-14'!D229</f>
        <v>0</v>
      </c>
      <c r="G33" s="864"/>
    </row>
    <row r="34" spans="1:7" x14ac:dyDescent="0.2">
      <c r="A34" s="868" t="s">
        <v>479</v>
      </c>
      <c r="B34" s="868" t="s">
        <v>1545</v>
      </c>
      <c r="C34" s="885" t="str">
        <f>'Expenditures 15-22'!B7</f>
        <v>1125</v>
      </c>
      <c r="D34" s="886" t="str">
        <f>'Expenditures 15-22'!A7</f>
        <v>Pre-K Programs</v>
      </c>
      <c r="E34" s="867"/>
      <c r="F34" s="1935">
        <f>'Expenditures 15-22'!K7-SUM('Expenditures 15-22'!G7,'Expenditures 15-22'!I7)</f>
        <v>112682</v>
      </c>
      <c r="G34" s="864"/>
    </row>
    <row r="35" spans="1:7" x14ac:dyDescent="0.2">
      <c r="A35" s="868" t="s">
        <v>479</v>
      </c>
      <c r="B35" s="868" t="s">
        <v>1546</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5">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5">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5">
        <f>'Expenditures 15-22'!K20</f>
        <v>0</v>
      </c>
      <c r="G39" s="864"/>
    </row>
    <row r="40" spans="1:7" x14ac:dyDescent="0.2">
      <c r="A40" s="868" t="s">
        <v>479</v>
      </c>
      <c r="B40" s="868" t="s">
        <v>120</v>
      </c>
      <c r="C40" s="885" t="str">
        <f>'Expenditures 15-22'!B21</f>
        <v>1911</v>
      </c>
      <c r="D40" s="887" t="str">
        <f>'Expenditures 15-22'!A21</f>
        <v>Regular K-12 Programs - Private Tuition</v>
      </c>
      <c r="E40" s="867"/>
      <c r="F40" s="1935">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5">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479</v>
      </c>
      <c r="B46" s="868" t="s">
        <v>126</v>
      </c>
      <c r="C46" s="885" t="str">
        <f>'Expenditures 15-22'!B27</f>
        <v>1917</v>
      </c>
      <c r="D46" s="887" t="str">
        <f>'Expenditures 15-22'!A27</f>
        <v>CTE Programs - Private Tuition</v>
      </c>
      <c r="E46" s="867"/>
      <c r="F46" s="1935">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479</v>
      </c>
      <c r="B49" s="868" t="s">
        <v>129</v>
      </c>
      <c r="C49" s="885" t="str">
        <f>'Expenditures 15-22'!B30</f>
        <v>1920</v>
      </c>
      <c r="D49" s="887" t="str">
        <f>'Expenditures 15-22'!A30</f>
        <v>Gifted Programs - Private Tuition</v>
      </c>
      <c r="E49" s="867"/>
      <c r="F49" s="1935">
        <f>'Expenditures 15-22'!K30</f>
        <v>0</v>
      </c>
      <c r="G49" s="864"/>
    </row>
    <row r="50" spans="1:7" x14ac:dyDescent="0.2">
      <c r="A50" s="868" t="s">
        <v>479</v>
      </c>
      <c r="B50" s="868" t="s">
        <v>130</v>
      </c>
      <c r="C50" s="885" t="str">
        <f>'Expenditures 15-22'!B31</f>
        <v>1921</v>
      </c>
      <c r="D50" s="887" t="str">
        <f>'Expenditures 15-22'!A31</f>
        <v>Bilingual Programs - Private Tuition</v>
      </c>
      <c r="E50" s="867"/>
      <c r="F50" s="1935">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5">
        <f>'Expenditures 15-22'!K32</f>
        <v>0</v>
      </c>
      <c r="G51" s="864"/>
    </row>
    <row r="52" spans="1:7" x14ac:dyDescent="0.2">
      <c r="A52" s="868" t="s">
        <v>479</v>
      </c>
      <c r="B52" s="868" t="s">
        <v>1550</v>
      </c>
      <c r="C52" s="888" t="str">
        <f>'Expenditures 15-22'!B75</f>
        <v>3000</v>
      </c>
      <c r="D52" s="887" t="s">
        <v>469</v>
      </c>
      <c r="E52" s="867"/>
      <c r="F52" s="1935">
        <f>'Expenditures 15-22'!K75-SUM('Expenditures 15-22'!G75,'Expenditures 15-22'!I75)</f>
        <v>12140</v>
      </c>
      <c r="G52" s="864"/>
    </row>
    <row r="53" spans="1:7" x14ac:dyDescent="0.2">
      <c r="A53" s="868" t="s">
        <v>479</v>
      </c>
      <c r="B53" s="868" t="s">
        <v>1551</v>
      </c>
      <c r="C53" s="888">
        <f>'Expenditures 15-22'!B102</f>
        <v>4000</v>
      </c>
      <c r="D53" s="887" t="str">
        <f>'Expenditures 15-22'!A102</f>
        <v>Total Payments to Other Govt Units</v>
      </c>
      <c r="E53" s="867"/>
      <c r="F53" s="1935">
        <f>'Expenditures 15-22'!K102</f>
        <v>411757</v>
      </c>
      <c r="G53" s="864"/>
    </row>
    <row r="54" spans="1:7" x14ac:dyDescent="0.2">
      <c r="A54" s="868" t="s">
        <v>479</v>
      </c>
      <c r="B54" s="868" t="s">
        <v>1552</v>
      </c>
      <c r="C54" s="888" t="s">
        <v>1039</v>
      </c>
      <c r="D54" s="884" t="s">
        <v>1157</v>
      </c>
      <c r="E54" s="867"/>
      <c r="F54" s="1935">
        <f>'Expenditures 15-22'!G114</f>
        <v>25265</v>
      </c>
      <c r="G54" s="864"/>
    </row>
    <row r="55" spans="1:7" x14ac:dyDescent="0.2">
      <c r="A55" s="868" t="s">
        <v>479</v>
      </c>
      <c r="B55" s="868" t="s">
        <v>1553</v>
      </c>
      <c r="C55" s="888" t="s">
        <v>1039</v>
      </c>
      <c r="D55" s="884" t="s">
        <v>309</v>
      </c>
      <c r="E55" s="867"/>
      <c r="F55" s="1935">
        <f>'Expenditures 15-22'!I114</f>
        <v>28558</v>
      </c>
      <c r="G55" s="864"/>
    </row>
    <row r="56" spans="1:7" x14ac:dyDescent="0.2">
      <c r="A56" s="868" t="s">
        <v>480</v>
      </c>
      <c r="B56" s="868" t="s">
        <v>1554</v>
      </c>
      <c r="C56" s="885" t="str">
        <f>'Expenditures 15-22'!B130</f>
        <v>3000</v>
      </c>
      <c r="D56" s="891" t="s">
        <v>469</v>
      </c>
      <c r="E56" s="867"/>
      <c r="F56" s="1935">
        <f>'Expenditures 15-22'!K130-SUM('Expenditures 15-22'!G130+'Expenditures 15-22'!I130)</f>
        <v>0</v>
      </c>
      <c r="G56" s="864"/>
    </row>
    <row r="57" spans="1:7" x14ac:dyDescent="0.2">
      <c r="A57" s="868" t="s">
        <v>480</v>
      </c>
      <c r="B57" s="868" t="s">
        <v>1991</v>
      </c>
      <c r="C57" s="888">
        <f>'Expenditures 15-22'!B139</f>
        <v>4000</v>
      </c>
      <c r="D57" s="886" t="str">
        <f>'Expenditures 15-22'!A139</f>
        <v>Total Payments to Other Govt Units</v>
      </c>
      <c r="E57" s="867"/>
      <c r="F57" s="1935">
        <f>'Expenditures 15-22'!K139</f>
        <v>104322</v>
      </c>
      <c r="G57" s="864"/>
    </row>
    <row r="58" spans="1:7" x14ac:dyDescent="0.2">
      <c r="A58" s="868" t="s">
        <v>480</v>
      </c>
      <c r="B58" s="868" t="s">
        <v>1992</v>
      </c>
      <c r="C58" s="885" t="s">
        <v>1039</v>
      </c>
      <c r="D58" s="884" t="s">
        <v>1157</v>
      </c>
      <c r="E58" s="867"/>
      <c r="F58" s="1937">
        <f>'Expenditures 15-22'!G151</f>
        <v>0</v>
      </c>
      <c r="G58" s="864"/>
    </row>
    <row r="59" spans="1:7" x14ac:dyDescent="0.2">
      <c r="A59" s="892" t="s">
        <v>480</v>
      </c>
      <c r="B59" s="855" t="s">
        <v>1993</v>
      </c>
      <c r="C59" s="893" t="s">
        <v>1039</v>
      </c>
      <c r="D59" s="855" t="s">
        <v>309</v>
      </c>
      <c r="F59" s="1938">
        <f>'Expenditures 15-22'!I151</f>
        <v>0</v>
      </c>
      <c r="G59" s="864"/>
    </row>
    <row r="60" spans="1:7" x14ac:dyDescent="0.2">
      <c r="A60" s="892" t="s">
        <v>520</v>
      </c>
      <c r="B60" s="855" t="s">
        <v>1994</v>
      </c>
      <c r="C60" s="893">
        <v>4000</v>
      </c>
      <c r="D60" s="855" t="s">
        <v>330</v>
      </c>
      <c r="F60" s="1936">
        <f>'Expenditures 15-22'!K160</f>
        <v>0</v>
      </c>
      <c r="G60" s="864"/>
    </row>
    <row r="61" spans="1:7" x14ac:dyDescent="0.2">
      <c r="A61" s="894" t="s">
        <v>520</v>
      </c>
      <c r="B61" s="894" t="s">
        <v>1995</v>
      </c>
      <c r="C61" s="895" t="str">
        <f>'Expenditures 15-22'!B170</f>
        <v>5300</v>
      </c>
      <c r="D61" s="896" t="s">
        <v>329</v>
      </c>
      <c r="E61" s="878"/>
      <c r="F61" s="1935">
        <f>'Expenditures 15-22'!K170</f>
        <v>247000</v>
      </c>
      <c r="G61" s="864"/>
    </row>
    <row r="62" spans="1:7" x14ac:dyDescent="0.2">
      <c r="A62" s="868" t="s">
        <v>481</v>
      </c>
      <c r="B62" s="868" t="s">
        <v>1996</v>
      </c>
      <c r="C62" s="885">
        <f>'Expenditures 15-22'!B185</f>
        <v>3000</v>
      </c>
      <c r="D62" s="875" t="s">
        <v>469</v>
      </c>
      <c r="E62" s="867"/>
      <c r="F62" s="1935">
        <f>'Expenditures 15-22'!K185-SUM('Expenditures 15-22'!G185,'Expenditures 15-22'!I185)</f>
        <v>0</v>
      </c>
      <c r="G62" s="864"/>
    </row>
    <row r="63" spans="1:7" x14ac:dyDescent="0.2">
      <c r="A63" s="868" t="s">
        <v>481</v>
      </c>
      <c r="B63" s="868" t="s">
        <v>1997</v>
      </c>
      <c r="C63" s="885" t="str">
        <f>'Expenditures 15-22'!B196</f>
        <v>4000</v>
      </c>
      <c r="D63" s="886" t="str">
        <f>'Expenditures 15-22'!A196</f>
        <v>Total Payments to Other Govt Units</v>
      </c>
      <c r="E63" s="867"/>
      <c r="F63" s="1935">
        <f>'Expenditures 15-22'!K196</f>
        <v>0</v>
      </c>
      <c r="G63" s="864"/>
    </row>
    <row r="64" spans="1:7" x14ac:dyDescent="0.2">
      <c r="A64" s="894" t="s">
        <v>481</v>
      </c>
      <c r="B64" s="894" t="s">
        <v>1998</v>
      </c>
      <c r="C64" s="895" t="str">
        <f>'Expenditures 15-22'!B206</f>
        <v>5300</v>
      </c>
      <c r="D64" s="891" t="s">
        <v>329</v>
      </c>
      <c r="E64" s="867"/>
      <c r="F64" s="1935">
        <f>'Expenditures 15-22'!K206</f>
        <v>67159</v>
      </c>
      <c r="G64" s="864"/>
    </row>
    <row r="65" spans="1:8" x14ac:dyDescent="0.2">
      <c r="A65" s="868" t="s">
        <v>481</v>
      </c>
      <c r="B65" s="868" t="s">
        <v>1999</v>
      </c>
      <c r="C65" s="885" t="s">
        <v>1039</v>
      </c>
      <c r="D65" s="884" t="s">
        <v>1157</v>
      </c>
      <c r="E65" s="867"/>
      <c r="F65" s="1935">
        <f>'Expenditures 15-22'!G210</f>
        <v>0</v>
      </c>
      <c r="G65" s="864"/>
    </row>
    <row r="66" spans="1:8" x14ac:dyDescent="0.2">
      <c r="A66" s="868" t="s">
        <v>481</v>
      </c>
      <c r="B66" s="868" t="s">
        <v>2000</v>
      </c>
      <c r="C66" s="885" t="s">
        <v>1039</v>
      </c>
      <c r="D66" s="884" t="s">
        <v>309</v>
      </c>
      <c r="E66" s="867"/>
      <c r="F66" s="1935">
        <f>'Expenditures 15-22'!I210</f>
        <v>0</v>
      </c>
      <c r="G66" s="864"/>
    </row>
    <row r="67" spans="1:8" x14ac:dyDescent="0.2">
      <c r="A67" s="868" t="s">
        <v>482</v>
      </c>
      <c r="B67" s="868" t="s">
        <v>2001</v>
      </c>
      <c r="C67" s="885" t="str">
        <f>'Expenditures 15-22'!B216</f>
        <v>1125</v>
      </c>
      <c r="D67" s="891" t="str">
        <f>'Expenditures 15-22'!A216</f>
        <v>Pre-K Programs</v>
      </c>
      <c r="E67" s="867"/>
      <c r="F67" s="1935">
        <f>'Expenditures 15-22'!K216</f>
        <v>3532</v>
      </c>
      <c r="G67" s="864"/>
    </row>
    <row r="68" spans="1:8" x14ac:dyDescent="0.2">
      <c r="A68" s="868" t="s">
        <v>482</v>
      </c>
      <c r="B68" s="868" t="s">
        <v>1555</v>
      </c>
      <c r="C68" s="885" t="str">
        <f>'Expenditures 15-22'!B218</f>
        <v>1225</v>
      </c>
      <c r="D68" s="891" t="str">
        <f>'Expenditures 15-22'!A218</f>
        <v>Special Education Programs - Pre-K</v>
      </c>
      <c r="E68" s="867"/>
      <c r="F68" s="1935">
        <f>'Expenditures 15-22'!K218</f>
        <v>0</v>
      </c>
      <c r="G68" s="864"/>
    </row>
    <row r="69" spans="1:8" x14ac:dyDescent="0.2">
      <c r="A69" s="868" t="s">
        <v>482</v>
      </c>
      <c r="B69" s="868" t="s">
        <v>2002</v>
      </c>
      <c r="C69" s="885" t="str">
        <f>'Expenditures 15-22'!B220</f>
        <v>1275</v>
      </c>
      <c r="D69" s="891" t="str">
        <f>'Expenditures 15-22'!A220</f>
        <v>Remedial and Supplemental Programs - Pre-K</v>
      </c>
      <c r="E69" s="867"/>
      <c r="F69" s="1935">
        <f>'Expenditures 15-22'!K220</f>
        <v>0</v>
      </c>
      <c r="G69" s="864"/>
    </row>
    <row r="70" spans="1:8" x14ac:dyDescent="0.2">
      <c r="A70" s="868" t="s">
        <v>482</v>
      </c>
      <c r="B70" s="868" t="s">
        <v>2003</v>
      </c>
      <c r="C70" s="885">
        <f>'Expenditures 15-22'!B221</f>
        <v>1300</v>
      </c>
      <c r="D70" s="886" t="str">
        <f>'Expenditures 15-22'!A221</f>
        <v>Adult/Continuing Education Programs</v>
      </c>
      <c r="E70" s="867"/>
      <c r="F70" s="1935">
        <f>'Expenditures 15-22'!K221</f>
        <v>0</v>
      </c>
      <c r="G70" s="864"/>
    </row>
    <row r="71" spans="1:8" x14ac:dyDescent="0.2">
      <c r="A71" s="868" t="s">
        <v>482</v>
      </c>
      <c r="B71" s="868" t="s">
        <v>2004</v>
      </c>
      <c r="C71" s="885">
        <f>'Expenditures 15-22'!B224</f>
        <v>1600</v>
      </c>
      <c r="D71" s="886" t="str">
        <f>'Expenditures 15-22'!A224</f>
        <v>Summer School Programs</v>
      </c>
      <c r="E71" s="867"/>
      <c r="F71" s="1935">
        <f>'Expenditures 15-22'!K224</f>
        <v>0</v>
      </c>
      <c r="G71" s="864"/>
    </row>
    <row r="72" spans="1:8" x14ac:dyDescent="0.2">
      <c r="A72" s="868" t="s">
        <v>482</v>
      </c>
      <c r="B72" s="868" t="s">
        <v>2005</v>
      </c>
      <c r="C72" s="885">
        <f>'Expenditures 15-22'!B280</f>
        <v>3000</v>
      </c>
      <c r="D72" s="875" t="s">
        <v>469</v>
      </c>
      <c r="E72" s="867"/>
      <c r="F72" s="1935">
        <f>'Expenditures 15-22'!K280</f>
        <v>821</v>
      </c>
      <c r="G72" s="864"/>
    </row>
    <row r="73" spans="1:8" x14ac:dyDescent="0.2">
      <c r="A73" s="868" t="s">
        <v>482</v>
      </c>
      <c r="B73" s="868" t="s">
        <v>2006</v>
      </c>
      <c r="C73" s="885" t="str">
        <f>'Expenditures 15-22'!B285</f>
        <v>4000</v>
      </c>
      <c r="D73" s="886" t="str">
        <f>'Expenditures 15-22'!A285</f>
        <v>Total Payments to Other Govt Units</v>
      </c>
      <c r="E73" s="867"/>
      <c r="F73" s="1935">
        <f>'Expenditures 15-22'!K285</f>
        <v>4374</v>
      </c>
      <c r="G73" s="864"/>
    </row>
    <row r="74" spans="1:8" x14ac:dyDescent="0.2">
      <c r="A74" s="868" t="s">
        <v>456</v>
      </c>
      <c r="B74" s="868" t="s">
        <v>2007</v>
      </c>
      <c r="C74" s="885" t="s">
        <v>915</v>
      </c>
      <c r="D74" s="886" t="s">
        <v>1567</v>
      </c>
      <c r="E74" s="867"/>
      <c r="F74" s="1939">
        <f>'Expenditures 15-22'!K334</f>
        <v>0</v>
      </c>
      <c r="G74" s="864"/>
    </row>
    <row r="75" spans="1:8" ht="5.45" customHeight="1" x14ac:dyDescent="0.2">
      <c r="A75" s="864"/>
      <c r="B75" s="874"/>
      <c r="C75" s="874"/>
      <c r="D75" s="864"/>
      <c r="E75" s="867"/>
      <c r="F75" s="881"/>
      <c r="G75" s="866"/>
    </row>
    <row r="76" spans="1:8" ht="12" thickBot="1" x14ac:dyDescent="0.25">
      <c r="A76" s="1790"/>
      <c r="B76" s="1796"/>
      <c r="C76" s="1792"/>
      <c r="D76" s="1797" t="s">
        <v>2008</v>
      </c>
      <c r="E76" s="1794" t="s">
        <v>1015</v>
      </c>
      <c r="F76" s="1798">
        <f>SUM(F18:F74)</f>
        <v>1052606</v>
      </c>
      <c r="G76" s="864"/>
    </row>
    <row r="77" spans="1:8" s="892" customFormat="1" ht="12" customHeight="1" thickTop="1" thickBot="1" x14ac:dyDescent="0.25">
      <c r="A77" s="1799"/>
      <c r="B77" s="1796"/>
      <c r="C77" s="1792"/>
      <c r="D77" s="1797" t="s">
        <v>2009</v>
      </c>
      <c r="E77" s="1794"/>
      <c r="F77" s="1800">
        <f>(F14-F76)</f>
        <v>5429949</v>
      </c>
      <c r="G77" s="868"/>
    </row>
    <row r="78" spans="1:8" s="892" customFormat="1" ht="12" customHeight="1" thickTop="1" x14ac:dyDescent="0.2">
      <c r="A78" s="1801"/>
      <c r="B78" s="1796"/>
      <c r="C78" s="1792"/>
      <c r="D78" s="1797" t="s">
        <v>2056</v>
      </c>
      <c r="E78" s="1794"/>
      <c r="F78" s="897">
        <v>557.98</v>
      </c>
      <c r="G78" s="898"/>
      <c r="H78" s="868"/>
    </row>
    <row r="79" spans="1:8" s="892" customFormat="1" ht="12" customHeight="1" thickBot="1" x14ac:dyDescent="0.25">
      <c r="A79" s="1802"/>
      <c r="B79" s="1796"/>
      <c r="C79" s="1792"/>
      <c r="D79" s="1797" t="s">
        <v>2010</v>
      </c>
      <c r="E79" s="1794" t="s">
        <v>1015</v>
      </c>
      <c r="F79" s="1803">
        <f>IF(F78&gt;0,F77/F78," Complete Line 78")</f>
        <v>9731.4401949890671</v>
      </c>
      <c r="G79" s="868"/>
    </row>
    <row r="80" spans="1:8" s="892" customFormat="1" ht="8.25" customHeight="1" thickTop="1" x14ac:dyDescent="0.2">
      <c r="A80" s="899"/>
      <c r="B80" s="868"/>
      <c r="C80" s="870"/>
      <c r="D80" s="900"/>
      <c r="E80" s="867"/>
      <c r="F80" s="901"/>
      <c r="G80" s="868"/>
    </row>
    <row r="81" spans="1:7" s="892" customFormat="1" ht="12" thickBot="1" x14ac:dyDescent="0.25">
      <c r="A81" s="2360" t="s">
        <v>1167</v>
      </c>
      <c r="B81" s="2361"/>
      <c r="C81" s="2361"/>
      <c r="D81" s="2361"/>
      <c r="E81" s="2361"/>
      <c r="F81" s="2362"/>
      <c r="G81" s="868"/>
    </row>
    <row r="82" spans="1:7" s="892" customFormat="1" ht="5.4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9">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7219</v>
      </c>
      <c r="G94" s="911"/>
    </row>
    <row r="95" spans="1:7" x14ac:dyDescent="0.2">
      <c r="A95" s="907" t="s">
        <v>142</v>
      </c>
      <c r="B95" s="907" t="s">
        <v>177</v>
      </c>
      <c r="C95" s="909">
        <v>1700</v>
      </c>
      <c r="D95" s="917" t="str">
        <f>'Revenues 9-14'!A82</f>
        <v>Total District/School Activity Income</v>
      </c>
      <c r="E95" s="905"/>
      <c r="F95" s="1809">
        <f>SUM('Revenues 9-14'!C82,'Revenues 9-14'!D82)</f>
        <v>6741</v>
      </c>
      <c r="G95" s="911"/>
    </row>
    <row r="96" spans="1:7" x14ac:dyDescent="0.2">
      <c r="A96" s="907" t="s">
        <v>479</v>
      </c>
      <c r="B96" s="907" t="s">
        <v>178</v>
      </c>
      <c r="C96" s="909">
        <f>'Revenues 9-14'!B84</f>
        <v>1811</v>
      </c>
      <c r="D96" s="910" t="str">
        <f>'Revenues 9-14'!A84</f>
        <v>Rentals - Regular Textbooks</v>
      </c>
      <c r="E96" s="905"/>
      <c r="F96" s="1809">
        <f>'Revenues 9-14'!C84</f>
        <v>16146</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33</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1917</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6622</v>
      </c>
      <c r="G103" s="911"/>
    </row>
    <row r="104" spans="1:7" x14ac:dyDescent="0.2">
      <c r="A104" s="907" t="s">
        <v>479</v>
      </c>
      <c r="B104" s="907" t="s">
        <v>841</v>
      </c>
      <c r="C104" s="909">
        <f>'Revenues 9-14'!B106</f>
        <v>1993</v>
      </c>
      <c r="D104" s="910" t="str">
        <f>'Revenues 9-14'!A106</f>
        <v>Other Local Fees (Describe &amp; Itemize)</v>
      </c>
      <c r="E104" s="905"/>
      <c r="F104" s="1809">
        <f>('Revenues 9-14'!C106)</f>
        <v>63</v>
      </c>
      <c r="G104" s="911"/>
    </row>
    <row r="105" spans="1:7" x14ac:dyDescent="0.2">
      <c r="A105" s="907" t="s">
        <v>524</v>
      </c>
      <c r="B105" s="907" t="s">
        <v>842</v>
      </c>
      <c r="C105" s="912">
        <v>3100</v>
      </c>
      <c r="D105" s="918" t="str">
        <f>'Revenues 9-14'!A131</f>
        <v>Total Special Education</v>
      </c>
      <c r="E105" s="905"/>
      <c r="F105" s="1809">
        <f>SUM('Revenues 9-14'!C131:D131,'Revenues 9-14'!F131)</f>
        <v>79506</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17779</v>
      </c>
      <c r="G107" s="911"/>
    </row>
    <row r="108" spans="1:7" x14ac:dyDescent="0.2">
      <c r="A108" s="907" t="s">
        <v>479</v>
      </c>
      <c r="B108" s="907" t="s">
        <v>844</v>
      </c>
      <c r="C108" s="919">
        <f>'Revenues 9-14'!B145</f>
        <v>3360</v>
      </c>
      <c r="D108" s="910" t="str">
        <f>'Revenues 9-14'!A145</f>
        <v>State Free Lunch &amp; Breakfast</v>
      </c>
      <c r="E108" s="905"/>
      <c r="F108" s="1809">
        <f>'Revenues 9-14'!C145</f>
        <v>6408</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131785</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9">
        <f>SUM('Revenues 9-14'!C166:G166)</f>
        <v>0</v>
      </c>
      <c r="G122" s="911"/>
    </row>
    <row r="123" spans="1:7" x14ac:dyDescent="0.2">
      <c r="A123" s="922" t="s">
        <v>525</v>
      </c>
      <c r="B123" s="922" t="s">
        <v>853</v>
      </c>
      <c r="C123" s="923">
        <f>'Revenues 9-14'!B167</f>
        <v>3815</v>
      </c>
      <c r="D123" s="924" t="str">
        <f>'Revenues 9-14'!A167</f>
        <v>State Charter Schools</v>
      </c>
      <c r="E123" s="905"/>
      <c r="F123" s="1929">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5682</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411246</v>
      </c>
      <c r="G129" s="929"/>
    </row>
    <row r="130" spans="1:7" x14ac:dyDescent="0.2">
      <c r="A130" s="926" t="s">
        <v>689</v>
      </c>
      <c r="B130" s="926" t="s">
        <v>804</v>
      </c>
      <c r="C130" s="931">
        <v>4300</v>
      </c>
      <c r="D130" s="932" t="str">
        <f>'Revenues 9-14'!A211</f>
        <v>Total Title I</v>
      </c>
      <c r="E130" s="905"/>
      <c r="F130" s="1809">
        <f>SUM('Revenues 9-14'!C211,'Revenues 9-14'!D211,'Revenues 9-14'!F211,'Revenues 9-14'!G211)</f>
        <v>158559</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158790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10202</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9">
        <f>SUM('Revenues 9-14'!C268,'Revenues 9-14'!D268,'Revenues 9-14'!F268,'Revenues 9-14'!G268)</f>
        <v>26193</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11951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26328</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0" t="s">
        <v>5</v>
      </c>
      <c r="B175" s="1941" t="s">
        <v>2055</v>
      </c>
      <c r="C175" s="1942">
        <v>3100</v>
      </c>
      <c r="D175" s="1943" t="s">
        <v>2058</v>
      </c>
      <c r="E175" s="905"/>
      <c r="F175" s="1927">
        <v>159171.39000000001</v>
      </c>
      <c r="G175" s="926"/>
    </row>
    <row r="176" spans="1:7" x14ac:dyDescent="0.2">
      <c r="A176" s="1940" t="s">
        <v>685</v>
      </c>
      <c r="B176" s="1941" t="s">
        <v>2055</v>
      </c>
      <c r="C176" s="1942">
        <v>3300</v>
      </c>
      <c r="D176" s="1943" t="s">
        <v>2059</v>
      </c>
      <c r="E176" s="905"/>
      <c r="F176" s="1927">
        <v>25758.44</v>
      </c>
      <c r="G176" s="926"/>
    </row>
    <row r="177" spans="1:7" ht="6" customHeight="1" x14ac:dyDescent="0.2">
      <c r="A177" s="926"/>
      <c r="B177" s="926"/>
      <c r="C177" s="948"/>
      <c r="D177" s="926"/>
      <c r="E177" s="905"/>
      <c r="F177" s="949"/>
      <c r="G177" s="946"/>
    </row>
    <row r="178" spans="1:7" x14ac:dyDescent="0.2">
      <c r="A178" s="1790"/>
      <c r="B178" s="1804"/>
      <c r="C178" s="1805"/>
      <c r="D178" s="1806" t="s">
        <v>2011</v>
      </c>
      <c r="E178" s="1807" t="s">
        <v>1015</v>
      </c>
      <c r="F178" s="1808">
        <f>SUM(F84:F136,F161:F176)</f>
        <v>1268099.83</v>
      </c>
    </row>
    <row r="179" spans="1:7" ht="12" customHeight="1" x14ac:dyDescent="0.2">
      <c r="A179" s="1790"/>
      <c r="B179" s="1804"/>
      <c r="C179" s="1805"/>
      <c r="D179" s="1806" t="s">
        <v>2012</v>
      </c>
      <c r="E179" s="1807"/>
      <c r="F179" s="1809">
        <f>'PCTC-OEPP 27-28'!F77-F178</f>
        <v>4161849.17</v>
      </c>
    </row>
    <row r="180" spans="1:7" ht="12" customHeight="1" x14ac:dyDescent="0.2">
      <c r="A180" s="1790"/>
      <c r="B180" s="1804"/>
      <c r="C180" s="1805"/>
      <c r="D180" s="1806" t="s">
        <v>1922</v>
      </c>
      <c r="E180" s="1807"/>
      <c r="F180" s="1809">
        <f>'Cap Outlay Deprec 26'!I18</f>
        <v>474826.1</v>
      </c>
    </row>
    <row r="181" spans="1:7" ht="12" customHeight="1" x14ac:dyDescent="0.2">
      <c r="A181" s="1790"/>
      <c r="B181" s="1804"/>
      <c r="C181" s="1805"/>
      <c r="D181" s="1806" t="s">
        <v>2013</v>
      </c>
      <c r="E181" s="1807"/>
      <c r="F181" s="1809">
        <f>F179+F180</f>
        <v>4636675.2699999996</v>
      </c>
    </row>
    <row r="182" spans="1:7" ht="12" customHeight="1" x14ac:dyDescent="0.2">
      <c r="A182" s="1790"/>
      <c r="B182" s="1810"/>
      <c r="C182" s="1805"/>
      <c r="D182" s="1806" t="str">
        <f>D78</f>
        <v>9 Month ADA from District Average Daily Attendance/Prior General State Aid Inquiry 2017-2018</v>
      </c>
      <c r="E182" s="1807"/>
      <c r="F182" s="1811">
        <f>'PCTC-OEPP 27-28'!F78</f>
        <v>557.98</v>
      </c>
      <c r="G182" s="929"/>
    </row>
    <row r="183" spans="1:7" ht="12" customHeight="1" thickBot="1" x14ac:dyDescent="0.25">
      <c r="A183" s="1790"/>
      <c r="B183" s="1810"/>
      <c r="C183" s="1805"/>
      <c r="D183" s="1806" t="s">
        <v>2014</v>
      </c>
      <c r="E183" s="1807" t="s">
        <v>1626</v>
      </c>
      <c r="F183" s="1812">
        <f>F181/F182</f>
        <v>8309.7517294526679</v>
      </c>
      <c r="G183" s="855">
        <v>6323</v>
      </c>
    </row>
    <row r="184" spans="1:7" ht="12" thickTop="1" x14ac:dyDescent="0.2">
      <c r="B184" s="929"/>
      <c r="C184" s="948"/>
      <c r="D184" s="929"/>
      <c r="E184" s="948"/>
      <c r="F184" s="929"/>
      <c r="G184" s="950">
        <v>6326</v>
      </c>
    </row>
    <row r="185" spans="1:7" ht="12.2" customHeight="1" x14ac:dyDescent="0.2">
      <c r="A185" s="929" t="s">
        <v>2057</v>
      </c>
      <c r="B185" s="929"/>
      <c r="C185" s="948"/>
      <c r="D185" s="929"/>
      <c r="E185" s="948"/>
      <c r="F185" s="929"/>
      <c r="G185" s="929"/>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48"/>
      <c r="D188" s="929"/>
      <c r="E188" s="948"/>
      <c r="F188" s="929"/>
      <c r="G188" s="929"/>
    </row>
    <row r="189" spans="1:7" x14ac:dyDescent="0.2">
      <c r="A189" s="1948" t="s">
        <v>2061</v>
      </c>
      <c r="B189" s="1949" t="s">
        <v>2060</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1938</v>
      </c>
      <c r="B1" s="1680"/>
      <c r="C1" s="1680"/>
      <c r="D1" s="1680"/>
      <c r="E1" s="1680"/>
      <c r="F1" s="1680"/>
      <c r="G1" s="1680"/>
    </row>
    <row r="2" spans="1:7" x14ac:dyDescent="0.25">
      <c r="A2" s="1677"/>
      <c r="B2" s="1677"/>
      <c r="C2" s="1678" t="s">
        <v>1036</v>
      </c>
      <c r="D2" s="1677"/>
      <c r="E2" s="1677"/>
      <c r="F2" s="1677"/>
      <c r="G2" s="1677"/>
    </row>
    <row r="3" spans="1:7" ht="5.45" customHeight="1" x14ac:dyDescent="0.25">
      <c r="A3" s="1565"/>
      <c r="B3" s="1565"/>
      <c r="C3" s="1565"/>
      <c r="D3" s="1565"/>
      <c r="E3" s="1565"/>
      <c r="F3" s="1565"/>
      <c r="G3" s="1565"/>
    </row>
    <row r="4" spans="1:7" ht="18.75" customHeight="1" x14ac:dyDescent="0.25">
      <c r="A4" s="2374" t="s">
        <v>1923</v>
      </c>
      <c r="B4" s="2375"/>
      <c r="C4" s="2375"/>
      <c r="D4" s="2375"/>
      <c r="E4" s="2375"/>
      <c r="F4" s="2375"/>
      <c r="G4" s="2376"/>
    </row>
    <row r="5" spans="1:7" x14ac:dyDescent="0.25">
      <c r="A5" s="2377"/>
      <c r="B5" s="2378"/>
      <c r="C5" s="2378"/>
      <c r="D5" s="2378"/>
      <c r="E5" s="2378"/>
      <c r="F5" s="2378"/>
      <c r="G5" s="2379"/>
    </row>
    <row r="6" spans="1:7" ht="18.75" x14ac:dyDescent="0.25">
      <c r="A6" s="1554" t="s">
        <v>1924</v>
      </c>
      <c r="B6" s="1555"/>
      <c r="C6" s="1555"/>
      <c r="D6" s="1555"/>
      <c r="E6" s="1555"/>
      <c r="F6" s="1555"/>
      <c r="G6" s="1556"/>
    </row>
    <row r="7" spans="1:7" ht="30.75" customHeight="1" x14ac:dyDescent="0.25">
      <c r="A7" s="2380" t="s">
        <v>2072</v>
      </c>
      <c r="B7" s="2381"/>
      <c r="C7" s="2381"/>
      <c r="D7" s="2381"/>
      <c r="E7" s="2381"/>
      <c r="F7" s="2381"/>
      <c r="G7" s="2382"/>
    </row>
    <row r="8" spans="1:7" ht="15.95" customHeight="1" x14ac:dyDescent="0.25">
      <c r="A8" s="2383" t="s">
        <v>2021</v>
      </c>
      <c r="B8" s="2384"/>
      <c r="C8" s="2384"/>
      <c r="D8" s="2384"/>
      <c r="E8" s="2384"/>
      <c r="F8" s="2384"/>
      <c r="G8" s="2385"/>
    </row>
    <row r="9" spans="1:7" ht="35.25" customHeight="1" x14ac:dyDescent="0.25">
      <c r="A9" s="2380" t="s">
        <v>2020</v>
      </c>
      <c r="B9" s="2381"/>
      <c r="C9" s="2381"/>
      <c r="D9" s="2381"/>
      <c r="E9" s="2381"/>
      <c r="F9" s="2381"/>
      <c r="G9" s="2382"/>
    </row>
    <row r="10" spans="1:7" ht="15" customHeight="1" x14ac:dyDescent="0.25">
      <c r="A10" s="1557" t="s">
        <v>1925</v>
      </c>
      <c r="B10" s="1558"/>
      <c r="C10" s="1558"/>
      <c r="D10" s="1558"/>
      <c r="E10" s="1558"/>
      <c r="F10" s="1558"/>
      <c r="G10" s="1559"/>
    </row>
    <row r="11" spans="1:7" ht="17.25" customHeight="1" x14ac:dyDescent="0.25">
      <c r="A11" s="2380" t="s">
        <v>1939</v>
      </c>
      <c r="B11" s="2381"/>
      <c r="C11" s="2381"/>
      <c r="D11" s="2381"/>
      <c r="E11" s="2381"/>
      <c r="F11" s="2381"/>
      <c r="G11" s="2382"/>
    </row>
    <row r="12" spans="1:7" ht="15" customHeight="1" x14ac:dyDescent="0.25">
      <c r="A12" s="1557" t="s">
        <v>1930</v>
      </c>
      <c r="B12" s="1558"/>
      <c r="C12" s="1558"/>
      <c r="D12" s="1558"/>
      <c r="E12" s="1558"/>
      <c r="F12" s="1558"/>
      <c r="G12" s="1559"/>
    </row>
    <row r="13" spans="1:7" ht="32.25" customHeight="1" x14ac:dyDescent="0.25">
      <c r="A13" s="2371" t="s">
        <v>1931</v>
      </c>
      <c r="B13" s="2372"/>
      <c r="C13" s="2372"/>
      <c r="D13" s="2372"/>
      <c r="E13" s="2372"/>
      <c r="F13" s="2372"/>
      <c r="G13" s="2373"/>
    </row>
    <row r="14" spans="1:7" x14ac:dyDescent="0.25">
      <c r="A14" s="1681" t="s">
        <v>1940</v>
      </c>
      <c r="B14" s="1682"/>
      <c r="C14" s="1682"/>
      <c r="D14" s="1682"/>
      <c r="E14" s="1682"/>
      <c r="F14" s="1682"/>
      <c r="G14" s="1683"/>
    </row>
    <row r="15" spans="1:7" ht="61.5" customHeight="1" x14ac:dyDescent="0.25">
      <c r="A15" s="1566" t="s">
        <v>1932</v>
      </c>
      <c r="B15" s="1566" t="s">
        <v>1933</v>
      </c>
      <c r="C15" s="1566" t="s">
        <v>1934</v>
      </c>
      <c r="D15" s="1567" t="s">
        <v>1935</v>
      </c>
      <c r="E15" s="1567" t="s">
        <v>1926</v>
      </c>
      <c r="F15" s="1567" t="s">
        <v>1936</v>
      </c>
      <c r="G15" s="1567" t="s">
        <v>1937</v>
      </c>
    </row>
    <row r="16" spans="1:7" x14ac:dyDescent="0.25">
      <c r="A16" s="1668" t="s">
        <v>1941</v>
      </c>
      <c r="B16" s="1669" t="s">
        <v>1929</v>
      </c>
      <c r="C16" s="1670" t="s">
        <v>1927</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idden="1" x14ac:dyDescent="0.25">
      <c r="A17" s="1952"/>
      <c r="B17" s="1953"/>
      <c r="C17" s="1954"/>
      <c r="D17" s="1865"/>
      <c r="E17" s="1560">
        <f t="shared" ref="E17:E141" si="1">IF(D17&lt;=25000,D17,IF(D17&gt;25000,25000,0))</f>
        <v>0</v>
      </c>
      <c r="F17" s="1813">
        <f t="shared" si="0"/>
        <v>0</v>
      </c>
      <c r="G17" s="1814">
        <f>IF(F17=0,0,D17-F17)</f>
        <v>0</v>
      </c>
      <c r="H17" s="1667"/>
    </row>
    <row r="18" spans="1:8" hidden="1" x14ac:dyDescent="0.25">
      <c r="A18" s="1952"/>
      <c r="B18" s="1953"/>
      <c r="C18" s="1954"/>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952"/>
      <c r="B19" s="1953"/>
      <c r="C19" s="1954"/>
      <c r="D19" s="1865"/>
      <c r="E19" s="1560">
        <f t="shared" si="2"/>
        <v>0</v>
      </c>
      <c r="F19" s="1813">
        <f t="shared" si="3"/>
        <v>0</v>
      </c>
      <c r="G19" s="1814">
        <f t="shared" si="4"/>
        <v>0</v>
      </c>
    </row>
    <row r="20" spans="1:8" hidden="1" x14ac:dyDescent="0.25">
      <c r="A20" s="1952"/>
      <c r="B20" s="1953"/>
      <c r="C20" s="1954"/>
      <c r="D20" s="1865"/>
      <c r="E20" s="1560">
        <f t="shared" si="2"/>
        <v>0</v>
      </c>
      <c r="F20" s="1813">
        <f t="shared" si="3"/>
        <v>0</v>
      </c>
      <c r="G20" s="1814">
        <f t="shared" si="4"/>
        <v>0</v>
      </c>
    </row>
    <row r="21" spans="1:8" hidden="1" x14ac:dyDescent="0.25">
      <c r="A21" s="1952"/>
      <c r="B21" s="1953"/>
      <c r="C21" s="1954"/>
      <c r="D21" s="1865"/>
      <c r="E21" s="1560">
        <f t="shared" si="2"/>
        <v>0</v>
      </c>
      <c r="F21" s="1813">
        <f t="shared" si="3"/>
        <v>0</v>
      </c>
      <c r="G21" s="1814">
        <f t="shared" si="4"/>
        <v>0</v>
      </c>
    </row>
    <row r="22" spans="1:8" hidden="1" x14ac:dyDescent="0.25">
      <c r="A22" s="1952"/>
      <c r="B22" s="1953"/>
      <c r="C22" s="1954"/>
      <c r="D22" s="1865"/>
      <c r="E22" s="1560">
        <f t="shared" si="2"/>
        <v>0</v>
      </c>
      <c r="F22" s="1813">
        <f t="shared" si="3"/>
        <v>0</v>
      </c>
      <c r="G22" s="1814">
        <f t="shared" si="4"/>
        <v>0</v>
      </c>
    </row>
    <row r="23" spans="1:8" hidden="1" x14ac:dyDescent="0.25">
      <c r="A23" s="1952"/>
      <c r="B23" s="1953"/>
      <c r="C23" s="1954"/>
      <c r="D23" s="1865"/>
      <c r="E23" s="1560">
        <f t="shared" si="2"/>
        <v>0</v>
      </c>
      <c r="F23" s="1813">
        <f t="shared" si="3"/>
        <v>0</v>
      </c>
      <c r="G23" s="1814">
        <f t="shared" si="4"/>
        <v>0</v>
      </c>
    </row>
    <row r="24" spans="1:8" hidden="1" x14ac:dyDescent="0.25">
      <c r="A24" s="1952"/>
      <c r="B24" s="1953"/>
      <c r="C24" s="1954"/>
      <c r="D24" s="1865"/>
      <c r="E24" s="1560">
        <f t="shared" si="2"/>
        <v>0</v>
      </c>
      <c r="F24" s="1813">
        <f t="shared" si="3"/>
        <v>0</v>
      </c>
      <c r="G24" s="1814">
        <f t="shared" si="4"/>
        <v>0</v>
      </c>
    </row>
    <row r="25" spans="1:8" hidden="1" x14ac:dyDescent="0.25">
      <c r="A25" s="1952"/>
      <c r="B25" s="1953"/>
      <c r="C25" s="1954"/>
      <c r="D25" s="1865"/>
      <c r="E25" s="1560">
        <f t="shared" si="2"/>
        <v>0</v>
      </c>
      <c r="F25" s="1813">
        <f t="shared" si="3"/>
        <v>0</v>
      </c>
      <c r="G25" s="1814">
        <f t="shared" si="4"/>
        <v>0</v>
      </c>
    </row>
    <row r="26" spans="1:8" hidden="1" x14ac:dyDescent="0.25">
      <c r="A26" s="1952"/>
      <c r="B26" s="1953"/>
      <c r="C26" s="1954"/>
      <c r="D26" s="1865"/>
      <c r="E26" s="1560">
        <f t="shared" si="2"/>
        <v>0</v>
      </c>
      <c r="F26" s="1813">
        <f t="shared" si="3"/>
        <v>0</v>
      </c>
      <c r="G26" s="1814">
        <f t="shared" si="4"/>
        <v>0</v>
      </c>
    </row>
    <row r="27" spans="1:8" hidden="1" x14ac:dyDescent="0.25">
      <c r="A27" s="1952"/>
      <c r="B27" s="1953"/>
      <c r="C27" s="1954"/>
      <c r="D27" s="1865"/>
      <c r="E27" s="1560">
        <f t="shared" si="2"/>
        <v>0</v>
      </c>
      <c r="F27" s="1813">
        <f t="shared" si="3"/>
        <v>0</v>
      </c>
      <c r="G27" s="1814">
        <f t="shared" si="4"/>
        <v>0</v>
      </c>
    </row>
    <row r="28" spans="1:8" hidden="1" x14ac:dyDescent="0.25">
      <c r="A28" s="1952"/>
      <c r="B28" s="1953"/>
      <c r="C28" s="1954"/>
      <c r="D28" s="1865"/>
      <c r="E28" s="1560">
        <f t="shared" si="2"/>
        <v>0</v>
      </c>
      <c r="F28" s="1813">
        <f t="shared" si="3"/>
        <v>0</v>
      </c>
      <c r="G28" s="1814">
        <f t="shared" si="4"/>
        <v>0</v>
      </c>
    </row>
    <row r="29" spans="1:8" hidden="1" x14ac:dyDescent="0.25">
      <c r="A29" s="1952"/>
      <c r="B29" s="1953"/>
      <c r="C29" s="1954"/>
      <c r="D29" s="1865"/>
      <c r="E29" s="1560">
        <f t="shared" si="2"/>
        <v>0</v>
      </c>
      <c r="F29" s="1813">
        <f t="shared" si="3"/>
        <v>0</v>
      </c>
      <c r="G29" s="1814">
        <f t="shared" si="4"/>
        <v>0</v>
      </c>
    </row>
    <row r="30" spans="1:8" hidden="1" x14ac:dyDescent="0.25">
      <c r="A30" s="1952"/>
      <c r="B30" s="1953"/>
      <c r="C30" s="1954"/>
      <c r="D30" s="1865"/>
      <c r="E30" s="1560">
        <f t="shared" si="2"/>
        <v>0</v>
      </c>
      <c r="F30" s="1813">
        <f t="shared" si="3"/>
        <v>0</v>
      </c>
      <c r="G30" s="1814">
        <f t="shared" si="4"/>
        <v>0</v>
      </c>
    </row>
    <row r="31" spans="1:8" hidden="1" x14ac:dyDescent="0.25">
      <c r="A31" s="1952"/>
      <c r="B31" s="1953"/>
      <c r="C31" s="1954"/>
      <c r="D31" s="1865"/>
      <c r="E31" s="1560">
        <f t="shared" si="2"/>
        <v>0</v>
      </c>
      <c r="F31" s="1813">
        <f t="shared" si="3"/>
        <v>0</v>
      </c>
      <c r="G31" s="1814">
        <f t="shared" si="4"/>
        <v>0</v>
      </c>
    </row>
    <row r="32" spans="1:8" hidden="1" x14ac:dyDescent="0.25">
      <c r="A32" s="1952"/>
      <c r="B32" s="1953"/>
      <c r="C32" s="1954"/>
      <c r="D32" s="1865"/>
      <c r="E32" s="1560">
        <f t="shared" si="2"/>
        <v>0</v>
      </c>
      <c r="F32" s="1813">
        <f t="shared" si="3"/>
        <v>0</v>
      </c>
      <c r="G32" s="1814">
        <f t="shared" si="4"/>
        <v>0</v>
      </c>
    </row>
    <row r="33" spans="1:7" hidden="1" x14ac:dyDescent="0.25">
      <c r="A33" s="1952"/>
      <c r="B33" s="1953"/>
      <c r="C33" s="1954"/>
      <c r="D33" s="1865"/>
      <c r="E33" s="1560">
        <f t="shared" si="2"/>
        <v>0</v>
      </c>
      <c r="F33" s="1813">
        <f t="shared" si="3"/>
        <v>0</v>
      </c>
      <c r="G33" s="1814">
        <f t="shared" si="4"/>
        <v>0</v>
      </c>
    </row>
    <row r="34" spans="1:7" hidden="1" x14ac:dyDescent="0.25">
      <c r="A34" s="1952"/>
      <c r="B34" s="1953"/>
      <c r="C34" s="1954"/>
      <c r="D34" s="1865"/>
      <c r="E34" s="1560">
        <f t="shared" si="2"/>
        <v>0</v>
      </c>
      <c r="F34" s="1813">
        <f t="shared" si="3"/>
        <v>0</v>
      </c>
      <c r="G34" s="1814">
        <f t="shared" si="4"/>
        <v>0</v>
      </c>
    </row>
    <row r="35" spans="1:7" hidden="1" x14ac:dyDescent="0.25">
      <c r="A35" s="1952"/>
      <c r="B35" s="1953"/>
      <c r="C35" s="1954"/>
      <c r="D35" s="1865"/>
      <c r="E35" s="1560">
        <f t="shared" si="2"/>
        <v>0</v>
      </c>
      <c r="F35" s="1813">
        <f t="shared" si="3"/>
        <v>0</v>
      </c>
      <c r="G35" s="1814">
        <f t="shared" si="4"/>
        <v>0</v>
      </c>
    </row>
    <row r="36" spans="1:7" hidden="1" x14ac:dyDescent="0.25">
      <c r="A36" s="1952"/>
      <c r="B36" s="1953"/>
      <c r="C36" s="1954"/>
      <c r="D36" s="1865"/>
      <c r="E36" s="1560">
        <f t="shared" si="2"/>
        <v>0</v>
      </c>
      <c r="F36" s="1813">
        <f t="shared" si="3"/>
        <v>0</v>
      </c>
      <c r="G36" s="1814">
        <f t="shared" si="4"/>
        <v>0</v>
      </c>
    </row>
    <row r="37" spans="1:7" hidden="1" x14ac:dyDescent="0.25">
      <c r="A37" s="1952"/>
      <c r="B37" s="1953"/>
      <c r="C37" s="1954"/>
      <c r="D37" s="1865"/>
      <c r="E37" s="1560">
        <f t="shared" si="2"/>
        <v>0</v>
      </c>
      <c r="F37" s="1813">
        <f t="shared" si="3"/>
        <v>0</v>
      </c>
      <c r="G37" s="1814">
        <f t="shared" si="4"/>
        <v>0</v>
      </c>
    </row>
    <row r="38" spans="1:7" hidden="1" x14ac:dyDescent="0.25">
      <c r="A38" s="1952"/>
      <c r="B38" s="1955"/>
      <c r="C38" s="1954"/>
      <c r="D38" s="1865"/>
      <c r="E38" s="1560">
        <f t="shared" si="2"/>
        <v>0</v>
      </c>
      <c r="F38" s="1813">
        <f t="shared" si="3"/>
        <v>0</v>
      </c>
      <c r="G38" s="1814">
        <f t="shared" si="4"/>
        <v>0</v>
      </c>
    </row>
    <row r="39" spans="1:7" x14ac:dyDescent="0.25">
      <c r="A39" s="2044" t="s">
        <v>2102</v>
      </c>
      <c r="B39" s="2043" t="s">
        <v>2231</v>
      </c>
      <c r="C39" s="1954" t="s">
        <v>2104</v>
      </c>
      <c r="D39" s="1865">
        <v>12000</v>
      </c>
      <c r="E39" s="1560">
        <f t="shared" si="2"/>
        <v>12000</v>
      </c>
      <c r="F39" s="1813">
        <f t="shared" si="3"/>
        <v>12000</v>
      </c>
      <c r="G39" s="1814">
        <f t="shared" si="4"/>
        <v>0</v>
      </c>
    </row>
    <row r="40" spans="1:7" x14ac:dyDescent="0.25">
      <c r="A40" s="1952" t="s">
        <v>2103</v>
      </c>
      <c r="B40" s="2043" t="s">
        <v>2231</v>
      </c>
      <c r="C40" s="1954" t="s">
        <v>2104</v>
      </c>
      <c r="D40" s="1865">
        <v>7500</v>
      </c>
      <c r="E40" s="1560">
        <f t="shared" si="2"/>
        <v>7500</v>
      </c>
      <c r="F40" s="1813">
        <f t="shared" si="3"/>
        <v>7500</v>
      </c>
      <c r="G40" s="1814">
        <f t="shared" si="4"/>
        <v>0</v>
      </c>
    </row>
    <row r="41" spans="1:7" hidden="1" x14ac:dyDescent="0.25">
      <c r="A41" s="1952"/>
      <c r="B41" s="1955"/>
      <c r="C41" s="1954"/>
      <c r="D41" s="1865"/>
      <c r="E41" s="1560">
        <f t="shared" si="2"/>
        <v>0</v>
      </c>
      <c r="F41" s="1813">
        <f t="shared" si="3"/>
        <v>0</v>
      </c>
      <c r="G41" s="1814">
        <f t="shared" si="4"/>
        <v>0</v>
      </c>
    </row>
    <row r="42" spans="1:7" hidden="1" x14ac:dyDescent="0.25">
      <c r="A42" s="1952"/>
      <c r="B42" s="1955"/>
      <c r="C42" s="1954"/>
      <c r="D42" s="1865"/>
      <c r="E42" s="1560">
        <f t="shared" si="2"/>
        <v>0</v>
      </c>
      <c r="F42" s="1813">
        <f t="shared" si="3"/>
        <v>0</v>
      </c>
      <c r="G42" s="1814">
        <f t="shared" si="4"/>
        <v>0</v>
      </c>
    </row>
    <row r="43" spans="1:7" hidden="1" x14ac:dyDescent="0.25">
      <c r="A43" s="1952"/>
      <c r="B43" s="1955"/>
      <c r="C43" s="1954"/>
      <c r="D43" s="1865"/>
      <c r="E43" s="1560">
        <f t="shared" si="2"/>
        <v>0</v>
      </c>
      <c r="F43" s="1813">
        <f t="shared" si="3"/>
        <v>0</v>
      </c>
      <c r="G43" s="1814">
        <f t="shared" si="4"/>
        <v>0</v>
      </c>
    </row>
    <row r="44" spans="1:7" hidden="1" x14ac:dyDescent="0.25">
      <c r="A44" s="1952"/>
      <c r="B44" s="1955"/>
      <c r="C44" s="1954"/>
      <c r="D44" s="1865"/>
      <c r="E44" s="1560">
        <f t="shared" si="2"/>
        <v>0</v>
      </c>
      <c r="F44" s="1813">
        <f t="shared" si="3"/>
        <v>0</v>
      </c>
      <c r="G44" s="1814">
        <f t="shared" si="4"/>
        <v>0</v>
      </c>
    </row>
    <row r="45" spans="1:7" hidden="1" x14ac:dyDescent="0.25">
      <c r="A45" s="1952"/>
      <c r="B45" s="1955"/>
      <c r="C45" s="1954"/>
      <c r="D45" s="1865"/>
      <c r="E45" s="1560">
        <f t="shared" si="2"/>
        <v>0</v>
      </c>
      <c r="F45" s="1813">
        <f t="shared" si="3"/>
        <v>0</v>
      </c>
      <c r="G45" s="1814">
        <f t="shared" si="4"/>
        <v>0</v>
      </c>
    </row>
    <row r="46" spans="1:7" hidden="1" x14ac:dyDescent="0.25">
      <c r="A46" s="1952"/>
      <c r="B46" s="1955"/>
      <c r="C46" s="1954"/>
      <c r="D46" s="1865"/>
      <c r="E46" s="1560">
        <f t="shared" si="2"/>
        <v>0</v>
      </c>
      <c r="F46" s="1813">
        <f t="shared" si="3"/>
        <v>0</v>
      </c>
      <c r="G46" s="1814">
        <f t="shared" si="4"/>
        <v>0</v>
      </c>
    </row>
    <row r="47" spans="1:7" hidden="1" x14ac:dyDescent="0.25">
      <c r="A47" s="1952"/>
      <c r="B47" s="1955"/>
      <c r="C47" s="1954"/>
      <c r="D47" s="1865"/>
      <c r="E47" s="1560">
        <f t="shared" si="2"/>
        <v>0</v>
      </c>
      <c r="F47" s="1813">
        <f t="shared" si="3"/>
        <v>0</v>
      </c>
      <c r="G47" s="1814">
        <f t="shared" si="4"/>
        <v>0</v>
      </c>
    </row>
    <row r="48" spans="1:7" hidden="1" x14ac:dyDescent="0.25">
      <c r="A48" s="1952"/>
      <c r="B48" s="1955"/>
      <c r="C48" s="1954"/>
      <c r="D48" s="1865"/>
      <c r="E48" s="1560">
        <f t="shared" si="2"/>
        <v>0</v>
      </c>
      <c r="F48" s="1813">
        <f t="shared" si="3"/>
        <v>0</v>
      </c>
      <c r="G48" s="1814">
        <f t="shared" si="4"/>
        <v>0</v>
      </c>
    </row>
    <row r="49" spans="1:7" hidden="1" x14ac:dyDescent="0.25">
      <c r="A49" s="1952"/>
      <c r="B49" s="1955"/>
      <c r="C49" s="1954"/>
      <c r="D49" s="1865"/>
      <c r="E49" s="1560">
        <f t="shared" si="2"/>
        <v>0</v>
      </c>
      <c r="F49" s="1813">
        <f t="shared" si="3"/>
        <v>0</v>
      </c>
      <c r="G49" s="1814">
        <f t="shared" si="4"/>
        <v>0</v>
      </c>
    </row>
    <row r="50" spans="1:7" hidden="1" x14ac:dyDescent="0.25">
      <c r="A50" s="1952"/>
      <c r="B50" s="1955"/>
      <c r="C50" s="1954"/>
      <c r="D50" s="1865"/>
      <c r="E50" s="1560">
        <f t="shared" si="2"/>
        <v>0</v>
      </c>
      <c r="F50" s="1813">
        <f t="shared" si="3"/>
        <v>0</v>
      </c>
      <c r="G50" s="1814">
        <f t="shared" si="4"/>
        <v>0</v>
      </c>
    </row>
    <row r="51" spans="1:7" hidden="1" x14ac:dyDescent="0.25">
      <c r="A51" s="1952"/>
      <c r="B51" s="1955"/>
      <c r="C51" s="1954"/>
      <c r="D51" s="1865"/>
      <c r="E51" s="1560">
        <f t="shared" si="2"/>
        <v>0</v>
      </c>
      <c r="F51" s="1813">
        <f t="shared" si="3"/>
        <v>0</v>
      </c>
      <c r="G51" s="1814">
        <f t="shared" si="4"/>
        <v>0</v>
      </c>
    </row>
    <row r="52" spans="1:7" hidden="1" x14ac:dyDescent="0.25">
      <c r="A52" s="1952"/>
      <c r="B52" s="1955"/>
      <c r="C52" s="1954"/>
      <c r="D52" s="1865"/>
      <c r="E52" s="1560">
        <f t="shared" si="2"/>
        <v>0</v>
      </c>
      <c r="F52" s="1813">
        <f t="shared" si="3"/>
        <v>0</v>
      </c>
      <c r="G52" s="1814">
        <f t="shared" si="4"/>
        <v>0</v>
      </c>
    </row>
    <row r="53" spans="1:7" hidden="1" x14ac:dyDescent="0.25">
      <c r="A53" s="1952"/>
      <c r="B53" s="1955"/>
      <c r="C53" s="1954"/>
      <c r="D53" s="1865"/>
      <c r="E53" s="1560">
        <f t="shared" si="2"/>
        <v>0</v>
      </c>
      <c r="F53" s="1813">
        <f t="shared" si="3"/>
        <v>0</v>
      </c>
      <c r="G53" s="1814">
        <f t="shared" si="4"/>
        <v>0</v>
      </c>
    </row>
    <row r="54" spans="1:7" hidden="1" x14ac:dyDescent="0.25">
      <c r="A54" s="1952"/>
      <c r="B54" s="1955"/>
      <c r="C54" s="1954"/>
      <c r="D54" s="1865"/>
      <c r="E54" s="1560">
        <f t="shared" si="2"/>
        <v>0</v>
      </c>
      <c r="F54" s="1813">
        <f t="shared" si="3"/>
        <v>0</v>
      </c>
      <c r="G54" s="1814">
        <f t="shared" si="4"/>
        <v>0</v>
      </c>
    </row>
    <row r="55" spans="1:7" hidden="1" x14ac:dyDescent="0.25">
      <c r="A55" s="1952"/>
      <c r="B55" s="1955"/>
      <c r="C55" s="1954"/>
      <c r="D55" s="1865"/>
      <c r="E55" s="1560">
        <f t="shared" si="2"/>
        <v>0</v>
      </c>
      <c r="F55" s="1813">
        <f t="shared" si="3"/>
        <v>0</v>
      </c>
      <c r="G55" s="1814">
        <f t="shared" si="4"/>
        <v>0</v>
      </c>
    </row>
    <row r="56" spans="1:7" hidden="1" x14ac:dyDescent="0.25">
      <c r="A56" s="1952"/>
      <c r="B56" s="1955"/>
      <c r="C56" s="1954"/>
      <c r="D56" s="1865"/>
      <c r="E56" s="1560">
        <f t="shared" si="2"/>
        <v>0</v>
      </c>
      <c r="F56" s="1813">
        <f t="shared" si="3"/>
        <v>0</v>
      </c>
      <c r="G56" s="1814">
        <f t="shared" si="4"/>
        <v>0</v>
      </c>
    </row>
    <row r="57" spans="1:7" hidden="1" x14ac:dyDescent="0.25">
      <c r="A57" s="1952"/>
      <c r="B57" s="1955"/>
      <c r="C57" s="1954"/>
      <c r="D57" s="1865"/>
      <c r="E57" s="1560">
        <f t="shared" si="2"/>
        <v>0</v>
      </c>
      <c r="F57" s="1813">
        <f t="shared" si="3"/>
        <v>0</v>
      </c>
      <c r="G57" s="1814">
        <f t="shared" si="4"/>
        <v>0</v>
      </c>
    </row>
    <row r="58" spans="1:7" hidden="1" x14ac:dyDescent="0.25">
      <c r="A58" s="1952"/>
      <c r="B58" s="1955"/>
      <c r="C58" s="1954"/>
      <c r="D58" s="1865"/>
      <c r="E58" s="1560">
        <f t="shared" si="2"/>
        <v>0</v>
      </c>
      <c r="F58" s="1813">
        <f t="shared" si="3"/>
        <v>0</v>
      </c>
      <c r="G58" s="1814">
        <f t="shared" si="4"/>
        <v>0</v>
      </c>
    </row>
    <row r="59" spans="1:7" hidden="1" x14ac:dyDescent="0.25">
      <c r="A59" s="1952"/>
      <c r="B59" s="1955"/>
      <c r="C59" s="1954"/>
      <c r="D59" s="1865"/>
      <c r="E59" s="1560">
        <f t="shared" si="2"/>
        <v>0</v>
      </c>
      <c r="F59" s="1813">
        <f t="shared" si="3"/>
        <v>0</v>
      </c>
      <c r="G59" s="1814">
        <f t="shared" si="4"/>
        <v>0</v>
      </c>
    </row>
    <row r="60" spans="1:7" hidden="1" x14ac:dyDescent="0.25">
      <c r="A60" s="1952"/>
      <c r="B60" s="1955"/>
      <c r="C60" s="1954"/>
      <c r="D60" s="1865"/>
      <c r="E60" s="1560">
        <f t="shared" si="2"/>
        <v>0</v>
      </c>
      <c r="F60" s="1813">
        <f t="shared" si="3"/>
        <v>0</v>
      </c>
      <c r="G60" s="1814">
        <f t="shared" si="4"/>
        <v>0</v>
      </c>
    </row>
    <row r="61" spans="1:7" hidden="1" x14ac:dyDescent="0.25">
      <c r="A61" s="1952"/>
      <c r="B61" s="1955"/>
      <c r="C61" s="1954"/>
      <c r="D61" s="1865"/>
      <c r="E61" s="1560">
        <f t="shared" si="2"/>
        <v>0</v>
      </c>
      <c r="F61" s="1813">
        <f t="shared" si="3"/>
        <v>0</v>
      </c>
      <c r="G61" s="1814">
        <f t="shared" si="4"/>
        <v>0</v>
      </c>
    </row>
    <row r="62" spans="1:7" hidden="1" x14ac:dyDescent="0.25">
      <c r="A62" s="1952"/>
      <c r="B62" s="1955"/>
      <c r="C62" s="1954"/>
      <c r="D62" s="1865"/>
      <c r="E62" s="1560">
        <f t="shared" si="2"/>
        <v>0</v>
      </c>
      <c r="F62" s="1813">
        <f t="shared" si="3"/>
        <v>0</v>
      </c>
      <c r="G62" s="1814">
        <f t="shared" si="4"/>
        <v>0</v>
      </c>
    </row>
    <row r="63" spans="1:7" hidden="1" x14ac:dyDescent="0.25">
      <c r="A63" s="1952"/>
      <c r="B63" s="1955"/>
      <c r="C63" s="195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19500</v>
      </c>
      <c r="E141" s="1561">
        <f t="shared" si="1"/>
        <v>19500</v>
      </c>
      <c r="F141" s="1815">
        <f>SUM(F17:F140)</f>
        <v>19500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86" t="s">
        <v>1778</v>
      </c>
      <c r="B5" s="2387"/>
      <c r="C5" s="2387"/>
      <c r="D5" s="2387"/>
      <c r="E5" s="2387"/>
      <c r="F5" s="2387"/>
      <c r="G5" s="2388"/>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2073</v>
      </c>
      <c r="B10" s="970"/>
      <c r="C10" s="975"/>
      <c r="D10" s="971"/>
      <c r="E10" s="972">
        <v>166817.76</v>
      </c>
      <c r="F10" s="973"/>
      <c r="G10" s="974"/>
      <c r="H10" s="162"/>
      <c r="I10" s="162"/>
    </row>
    <row r="11" spans="1:9" s="667" customFormat="1" ht="22.5" customHeight="1" x14ac:dyDescent="0.2">
      <c r="A11" s="2391" t="s">
        <v>1943</v>
      </c>
      <c r="B11" s="2392"/>
      <c r="C11" s="2392"/>
      <c r="D11" s="2393"/>
      <c r="E11" s="976">
        <v>34980.370000000003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3393558</v>
      </c>
      <c r="F19" s="1820"/>
      <c r="G19" s="1822">
        <f>'Expenditures 15-22'!K33-SUM('Expenditures 15-22'!G33,'Expenditures 15-22'!I33)+'Expenditures 15-22'!D229</f>
        <v>3393558</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113550</v>
      </c>
      <c r="F21" s="1823"/>
      <c r="G21" s="1826">
        <f>'Expenditures 15-22'!K42-SUM('Expenditures 15-22'!G42,'Expenditures 15-22'!I42)+'Expenditures 15-22'!K120-SUM('Expenditures 15-22'!G120,'Expenditures 15-22'!I120)+'Expenditures 15-22'!K180-SUM('Expenditures 15-22'!G180,'Expenditures 15-22'!I180)+'Expenditures 15-22'!D238</f>
        <v>113550</v>
      </c>
      <c r="H21" s="986"/>
      <c r="I21" s="162"/>
    </row>
    <row r="22" spans="1:9" s="667" customFormat="1" ht="12" customHeight="1" x14ac:dyDescent="0.2">
      <c r="A22" s="993" t="s">
        <v>585</v>
      </c>
      <c r="B22" s="994"/>
      <c r="C22" s="992">
        <v>2200</v>
      </c>
      <c r="D22" s="1823"/>
      <c r="E22" s="1825">
        <f>'Expenditures 15-22'!K47-SUM('Expenditures 15-22'!G47,'Expenditures 15-22'!I47)+'Expenditures 15-22'!D243</f>
        <v>143068</v>
      </c>
      <c r="F22" s="1823"/>
      <c r="G22" s="1826">
        <f>'Expenditures 15-22'!K47-SUM('Expenditures 15-22'!G47,'Expenditures 15-22'!I47)+'Expenditures 15-22'!D243</f>
        <v>143068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312072</v>
      </c>
      <c r="F23" s="1823"/>
      <c r="G23" s="1825">
        <f>'Expenditures 15-22'!K53-SUM('Expenditures 15-22'!G53,'Expenditures 15-22'!I53)+'Expenditures 15-22'!D257+'Expenditures 15-22'!K330-SUM('Expenditures 15-22'!G330,'Expenditures 15-22'!I330)</f>
        <v>312072</v>
      </c>
      <c r="H23" s="986"/>
      <c r="I23" s="162"/>
    </row>
    <row r="24" spans="1:9" s="667" customFormat="1" ht="12" customHeight="1" x14ac:dyDescent="0.2">
      <c r="A24" s="993" t="s">
        <v>587</v>
      </c>
      <c r="B24" s="994"/>
      <c r="C24" s="992">
        <v>2400</v>
      </c>
      <c r="D24" s="1823"/>
      <c r="E24" s="1825">
        <f>'Expenditures 15-22'!K57-SUM('Expenditures 15-22'!G57,'Expenditures 15-22'!I57)+'Expenditures 15-22'!D261</f>
        <v>416032</v>
      </c>
      <c r="F24" s="1823"/>
      <c r="G24" s="1826">
        <f>'Expenditures 15-22'!K57-SUM('Expenditures 15-22'!G57,'Expenditures 15-22'!I57)+'Expenditures 15-22'!D261</f>
        <v>416032</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88001</v>
      </c>
      <c r="E27" s="1825">
        <f>E8</f>
        <v>0</v>
      </c>
      <c r="F27" s="1825">
        <f>'Expenditures 15-22'!K60-SUM('Expenditures 15-22'!G60,'Expenditures 15-22'!I60)+'Expenditures 15-22'!D264-E8</f>
        <v>88001</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343385</v>
      </c>
      <c r="F28" s="1827">
        <f>'Expenditures 15-22'!K61-SUM('Expenditures 15-22'!G61,'Expenditures 15-22'!I61)+'Expenditures 15-22'!K124-SUM('Expenditures 15-22'!G124,'Expenditures 15-22'!I124)+'Expenditures 15-22'!D266-E9</f>
        <v>343385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215267</v>
      </c>
      <c r="F29" s="1823"/>
      <c r="G29" s="1826">
        <f>'Expenditures 15-22'!K62-SUM('Expenditures 15-22'!G62,'Expenditures 15-22'!I62)+'Expenditures 15-22'!K125-SUM('Expenditures 15-22'!G125,'Expenditures 15-22'!I125)+'Expenditures 15-22'!K182-SUM('Expenditures 15-22'!G182,'Expenditures 15-22'!I182)+'Expenditures 15-22'!D267</f>
        <v>215267</v>
      </c>
      <c r="H29" s="984"/>
    </row>
    <row r="30" spans="1:9" ht="12" customHeight="1" x14ac:dyDescent="0.2">
      <c r="A30" s="993" t="s">
        <v>102</v>
      </c>
      <c r="B30" s="996"/>
      <c r="C30" s="992">
        <v>2560</v>
      </c>
      <c r="D30" s="1823"/>
      <c r="E30" s="1825">
        <f>'Expenditures 15-22'!K63-SUM('Expenditures 15-22'!G63,'Expenditures 15-22'!I63)+'Expenditures 15-22'!D268-E10</f>
        <v>183470.24</v>
      </c>
      <c r="F30" s="1823"/>
      <c r="G30" s="1825">
        <f>'Expenditures 15-22'!K63-SUM('Expenditures 15-22'!G63,'Expenditures 15-22'!I63)+'Expenditures 15-22'!D268-E10</f>
        <v>183470.24</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12961</v>
      </c>
      <c r="F39" s="1823"/>
      <c r="G39" s="1825">
        <f>'Expenditures 15-22'!K75-SUM('Expenditures 15-22'!G75,'Expenditures 15-22'!I75)+'Expenditures 15-22'!K130-SUM('Expenditures 15-22'!G130,'Expenditures 15-22'!I130)+'Expenditures 15-22'!K185-SUM('Expenditures 15-22'!G185,'Expenditures 15-22'!I185)+'Expenditures 15-22'!D280</f>
        <v>12961</v>
      </c>
    </row>
    <row r="40" spans="1:7" ht="12" customHeight="1" x14ac:dyDescent="0.2">
      <c r="A40" s="989" t="s">
        <v>1928</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88001</v>
      </c>
      <c r="E41" s="1827">
        <f>SUM(E19:E40)</f>
        <v>5133363.24</v>
      </c>
      <c r="F41" s="1827">
        <f>SUM(F19:F39)</f>
        <v>431386</v>
      </c>
      <c r="G41" s="1827">
        <f>SUM(G19:G40)</f>
        <v>4789978.24</v>
      </c>
    </row>
    <row r="42" spans="1:7" x14ac:dyDescent="0.2">
      <c r="A42" s="986"/>
      <c r="B42" s="162"/>
      <c r="C42" s="1000"/>
      <c r="D42" s="2389" t="s">
        <v>543</v>
      </c>
      <c r="E42" s="2390"/>
      <c r="F42" s="1001" t="s">
        <v>544</v>
      </c>
      <c r="G42" s="1002"/>
    </row>
    <row r="43" spans="1:7" ht="12" customHeight="1" x14ac:dyDescent="0.2">
      <c r="A43" s="986"/>
      <c r="B43" s="162"/>
      <c r="C43" s="1000"/>
      <c r="D43" s="1828" t="s">
        <v>493</v>
      </c>
      <c r="E43" s="1829">
        <f>D41</f>
        <v>88001</v>
      </c>
      <c r="F43" s="1828" t="s">
        <v>495</v>
      </c>
      <c r="G43" s="1829">
        <f>F41</f>
        <v>431386</v>
      </c>
    </row>
    <row r="44" spans="1:7" ht="12" customHeight="1" x14ac:dyDescent="0.2">
      <c r="A44" s="986"/>
      <c r="B44" s="162"/>
      <c r="C44" s="1000"/>
      <c r="D44" s="1828" t="s">
        <v>494</v>
      </c>
      <c r="E44" s="1829">
        <f>E41</f>
        <v>5133363.24</v>
      </c>
      <c r="F44" s="1828" t="s">
        <v>494</v>
      </c>
      <c r="G44" s="1829">
        <f>G41</f>
        <v>4789978.24</v>
      </c>
    </row>
    <row r="45" spans="1:7" ht="12" customHeight="1" x14ac:dyDescent="0.2">
      <c r="A45" s="986"/>
      <c r="B45" s="162"/>
      <c r="C45" s="162"/>
      <c r="D45" s="1830" t="s">
        <v>1063</v>
      </c>
      <c r="E45" s="1831">
        <f>(E43/E44)</f>
        <v>1.7142952073658436E-2</v>
      </c>
      <c r="F45" s="1830" t="s">
        <v>1063</v>
      </c>
      <c r="G45" s="1831">
        <f>(G43/G44)</f>
        <v>9.0060116849299085E-2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31" sqref="C31"/>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7109375" style="1899" bestFit="1" customWidth="1"/>
    <col min="9" max="10" width="3.42578125" style="1899" bestFit="1" customWidth="1"/>
    <col min="11" max="11" width="9" style="1899" customWidth="1"/>
    <col min="12" max="16384" width="9.140625" style="1868"/>
  </cols>
  <sheetData>
    <row r="1" spans="1:10" x14ac:dyDescent="0.2">
      <c r="A1" s="2408" t="s">
        <v>1446</v>
      </c>
      <c r="B1" s="2408"/>
      <c r="C1" s="2408"/>
      <c r="D1" s="2408"/>
      <c r="E1" s="2408"/>
      <c r="F1" s="2408"/>
    </row>
    <row r="2" spans="1:10" x14ac:dyDescent="0.2">
      <c r="A2" s="1908" t="s">
        <v>2045</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409" t="s">
        <v>1627</v>
      </c>
      <c r="B5" s="2410"/>
      <c r="C5" s="2411"/>
      <c r="D5" s="2411"/>
      <c r="E5" s="2411"/>
      <c r="F5" s="2411"/>
    </row>
    <row r="6" spans="1:10" ht="12" customHeight="1" x14ac:dyDescent="0.25">
      <c r="A6" s="1871"/>
      <c r="B6" s="1872"/>
      <c r="C6" s="2412" t="str">
        <f>COVER!A17</f>
        <v>Silvis GSD 34</v>
      </c>
      <c r="D6" s="2412"/>
      <c r="E6" s="2412"/>
      <c r="F6" s="1873"/>
    </row>
    <row r="7" spans="1:10" ht="11.25" customHeight="1" thickBot="1" x14ac:dyDescent="0.3">
      <c r="A7" s="1871"/>
      <c r="B7" s="1872"/>
      <c r="C7" s="2413">
        <f>COVER!A13</f>
        <v>49081034002</v>
      </c>
      <c r="D7" s="2413"/>
      <c r="E7" s="2413"/>
      <c r="F7" s="1873"/>
    </row>
    <row r="8" spans="1:10" ht="25.5" customHeight="1" thickBot="1" x14ac:dyDescent="0.25">
      <c r="A8" s="1914" t="s">
        <v>2022</v>
      </c>
      <c r="B8" s="1874"/>
      <c r="C8" s="1910" t="s">
        <v>1780</v>
      </c>
      <c r="D8" s="1909" t="s">
        <v>1781</v>
      </c>
      <c r="E8" s="1911" t="s">
        <v>1447</v>
      </c>
      <c r="F8" s="1909" t="s">
        <v>1782</v>
      </c>
      <c r="H8" s="1875" t="b">
        <v>0</v>
      </c>
    </row>
    <row r="9" spans="1:10" ht="15.9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t="s">
        <v>2083</v>
      </c>
      <c r="D16" s="1886" t="s">
        <v>2083</v>
      </c>
      <c r="E16" s="1889" t="s">
        <v>2083</v>
      </c>
      <c r="F16" s="1888" t="s">
        <v>2094</v>
      </c>
      <c r="H16" s="1899">
        <f t="shared" si="0"/>
        <v>5</v>
      </c>
      <c r="I16" s="1899">
        <f t="shared" si="1"/>
        <v>5</v>
      </c>
      <c r="J16" s="1899">
        <f t="shared" si="2"/>
        <v>5</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t="s">
        <v>2083</v>
      </c>
      <c r="D18" s="1886" t="s">
        <v>2083</v>
      </c>
      <c r="E18" s="1889" t="s">
        <v>2083</v>
      </c>
      <c r="F18" s="1888" t="s">
        <v>2094</v>
      </c>
      <c r="H18" s="1899">
        <f t="shared" si="0"/>
        <v>5</v>
      </c>
      <c r="I18" s="1899">
        <f t="shared" si="1"/>
        <v>5</v>
      </c>
      <c r="J18" s="1899">
        <f t="shared" si="2"/>
        <v>5</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t="s">
        <v>2083</v>
      </c>
      <c r="D25" s="1886" t="s">
        <v>2083</v>
      </c>
      <c r="E25" s="1889" t="s">
        <v>2083</v>
      </c>
      <c r="F25" s="1888" t="s">
        <v>2095</v>
      </c>
      <c r="H25" s="1899">
        <f t="shared" si="0"/>
        <v>5</v>
      </c>
      <c r="I25" s="1899">
        <f t="shared" si="1"/>
        <v>5</v>
      </c>
      <c r="J25" s="1899">
        <f t="shared" si="2"/>
        <v>5</v>
      </c>
    </row>
    <row r="26" spans="1:12" ht="12" customHeight="1" x14ac:dyDescent="0.2">
      <c r="A26" s="1884" t="s">
        <v>1615</v>
      </c>
      <c r="B26" s="1885"/>
      <c r="C26" s="1886" t="s">
        <v>2083</v>
      </c>
      <c r="D26" s="1886" t="s">
        <v>2083</v>
      </c>
      <c r="E26" s="1889" t="s">
        <v>2083</v>
      </c>
      <c r="F26" s="1888" t="s">
        <v>2096</v>
      </c>
      <c r="H26" s="1899">
        <f t="shared" si="0"/>
        <v>5</v>
      </c>
      <c r="I26" s="1899">
        <f t="shared" si="1"/>
        <v>5</v>
      </c>
      <c r="J26" s="1899">
        <f t="shared" si="2"/>
        <v>5</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2083</v>
      </c>
      <c r="D28" s="1886" t="s">
        <v>2083</v>
      </c>
      <c r="E28" s="1889" t="s">
        <v>2083</v>
      </c>
      <c r="F28" s="1888" t="s">
        <v>2097</v>
      </c>
      <c r="H28" s="1899">
        <f t="shared" si="0"/>
        <v>5</v>
      </c>
      <c r="I28" s="1899">
        <f t="shared" si="1"/>
        <v>5</v>
      </c>
      <c r="J28" s="1899">
        <f t="shared" si="2"/>
        <v>5</v>
      </c>
    </row>
    <row r="29" spans="1:12" ht="12" customHeight="1" x14ac:dyDescent="0.2">
      <c r="A29" s="1884" t="s">
        <v>1618</v>
      </c>
      <c r="B29" s="1885"/>
      <c r="C29" s="1886" t="s">
        <v>2083</v>
      </c>
      <c r="D29" s="1886"/>
      <c r="E29" s="1889"/>
      <c r="F29" s="1888" t="s">
        <v>2094</v>
      </c>
      <c r="H29" s="1899">
        <f t="shared" si="0"/>
        <v>5</v>
      </c>
      <c r="I29" s="1899">
        <f t="shared" si="1"/>
        <v>0</v>
      </c>
      <c r="J29" s="1899">
        <f t="shared" si="2"/>
        <v>0</v>
      </c>
    </row>
    <row r="30" spans="1:12" ht="12" customHeight="1" x14ac:dyDescent="0.2">
      <c r="A30" s="1884" t="s">
        <v>1619</v>
      </c>
      <c r="B30" s="1885"/>
      <c r="C30" s="1886" t="s">
        <v>2083</v>
      </c>
      <c r="D30" s="1886" t="s">
        <v>2083</v>
      </c>
      <c r="E30" s="1889" t="s">
        <v>2083</v>
      </c>
      <c r="F30" s="1888" t="s">
        <v>2098</v>
      </c>
      <c r="H30" s="1899">
        <f t="shared" si="0"/>
        <v>5</v>
      </c>
      <c r="I30" s="1899">
        <f t="shared" si="1"/>
        <v>5</v>
      </c>
      <c r="J30" s="1899">
        <f t="shared" si="2"/>
        <v>5</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35</v>
      </c>
      <c r="I34" s="1899">
        <f>SUM(I11:I32)</f>
        <v>30</v>
      </c>
      <c r="J34" s="1899">
        <f>SUM(J11:J32)</f>
        <v>30</v>
      </c>
      <c r="K34" s="1899">
        <f>SUM(H34:J34)</f>
        <v>95</v>
      </c>
    </row>
    <row r="35" spans="1:11" ht="12" customHeight="1" x14ac:dyDescent="0.2">
      <c r="A35" s="1892" t="s">
        <v>1459</v>
      </c>
      <c r="B35" s="1893"/>
      <c r="C35" s="2414"/>
      <c r="D35" s="2414"/>
      <c r="E35" s="2414"/>
      <c r="F35" s="2415"/>
    </row>
    <row r="36" spans="1:11" ht="12" customHeight="1" x14ac:dyDescent="0.2">
      <c r="A36" s="2397"/>
      <c r="B36" s="2398"/>
      <c r="C36" s="2398"/>
      <c r="D36" s="2398"/>
      <c r="E36" s="2398"/>
      <c r="F36" s="2399"/>
    </row>
    <row r="37" spans="1:11" ht="12" customHeight="1" x14ac:dyDescent="0.2">
      <c r="A37" s="2397"/>
      <c r="B37" s="2398"/>
      <c r="C37" s="2398"/>
      <c r="D37" s="2398"/>
      <c r="E37" s="2398"/>
      <c r="F37" s="2399"/>
    </row>
    <row r="38" spans="1:11" ht="12" customHeight="1" x14ac:dyDescent="0.2">
      <c r="A38" s="2400"/>
      <c r="B38" s="2401"/>
      <c r="C38" s="2401"/>
      <c r="D38" s="2401"/>
      <c r="E38" s="2401"/>
      <c r="F38" s="2402"/>
    </row>
    <row r="39" spans="1:11" ht="4.5" hidden="1" customHeight="1" x14ac:dyDescent="0.2">
      <c r="A39" s="1894"/>
      <c r="B39" s="1894"/>
      <c r="C39" s="1894"/>
      <c r="D39" s="1894"/>
      <c r="E39" s="1894"/>
      <c r="F39" s="1894"/>
    </row>
    <row r="40" spans="1:11" s="1891" customFormat="1" ht="12" customHeight="1" x14ac:dyDescent="0.25">
      <c r="A40" s="1895" t="s">
        <v>1458</v>
      </c>
      <c r="B40" s="1896"/>
      <c r="C40" s="2403"/>
      <c r="D40" s="2403"/>
      <c r="E40" s="2403"/>
      <c r="F40" s="2404"/>
      <c r="H40" s="1900"/>
      <c r="I40" s="1900"/>
      <c r="J40" s="1900"/>
      <c r="K40" s="1900"/>
    </row>
    <row r="41" spans="1:11" s="1891" customFormat="1" ht="12" customHeight="1" x14ac:dyDescent="0.25">
      <c r="A41" s="2405"/>
      <c r="B41" s="2406"/>
      <c r="C41" s="2406"/>
      <c r="D41" s="2406"/>
      <c r="E41" s="2406"/>
      <c r="F41" s="2407"/>
      <c r="H41" s="1900"/>
      <c r="I41" s="1900"/>
      <c r="J41" s="1900"/>
      <c r="K41" s="1900"/>
    </row>
    <row r="42" spans="1:11" s="1891" customFormat="1" ht="12" customHeight="1" x14ac:dyDescent="0.25">
      <c r="A42" s="2405"/>
      <c r="B42" s="2406"/>
      <c r="C42" s="2406"/>
      <c r="D42" s="2406"/>
      <c r="E42" s="2406"/>
      <c r="F42" s="2407"/>
      <c r="H42" s="1900"/>
      <c r="I42" s="1900"/>
      <c r="J42" s="1900"/>
      <c r="K42" s="1900"/>
    </row>
    <row r="43" spans="1:11" s="1891" customFormat="1" ht="15" x14ac:dyDescent="0.25">
      <c r="A43" s="2394"/>
      <c r="B43" s="2395"/>
      <c r="C43" s="2395"/>
      <c r="D43" s="2395"/>
      <c r="E43" s="2395"/>
      <c r="F43" s="2396"/>
      <c r="H43" s="1900"/>
      <c r="I43" s="1900"/>
      <c r="J43" s="1900"/>
      <c r="K43" s="1900"/>
    </row>
    <row r="44" spans="1:11" s="1891" customFormat="1" ht="12" hidden="1" customHeight="1" x14ac:dyDescent="0.25">
      <c r="A44" s="2394"/>
      <c r="B44" s="2395"/>
      <c r="C44" s="2395"/>
      <c r="D44" s="2395"/>
      <c r="E44" s="2395"/>
      <c r="F44" s="2396"/>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5" t="s">
        <v>693</v>
      </c>
      <c r="B6" s="1662"/>
      <c r="C6" s="1662"/>
      <c r="D6" s="1662"/>
      <c r="E6" s="1663"/>
      <c r="F6" s="1014"/>
      <c r="G6" s="1008"/>
      <c r="H6" s="1015" t="s">
        <v>1086</v>
      </c>
      <c r="I6" s="2421" t="str">
        <f>COVER!A17</f>
        <v>Silvis GSD 34</v>
      </c>
      <c r="J6" s="2422"/>
      <c r="Q6" s="1684"/>
    </row>
    <row r="7" spans="1:17" x14ac:dyDescent="0.2">
      <c r="A7" s="2423" t="s">
        <v>924</v>
      </c>
      <c r="B7" s="2424"/>
      <c r="C7" s="2424"/>
      <c r="D7" s="2424"/>
      <c r="E7" s="2425"/>
      <c r="F7" s="1016"/>
      <c r="G7" s="1008"/>
      <c r="H7" s="1015" t="s">
        <v>390</v>
      </c>
      <c r="I7" s="2426">
        <f>COVER!A13</f>
        <v>49081034002</v>
      </c>
      <c r="J7" s="2426"/>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6" t="s">
        <v>1701</v>
      </c>
      <c r="F9" s="1022"/>
      <c r="G9" s="1022"/>
      <c r="H9" s="1917"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27" t="s">
        <v>502</v>
      </c>
      <c r="B11" s="2428"/>
      <c r="C11" s="242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160195</v>
      </c>
      <c r="F12" s="1038"/>
      <c r="G12" s="1832">
        <f t="shared" ref="G12:G18" si="0">SUM(E12:F12)</f>
        <v>160195</v>
      </c>
      <c r="H12" s="1039">
        <v>177815</v>
      </c>
      <c r="I12" s="1038"/>
      <c r="J12" s="1832">
        <f t="shared" ref="J12:J18" si="1">SUM(H12:I12)</f>
        <v>177815</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430" t="s">
        <v>7</v>
      </c>
      <c r="C18" s="2431"/>
      <c r="D18" s="2432"/>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160195</v>
      </c>
      <c r="F19" s="1834">
        <f t="shared" si="2"/>
        <v>0</v>
      </c>
      <c r="G19" s="1834">
        <f t="shared" si="2"/>
        <v>160195</v>
      </c>
      <c r="H19" s="1834">
        <f t="shared" si="2"/>
        <v>177815</v>
      </c>
      <c r="I19" s="1834">
        <f t="shared" si="2"/>
        <v>0</v>
      </c>
      <c r="J19" s="1834">
        <f t="shared" si="2"/>
        <v>177815</v>
      </c>
    </row>
    <row r="20" spans="1:10" ht="13.5" thickTop="1" x14ac:dyDescent="0.2">
      <c r="A20" s="1034">
        <v>9</v>
      </c>
      <c r="B20" s="2433" t="s">
        <v>1703</v>
      </c>
      <c r="C20" s="2433"/>
      <c r="D20" s="2434"/>
      <c r="E20" s="1045"/>
      <c r="F20" s="1045"/>
      <c r="G20" s="1045"/>
      <c r="H20" s="1045"/>
      <c r="I20" s="1045"/>
      <c r="J20" s="1835">
        <f>IF(AND(G19&gt;0,J19&gt;0),(((J19-G19)/G19)),"Enter Budget Data")</f>
        <v>0.10999094853147726</v>
      </c>
    </row>
    <row r="21" spans="1:10" ht="9.1999999999999993"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39"/>
      <c r="D26" s="2439"/>
      <c r="E26" s="1049"/>
      <c r="F26" s="2438"/>
      <c r="G26" s="2438"/>
    </row>
    <row r="27" spans="1:10" x14ac:dyDescent="0.2">
      <c r="B27" s="1046"/>
      <c r="C27" s="1050" t="s">
        <v>1093</v>
      </c>
      <c r="D27" s="1051"/>
      <c r="E27" s="1052"/>
      <c r="F27" s="2435" t="s">
        <v>1589</v>
      </c>
      <c r="G27" s="2435"/>
    </row>
    <row r="28" spans="1:10" ht="28.5" customHeight="1" x14ac:dyDescent="0.2">
      <c r="B28" s="1046"/>
      <c r="C28" s="2437"/>
      <c r="D28" s="2437"/>
      <c r="E28" s="1053"/>
      <c r="F28" s="2437"/>
      <c r="G28" s="2437"/>
    </row>
    <row r="29" spans="1:10" x14ac:dyDescent="0.2">
      <c r="B29" s="1046"/>
      <c r="C29" s="1054" t="s">
        <v>1642</v>
      </c>
      <c r="E29" s="1055"/>
      <c r="F29" s="2436" t="s">
        <v>1590</v>
      </c>
      <c r="G29" s="2436"/>
    </row>
    <row r="30" spans="1:10" ht="9.1999999999999993" customHeight="1" x14ac:dyDescent="0.2">
      <c r="B30" s="1046"/>
      <c r="C30" s="1056"/>
      <c r="E30" s="1057"/>
      <c r="F30" s="1058"/>
      <c r="G30" s="1058"/>
    </row>
    <row r="31" spans="1:10" ht="15" customHeight="1" x14ac:dyDescent="0.2">
      <c r="A31" s="1010"/>
      <c r="B31" s="1059" t="s">
        <v>1094</v>
      </c>
    </row>
    <row r="32" spans="1:10" ht="9.1999999999999993" customHeight="1" x14ac:dyDescent="0.2">
      <c r="A32" s="1010"/>
      <c r="B32" s="1047"/>
    </row>
    <row r="33" spans="1:10" ht="12.75" customHeight="1" x14ac:dyDescent="0.2">
      <c r="A33" s="1010"/>
      <c r="B33" s="1060" t="s">
        <v>2083</v>
      </c>
      <c r="C33" s="2418" t="s">
        <v>134</v>
      </c>
      <c r="D33" s="2419"/>
      <c r="E33" s="2419"/>
      <c r="F33" s="2419"/>
      <c r="G33" s="2419"/>
      <c r="H33" s="2419"/>
      <c r="I33" s="2419"/>
    </row>
    <row r="34" spans="1:10" ht="10.35" customHeight="1" x14ac:dyDescent="0.2">
      <c r="C34" s="2419"/>
      <c r="D34" s="2419"/>
      <c r="E34" s="2419"/>
      <c r="F34" s="2419"/>
      <c r="G34" s="2419"/>
      <c r="H34" s="2419"/>
      <c r="I34" s="2419"/>
    </row>
    <row r="35" spans="1:10" ht="7.5" customHeight="1" x14ac:dyDescent="0.2">
      <c r="C35" s="1061"/>
    </row>
    <row r="36" spans="1:10" ht="13.5" customHeight="1" x14ac:dyDescent="0.2">
      <c r="B36" s="1060"/>
      <c r="C36" s="2420" t="s">
        <v>1942</v>
      </c>
      <c r="D36" s="2419"/>
      <c r="E36" s="2419"/>
      <c r="F36" s="2419"/>
      <c r="G36" s="2419"/>
      <c r="H36" s="2419"/>
      <c r="I36" s="2419"/>
      <c r="J36" s="1062"/>
    </row>
    <row r="37" spans="1:10" ht="22.5" customHeight="1" x14ac:dyDescent="0.2">
      <c r="C37" s="2419"/>
      <c r="D37" s="2419"/>
      <c r="E37" s="2419"/>
      <c r="F37" s="2419"/>
      <c r="G37" s="2419"/>
      <c r="H37" s="2419"/>
      <c r="I37" s="2419"/>
      <c r="J37" s="1062"/>
    </row>
    <row r="38" spans="1:10" ht="7.5" customHeight="1" x14ac:dyDescent="0.2">
      <c r="C38" s="1061"/>
      <c r="D38" s="1063"/>
      <c r="E38" s="1064"/>
      <c r="F38" s="1065"/>
      <c r="G38" s="1064"/>
    </row>
    <row r="39" spans="1:10" ht="13.5" customHeight="1" x14ac:dyDescent="0.2">
      <c r="B39" s="1060"/>
      <c r="C39" s="2416" t="s">
        <v>937</v>
      </c>
      <c r="D39" s="2417"/>
      <c r="E39" s="2417"/>
      <c r="F39" s="2417"/>
      <c r="G39" s="2417"/>
      <c r="H39" s="2417"/>
      <c r="I39" s="241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2216</v>
      </c>
    </row>
    <row r="6" spans="1:2" x14ac:dyDescent="0.2">
      <c r="A6" s="1067">
        <v>2</v>
      </c>
      <c r="B6" s="329" t="s">
        <v>2217</v>
      </c>
    </row>
    <row r="7" spans="1:2" x14ac:dyDescent="0.2">
      <c r="A7" s="1067">
        <v>3</v>
      </c>
      <c r="B7" s="329" t="s">
        <v>2218</v>
      </c>
    </row>
    <row r="8" spans="1:2" x14ac:dyDescent="0.2">
      <c r="A8" s="1067">
        <v>4</v>
      </c>
      <c r="B8" s="329" t="s">
        <v>2219</v>
      </c>
    </row>
    <row r="9" spans="1:2" x14ac:dyDescent="0.2">
      <c r="A9" s="1067">
        <v>5</v>
      </c>
      <c r="B9" s="329" t="s">
        <v>2220</v>
      </c>
    </row>
    <row r="10" spans="1:2" x14ac:dyDescent="0.2">
      <c r="A10" s="1067"/>
      <c r="B10" s="2042" t="s">
        <v>2223</v>
      </c>
    </row>
    <row r="11" spans="1:2" x14ac:dyDescent="0.2">
      <c r="A11" s="1067"/>
      <c r="B11" s="2042" t="s">
        <v>2221</v>
      </c>
    </row>
    <row r="12" spans="1:2" x14ac:dyDescent="0.2">
      <c r="A12" s="1067"/>
      <c r="B12" s="2042" t="s">
        <v>2222</v>
      </c>
    </row>
    <row r="13" spans="1:2" x14ac:dyDescent="0.2">
      <c r="A13" s="1067">
        <v>6</v>
      </c>
      <c r="B13" s="329" t="s">
        <v>2224</v>
      </c>
    </row>
    <row r="14" spans="1:2" x14ac:dyDescent="0.2">
      <c r="A14" s="1067">
        <v>7</v>
      </c>
      <c r="B14" s="329" t="s">
        <v>2225</v>
      </c>
    </row>
    <row r="15" spans="1:2" x14ac:dyDescent="0.2">
      <c r="A15" s="1067">
        <v>8</v>
      </c>
      <c r="B15" s="329" t="s">
        <v>2226</v>
      </c>
    </row>
    <row r="16" spans="1:2" x14ac:dyDescent="0.2">
      <c r="A16" s="1067">
        <v>9</v>
      </c>
      <c r="B16" s="329" t="s">
        <v>2227</v>
      </c>
    </row>
    <row r="17" spans="1:2" x14ac:dyDescent="0.2">
      <c r="A17" s="1067">
        <v>10</v>
      </c>
      <c r="B17" s="329" t="s">
        <v>2228</v>
      </c>
    </row>
    <row r="18" spans="1:2" x14ac:dyDescent="0.2">
      <c r="A18" s="1067"/>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hidden="1" x14ac:dyDescent="0.2">
      <c r="A61" s="1068"/>
    </row>
    <row r="62" spans="1:2" hidden="1" x14ac:dyDescent="0.2">
      <c r="A62" s="1068"/>
    </row>
    <row r="63" spans="1:2" hidden="1" x14ac:dyDescent="0.2">
      <c r="A63" s="1068"/>
    </row>
    <row r="64" spans="1:2" x14ac:dyDescent="0.2">
      <c r="A64" s="1068"/>
      <c r="B64" s="258" t="str">
        <f>COVER!A17</f>
        <v>Silvis GSD 34</v>
      </c>
    </row>
    <row r="65" spans="2:2" x14ac:dyDescent="0.2">
      <c r="B65" s="1069">
        <f>COVER!A13</f>
        <v>49081034002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2" customHeight="1" x14ac:dyDescent="0.2">
      <c r="A16" s="1072"/>
      <c r="B16" s="1072" t="s">
        <v>1783</v>
      </c>
    </row>
    <row r="17" spans="1:2" ht="6" customHeight="1" x14ac:dyDescent="0.2"/>
    <row r="18" spans="1:2" ht="24.75" customHeight="1" x14ac:dyDescent="0.2">
      <c r="A18" s="2440" t="s">
        <v>1784</v>
      </c>
      <c r="B18" s="24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41" t="s">
        <v>1790</v>
      </c>
      <c r="B1" s="2442"/>
      <c r="C1" s="2442"/>
      <c r="D1" s="2442"/>
      <c r="E1" s="2442"/>
      <c r="F1" s="2443"/>
    </row>
    <row r="2" spans="1:8" ht="45.2" customHeight="1" x14ac:dyDescent="0.2">
      <c r="A2" s="2451" t="s">
        <v>1791</v>
      </c>
      <c r="B2" s="2452"/>
      <c r="C2" s="2452"/>
      <c r="D2" s="2452"/>
      <c r="E2" s="2452"/>
      <c r="F2" s="2453"/>
      <c r="G2" s="1073"/>
      <c r="H2" s="1073"/>
    </row>
    <row r="3" spans="1:8" ht="57" customHeight="1" x14ac:dyDescent="0.2">
      <c r="A3" s="2454" t="s">
        <v>1786</v>
      </c>
      <c r="B3" s="2455"/>
      <c r="C3" s="2455"/>
      <c r="D3" s="2455"/>
      <c r="E3" s="2455"/>
      <c r="F3" s="2456"/>
      <c r="G3" s="1073"/>
      <c r="H3" s="1073"/>
    </row>
    <row r="4" spans="1:8" ht="14.25" customHeight="1" x14ac:dyDescent="0.2">
      <c r="A4" s="2460" t="s">
        <v>2053</v>
      </c>
      <c r="B4" s="2461"/>
      <c r="C4" s="2461"/>
      <c r="D4" s="2461"/>
      <c r="E4" s="2461"/>
      <c r="F4" s="2462"/>
      <c r="G4" s="1073"/>
      <c r="H4" s="1073"/>
    </row>
    <row r="5" spans="1:8" ht="14.25" customHeight="1" x14ac:dyDescent="0.2">
      <c r="A5" s="2463" t="s">
        <v>2054</v>
      </c>
      <c r="B5" s="2464"/>
      <c r="C5" s="2464"/>
      <c r="D5" s="2464"/>
      <c r="E5" s="2464"/>
      <c r="F5" s="2465"/>
      <c r="G5" s="1073"/>
      <c r="H5" s="1073"/>
    </row>
    <row r="6" spans="1:8" s="1074" customFormat="1" ht="41.45" customHeight="1" x14ac:dyDescent="0.2">
      <c r="A6" s="2457" t="s">
        <v>1792</v>
      </c>
      <c r="B6" s="2458"/>
      <c r="C6" s="2458"/>
      <c r="D6" s="2458"/>
      <c r="E6" s="2458"/>
      <c r="F6" s="245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6073532</v>
      </c>
      <c r="C8" s="1836">
        <f>'Acct Summary 7-8'!D8</f>
        <v>297365</v>
      </c>
      <c r="D8" s="1836">
        <f>'Acct Summary 7-8'!F8</f>
        <v>353091</v>
      </c>
      <c r="E8" s="1836">
        <f>'Acct Summary 7-8'!I8</f>
        <v>44544</v>
      </c>
      <c r="F8" s="1836">
        <f>SUM(B8:E8)</f>
        <v>6768532</v>
      </c>
    </row>
    <row r="9" spans="1:8" s="1078" customFormat="1" ht="14.25" customHeight="1" thickBot="1" x14ac:dyDescent="0.25">
      <c r="A9" s="1077" t="s">
        <v>1436</v>
      </c>
      <c r="B9" s="1837">
        <f>'Acct Summary 7-8'!C17</f>
        <v>5285573</v>
      </c>
      <c r="C9" s="1837">
        <f>'Acct Summary 7-8'!D17</f>
        <v>248372</v>
      </c>
      <c r="D9" s="1837">
        <f>'Acct Summary 7-8'!F17</f>
        <v>266882</v>
      </c>
      <c r="E9" s="1836"/>
      <c r="F9" s="1836">
        <f>SUM(B9:E9)</f>
        <v>5800827</v>
      </c>
    </row>
    <row r="10" spans="1:8" s="1078" customFormat="1" ht="14.25" thickTop="1" thickBot="1" x14ac:dyDescent="0.25">
      <c r="A10" s="1079" t="s">
        <v>1437</v>
      </c>
      <c r="B10" s="1838">
        <f>(B8-B9)</f>
        <v>787959</v>
      </c>
      <c r="C10" s="1838">
        <f>(C8-C9)</f>
        <v>48993</v>
      </c>
      <c r="D10" s="1838">
        <f>(D8-D9)</f>
        <v>86209</v>
      </c>
      <c r="E10" s="1837">
        <f>(E8-E9)</f>
        <v>44544</v>
      </c>
      <c r="F10" s="1839">
        <f>SUM(F8-F9)</f>
        <v>967705</v>
      </c>
    </row>
    <row r="11" spans="1:8" s="1078" customFormat="1" ht="14.25" thickTop="1" thickBot="1" x14ac:dyDescent="0.25">
      <c r="A11" s="1080" t="s">
        <v>1785</v>
      </c>
      <c r="B11" s="1840">
        <f>'Acct Summary 7-8'!C81</f>
        <v>5093677</v>
      </c>
      <c r="C11" s="1840">
        <f>'Acct Summary 7-8'!D81</f>
        <v>1902735</v>
      </c>
      <c r="D11" s="1840">
        <f>'Acct Summary 7-8'!F81</f>
        <v>397486</v>
      </c>
      <c r="E11" s="1840">
        <f>'Acct Summary 7-8'!I81</f>
        <v>598975</v>
      </c>
      <c r="F11" s="1841">
        <f>SUM(B11:E11)</f>
        <v>7992873</v>
      </c>
    </row>
    <row r="12" spans="1:8" ht="16.5" customHeight="1" thickTop="1" x14ac:dyDescent="0.2">
      <c r="A12" s="1081"/>
      <c r="B12" s="1082"/>
      <c r="C12" s="2445" t="str">
        <f>IF(AND(F10&lt;0,F11&gt;=0,ABS(F10*3)&gt;ABS(F11)),A16,IF(AND(F10&lt;0,F11&gt;0,ABS(F10*3)&lt;=ABS(F11)),A17,IF(AND(F10&lt;0,F11&lt;0),A16,IF(F11=0,A19,A18))))</f>
        <v>Balanced - no deficit reduction plan is required.</v>
      </c>
      <c r="D12" s="2446"/>
      <c r="E12" s="2446"/>
      <c r="F12" s="2447"/>
    </row>
    <row r="13" spans="1:8" ht="19.7" customHeight="1" x14ac:dyDescent="0.2">
      <c r="A13" s="1083"/>
      <c r="B13" s="1084"/>
      <c r="C13" s="2445"/>
      <c r="D13" s="2446"/>
      <c r="E13" s="2446"/>
      <c r="F13" s="2447"/>
      <c r="H13" s="1073"/>
    </row>
    <row r="14" spans="1:8" ht="19.7" customHeight="1" x14ac:dyDescent="0.2">
      <c r="A14" s="1083"/>
      <c r="B14" s="1084"/>
      <c r="C14" s="2445"/>
      <c r="D14" s="2446"/>
      <c r="E14" s="2446"/>
      <c r="F14" s="2447"/>
      <c r="H14" s="1073"/>
    </row>
    <row r="15" spans="1:8" ht="17.25" customHeight="1" x14ac:dyDescent="0.2">
      <c r="A15" s="1083"/>
      <c r="B15" s="1084"/>
      <c r="C15" s="2448"/>
      <c r="D15" s="2449"/>
      <c r="E15" s="2449"/>
      <c r="F15" s="2450"/>
      <c r="H15" s="1073"/>
    </row>
    <row r="16" spans="1:8" s="310" customFormat="1" ht="51.95" hidden="1" customHeight="1" x14ac:dyDescent="0.2">
      <c r="A16" s="2444" t="s">
        <v>1787</v>
      </c>
      <c r="B16" s="2444"/>
      <c r="C16" s="2444"/>
      <c r="D16" s="2444"/>
      <c r="E16" s="244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scale="75"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466" t="s">
        <v>686</v>
      </c>
      <c r="B3" s="2467"/>
      <c r="C3" s="2467"/>
      <c r="D3" s="2468"/>
    </row>
    <row r="4" spans="1:4" x14ac:dyDescent="0.2">
      <c r="A4" s="1151" t="s">
        <v>1793</v>
      </c>
      <c r="B4" s="1152"/>
      <c r="C4" s="1153"/>
      <c r="D4" s="1154"/>
    </row>
    <row r="5" spans="1:4" ht="21" customHeight="1" x14ac:dyDescent="0.2">
      <c r="A5" s="1147"/>
      <c r="B5" s="1148">
        <v>1</v>
      </c>
      <c r="C5" s="1149" t="s">
        <v>1944</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477" t="s">
        <v>1584</v>
      </c>
      <c r="D7" s="2478"/>
    </row>
    <row r="8" spans="1:4" s="667" customFormat="1" ht="12.75" x14ac:dyDescent="0.2">
      <c r="A8" s="1137"/>
      <c r="B8" s="1092"/>
      <c r="C8" s="1095" t="s">
        <v>1583</v>
      </c>
      <c r="D8" s="1096"/>
    </row>
    <row r="9" spans="1:4" s="667" customFormat="1" ht="14.25" customHeight="1" x14ac:dyDescent="0.2">
      <c r="A9" s="1137"/>
      <c r="B9" s="1092">
        <f>B7+1</f>
        <v>4</v>
      </c>
      <c r="C9" s="1093" t="s">
        <v>2046</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469" t="s">
        <v>1065</v>
      </c>
      <c r="B15" s="2470"/>
      <c r="C15" s="2470"/>
      <c r="D15" s="2471"/>
    </row>
    <row r="16" spans="1:4" s="667" customFormat="1" ht="24" customHeight="1" x14ac:dyDescent="0.2">
      <c r="A16" s="2472" t="s">
        <v>684</v>
      </c>
      <c r="B16" s="2473"/>
      <c r="C16" s="2473"/>
      <c r="D16" s="247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81" t="s">
        <v>332</v>
      </c>
      <c r="D21" s="2482"/>
    </row>
    <row r="22" spans="1:10" ht="12.75" x14ac:dyDescent="0.2">
      <c r="A22" s="1138"/>
      <c r="B22" s="1139">
        <v>2</v>
      </c>
      <c r="C22" s="2479" t="s">
        <v>1605</v>
      </c>
      <c r="D22" s="248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83" t="s">
        <v>557</v>
      </c>
      <c r="D43" s="248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75" t="s">
        <v>817</v>
      </c>
      <c r="D56" s="247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OK</v>
      </c>
    </row>
    <row r="70" spans="1:4" x14ac:dyDescent="0.2">
      <c r="A70" s="1097"/>
      <c r="B70" s="1119">
        <f>B66+1</f>
        <v>9</v>
      </c>
      <c r="C70" s="2475" t="s">
        <v>1797</v>
      </c>
      <c r="D70" s="247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49081034002</v>
      </c>
    </row>
    <row r="3" spans="1:2" x14ac:dyDescent="0.2">
      <c r="A3" t="s">
        <v>1013</v>
      </c>
      <c r="B3" s="138" t="str">
        <f>COVER!A15</f>
        <v>Rock Island</v>
      </c>
    </row>
    <row r="4" spans="1:2" x14ac:dyDescent="0.2">
      <c r="A4" t="s">
        <v>1064</v>
      </c>
      <c r="B4" s="138" t="str">
        <f>COVER!A17</f>
        <v>Silvis GSD 34</v>
      </c>
    </row>
    <row r="5" spans="1:2" x14ac:dyDescent="0.2">
      <c r="A5" t="s">
        <v>728</v>
      </c>
      <c r="B5" s="138" t="str">
        <f>COVER!A38</f>
        <v>Terri Vandewiele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182708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5094259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582</v>
      </c>
      <c r="C91" s="2" t="s">
        <v>594</v>
      </c>
      <c r="D91" s="2" t="str">
        <f t="shared" si="0"/>
        <v>Error?</v>
      </c>
    </row>
    <row r="92" spans="1:4" x14ac:dyDescent="0.2">
      <c r="A92" s="5">
        <v>31</v>
      </c>
      <c r="B92" s="138">
        <f>'Assets-Liab 5-6'!C39</f>
        <v>5039693</v>
      </c>
      <c r="D92" s="2" t="str">
        <f t="shared" si="0"/>
        <v>Error?</v>
      </c>
    </row>
    <row r="93" spans="1:4" x14ac:dyDescent="0.2">
      <c r="A93" s="5">
        <v>32</v>
      </c>
      <c r="B93" s="138">
        <f>'Assets-Liab 5-6'!C41</f>
        <v>5094259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1902735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1902735</v>
      </c>
      <c r="D123" s="2" t="str">
        <f t="shared" si="0"/>
        <v>Error?</v>
      </c>
    </row>
    <row r="124" spans="1:4" x14ac:dyDescent="0.2">
      <c r="A124" s="5">
        <v>63</v>
      </c>
      <c r="B124" s="138">
        <f>'Assets-Liab 5-6'!D41</f>
        <v>1902735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191954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191954</v>
      </c>
      <c r="D140" s="2" t="str">
        <f t="shared" si="1"/>
        <v>Error?</v>
      </c>
    </row>
    <row r="141" spans="1:4" x14ac:dyDescent="0.2">
      <c r="A141" s="5">
        <v>80</v>
      </c>
      <c r="B141" s="138">
        <f>'Assets-Liab 5-6'!E41</f>
        <v>191954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397486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397486</v>
      </c>
      <c r="D170" s="2" t="str">
        <f t="shared" si="1"/>
        <v>Error?</v>
      </c>
    </row>
    <row r="171" spans="1:4" x14ac:dyDescent="0.2">
      <c r="A171" s="5">
        <v>110</v>
      </c>
      <c r="B171" s="138">
        <f>'Assets-Liab 5-6'!F41</f>
        <v>397486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38786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221266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65591</v>
      </c>
      <c r="D189" s="2" t="str">
        <f t="shared" si="1"/>
        <v>Error?</v>
      </c>
    </row>
    <row r="190" spans="1:4" x14ac:dyDescent="0.2">
      <c r="A190" s="5">
        <v>129</v>
      </c>
      <c r="B190" s="138">
        <f>'Assets-Liab 5-6'!G41</f>
        <v>221266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223622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223622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988388</v>
      </c>
      <c r="D273" s="2" t="str">
        <f t="shared" si="3"/>
        <v>Error?</v>
      </c>
    </row>
    <row r="274" spans="1:4" x14ac:dyDescent="0.2">
      <c r="A274" s="5">
        <v>213</v>
      </c>
      <c r="B274" s="138">
        <f>'Assets-Liab 5-6'!M17</f>
        <v>19949067</v>
      </c>
      <c r="D274" s="2" t="str">
        <f t="shared" si="3"/>
        <v>Error?</v>
      </c>
    </row>
    <row r="275" spans="1:4" x14ac:dyDescent="0.2">
      <c r="A275" s="5">
        <v>214</v>
      </c>
      <c r="B275" s="138">
        <f>'Assets-Liab 5-6'!M18</f>
        <v>1263929</v>
      </c>
      <c r="D275" s="2" t="str">
        <f t="shared" si="3"/>
        <v>Error?</v>
      </c>
    </row>
    <row r="276" spans="1:4" x14ac:dyDescent="0.2">
      <c r="A276" s="5">
        <v>215</v>
      </c>
      <c r="B276" s="138">
        <f>'Assets-Liab 5-6'!M19</f>
        <v>767906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22969290</v>
      </c>
      <c r="C279" s="2" t="s">
        <v>594</v>
      </c>
      <c r="D279" s="2" t="str">
        <f t="shared" si="3"/>
        <v>Error?</v>
      </c>
    </row>
    <row r="280" spans="1:4" x14ac:dyDescent="0.2">
      <c r="A280" s="5">
        <v>219</v>
      </c>
      <c r="B280" s="138">
        <f>'Assets-Liab 5-6'!M40</f>
        <v>22969290</v>
      </c>
      <c r="D280" s="2" t="str">
        <f t="shared" si="3"/>
        <v>Error?</v>
      </c>
    </row>
    <row r="281" spans="1:4" x14ac:dyDescent="0.2">
      <c r="A281" s="5">
        <v>220</v>
      </c>
      <c r="B281" s="138">
        <f>'Assets-Liab 5-6'!M41</f>
        <v>22969290</v>
      </c>
      <c r="C281" s="2" t="s">
        <v>594</v>
      </c>
      <c r="D281" s="2" t="str">
        <f t="shared" si="3"/>
        <v>Error?</v>
      </c>
    </row>
    <row r="282" spans="1:4" x14ac:dyDescent="0.2">
      <c r="A282" s="5">
        <v>221</v>
      </c>
      <c r="B282" s="138">
        <f>'Assets-Liab 5-6'!N21</f>
        <v>191954</v>
      </c>
      <c r="D282" s="2" t="str">
        <f t="shared" si="3"/>
        <v>Error?</v>
      </c>
    </row>
    <row r="283" spans="1:4" x14ac:dyDescent="0.2">
      <c r="A283" s="5">
        <v>222</v>
      </c>
      <c r="B283" s="138">
        <f>'Assets-Liab 5-6'!N22</f>
        <v>3077046</v>
      </c>
      <c r="D283" s="2" t="str">
        <f t="shared" si="3"/>
        <v>Error?</v>
      </c>
    </row>
    <row r="284" spans="1:4" x14ac:dyDescent="0.2">
      <c r="A284" s="5">
        <v>223</v>
      </c>
      <c r="B284" s="138">
        <f>'Assets-Liab 5-6'!N23</f>
        <v>3269000</v>
      </c>
      <c r="C284" s="2" t="s">
        <v>594</v>
      </c>
      <c r="D284" s="2" t="str">
        <f t="shared" si="3"/>
        <v>Error?</v>
      </c>
    </row>
    <row r="285" spans="1:4" x14ac:dyDescent="0.2">
      <c r="A285" s="5">
        <v>224</v>
      </c>
      <c r="B285" s="138">
        <f>'Assets-Liab 5-6'!N36</f>
        <v>3269000</v>
      </c>
      <c r="D285" s="2" t="str">
        <f t="shared" si="3"/>
        <v>Error?</v>
      </c>
    </row>
    <row r="286" spans="1:4" x14ac:dyDescent="0.2">
      <c r="A286" s="10">
        <v>225</v>
      </c>
      <c r="D286" s="2" t="str">
        <f t="shared" si="3"/>
        <v>OK</v>
      </c>
    </row>
    <row r="287" spans="1:4" x14ac:dyDescent="0.2">
      <c r="A287" s="5">
        <v>226</v>
      </c>
      <c r="B287" s="138">
        <f>'Assets-Liab 5-6'!N37</f>
        <v>3269000</v>
      </c>
      <c r="C287" s="2" t="s">
        <v>594</v>
      </c>
      <c r="D287" s="2" t="str">
        <f t="shared" si="3"/>
        <v>Error?</v>
      </c>
    </row>
    <row r="288" spans="1:4" x14ac:dyDescent="0.2">
      <c r="A288" s="5">
        <v>227</v>
      </c>
      <c r="B288" s="138">
        <f>'Assets-Liab 5-6'!N41</f>
        <v>3269000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1844825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54478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49370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2444254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61272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19727</v>
      </c>
      <c r="D726" s="2" t="str">
        <f t="shared" si="10"/>
        <v>Error?</v>
      </c>
    </row>
    <row r="727" spans="1:4" x14ac:dyDescent="0.2">
      <c r="A727" s="5">
        <v>666</v>
      </c>
      <c r="B727" s="138">
        <f>'Expenditures 15-22'!C42</f>
        <v>80999</v>
      </c>
      <c r="C727" s="2" t="s">
        <v>594</v>
      </c>
      <c r="D727" s="2" t="str">
        <f t="shared" si="10"/>
        <v>Error?</v>
      </c>
    </row>
    <row r="728" spans="1:4" x14ac:dyDescent="0.2">
      <c r="A728" s="5">
        <v>667</v>
      </c>
      <c r="B728" s="138">
        <f>'Expenditures 15-22'!C44</f>
        <v>3465</v>
      </c>
      <c r="D728" s="2" t="str">
        <f t="shared" si="10"/>
        <v>Error?</v>
      </c>
    </row>
    <row r="729" spans="1:4" x14ac:dyDescent="0.2">
      <c r="A729" s="5">
        <v>668</v>
      </c>
      <c r="B729" s="138">
        <f>'Expenditures 15-22'!C45</f>
        <v>70743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74208</v>
      </c>
      <c r="C731" s="2" t="s">
        <v>594</v>
      </c>
      <c r="D731" s="2" t="str">
        <f t="shared" si="10"/>
        <v>Error?</v>
      </c>
    </row>
    <row r="732" spans="1:4" x14ac:dyDescent="0.2">
      <c r="A732" s="5">
        <v>671</v>
      </c>
      <c r="B732" s="138">
        <f>'Expenditures 15-22'!C49</f>
        <v>2036</v>
      </c>
      <c r="D732" s="2" t="str">
        <f t="shared" si="10"/>
        <v>Error?</v>
      </c>
    </row>
    <row r="733" spans="1:4" x14ac:dyDescent="0.2">
      <c r="A733" s="5">
        <v>672</v>
      </c>
      <c r="B733" s="138">
        <f>'Expenditures 15-22'!C50</f>
        <v>150099</v>
      </c>
      <c r="D733" s="2" t="str">
        <f t="shared" si="10"/>
        <v>Error?</v>
      </c>
    </row>
    <row r="734" spans="1:4" x14ac:dyDescent="0.2">
      <c r="A734" s="5">
        <v>673</v>
      </c>
      <c r="B734" s="138">
        <f>'Expenditures 15-22'!C53</f>
        <v>152135</v>
      </c>
      <c r="C734" s="2" t="s">
        <v>594</v>
      </c>
      <c r="D734" s="2" t="str">
        <f t="shared" si="10"/>
        <v>Error?</v>
      </c>
    </row>
    <row r="735" spans="1:4" x14ac:dyDescent="0.2">
      <c r="A735" s="5">
        <v>674</v>
      </c>
      <c r="B735" s="138">
        <f>'Expenditures 15-22'!C55</f>
        <v>310926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310926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76466</v>
      </c>
      <c r="D739" s="2" t="str">
        <f t="shared" si="10"/>
        <v>Error?</v>
      </c>
    </row>
    <row r="740" spans="1:4" x14ac:dyDescent="0.2">
      <c r="A740" s="5">
        <v>679</v>
      </c>
      <c r="B740" s="138">
        <f>'Expenditures 15-22'!C61</f>
        <v>129726</v>
      </c>
      <c r="D740" s="2" t="str">
        <f t="shared" si="10"/>
        <v>Error?</v>
      </c>
    </row>
    <row r="741" spans="1:4" x14ac:dyDescent="0.2">
      <c r="A741" s="5">
        <v>680</v>
      </c>
      <c r="B741" s="138">
        <f>'Expenditures 15-22'!C62</f>
        <v>9234</v>
      </c>
      <c r="D741" s="2" t="str">
        <f t="shared" si="10"/>
        <v>Error?</v>
      </c>
    </row>
    <row r="742" spans="1:4" x14ac:dyDescent="0.2">
      <c r="A742" s="5">
        <v>681</v>
      </c>
      <c r="B742" s="138">
        <f>'Expenditures 15-22'!C63</f>
        <v>115672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331098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949366</v>
      </c>
      <c r="C755" s="2" t="s">
        <v>594</v>
      </c>
      <c r="D755" s="2" t="str">
        <f t="shared" si="10"/>
        <v>Error?</v>
      </c>
    </row>
    <row r="756" spans="1:4" x14ac:dyDescent="0.2">
      <c r="A756" s="5">
        <v>695</v>
      </c>
      <c r="B756" s="138">
        <f>'Expenditures 15-22'!C75</f>
        <v>10458</v>
      </c>
      <c r="D756" s="2" t="str">
        <f t="shared" si="10"/>
        <v>Error?</v>
      </c>
    </row>
    <row r="757" spans="1:4" x14ac:dyDescent="0.2">
      <c r="A757" s="5">
        <v>696</v>
      </c>
      <c r="B757" s="138">
        <f>'Expenditures 15-22'!C114</f>
        <v>3404078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301772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14054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447209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15179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6707</v>
      </c>
      <c r="D784" s="2" t="str">
        <f t="shared" si="11"/>
        <v>Error?</v>
      </c>
    </row>
    <row r="785" spans="1:4" x14ac:dyDescent="0.2">
      <c r="A785" s="5">
        <v>724</v>
      </c>
      <c r="B785" s="138">
        <f>'Expenditures 15-22'!D42</f>
        <v>21886</v>
      </c>
      <c r="C785" s="2" t="s">
        <v>594</v>
      </c>
      <c r="D785" s="2" t="str">
        <f t="shared" si="11"/>
        <v>Error?</v>
      </c>
    </row>
    <row r="786" spans="1:4" x14ac:dyDescent="0.2">
      <c r="A786" s="5">
        <v>725</v>
      </c>
      <c r="B786" s="138">
        <f>'Expenditures 15-22'!D44</f>
        <v>63</v>
      </c>
      <c r="D786" s="2" t="str">
        <f t="shared" si="11"/>
        <v>Error?</v>
      </c>
    </row>
    <row r="787" spans="1:4" x14ac:dyDescent="0.2">
      <c r="A787" s="5">
        <v>726</v>
      </c>
      <c r="B787" s="138">
        <f>'Expenditures 15-22'!D45</f>
        <v>10560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10623</v>
      </c>
      <c r="C789" s="2" t="s">
        <v>594</v>
      </c>
      <c r="D789" s="2" t="str">
        <f t="shared" si="11"/>
        <v>Error?</v>
      </c>
    </row>
    <row r="790" spans="1:4" x14ac:dyDescent="0.2">
      <c r="A790" s="5">
        <v>729</v>
      </c>
      <c r="B790" s="138">
        <f>'Expenditures 15-22'!D49</f>
        <v>30</v>
      </c>
      <c r="D790" s="2" t="str">
        <f t="shared" si="11"/>
        <v>Error?</v>
      </c>
    </row>
    <row r="791" spans="1:4" x14ac:dyDescent="0.2">
      <c r="A791" s="5">
        <v>730</v>
      </c>
      <c r="B791" s="138">
        <f>'Expenditures 15-22'!D50</f>
        <v>3191</v>
      </c>
      <c r="D791" s="2" t="str">
        <f t="shared" si="11"/>
        <v>Error?</v>
      </c>
    </row>
    <row r="792" spans="1:4" x14ac:dyDescent="0.2">
      <c r="A792" s="5">
        <v>731</v>
      </c>
      <c r="B792" s="138">
        <f>'Expenditures 15-22'!D53</f>
        <v>3221</v>
      </c>
      <c r="C792" s="2" t="s">
        <v>594</v>
      </c>
      <c r="D792" s="2" t="str">
        <f t="shared" si="11"/>
        <v>Error?</v>
      </c>
    </row>
    <row r="793" spans="1:4" x14ac:dyDescent="0.2">
      <c r="A793" s="5">
        <v>732</v>
      </c>
      <c r="B793" s="138">
        <f>'Expenditures 15-22'!D55</f>
        <v>66745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66745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8476</v>
      </c>
      <c r="D797" s="2" t="str">
        <f t="shared" si="11"/>
        <v>Error?</v>
      </c>
    </row>
    <row r="798" spans="1:4" x14ac:dyDescent="0.2">
      <c r="A798" s="5">
        <v>737</v>
      </c>
      <c r="B798" s="138">
        <f>'Expenditures 15-22'!D61</f>
        <v>34696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34678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77850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180325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627534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200125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1400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10744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226143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4197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4197</v>
      </c>
      <c r="C843" s="2" t="s">
        <v>594</v>
      </c>
      <c r="D843" s="2" t="str">
        <f t="shared" si="12"/>
        <v>Error?</v>
      </c>
    </row>
    <row r="844" spans="1:4" x14ac:dyDescent="0.2">
      <c r="A844" s="5">
        <v>783</v>
      </c>
      <c r="B844" s="138">
        <f>'Expenditures 15-22'!E44</f>
        <v>41869</v>
      </c>
      <c r="D844" s="2" t="str">
        <f t="shared" si="12"/>
        <v>Error?</v>
      </c>
    </row>
    <row r="845" spans="1:4" x14ac:dyDescent="0.2">
      <c r="A845" s="5">
        <v>784</v>
      </c>
      <c r="B845" s="138">
        <f>'Expenditures 15-22'!E45</f>
        <v>286</v>
      </c>
      <c r="D845" s="2" t="str">
        <f t="shared" si="12"/>
        <v>Error?</v>
      </c>
    </row>
    <row r="846" spans="1:4" x14ac:dyDescent="0.2">
      <c r="A846" s="5">
        <v>785</v>
      </c>
      <c r="B846" s="138">
        <f>'Expenditures 15-22'!E46</f>
        <v>8238</v>
      </c>
      <c r="D846" s="2" t="str">
        <f t="shared" si="12"/>
        <v>Error?</v>
      </c>
    </row>
    <row r="847" spans="1:4" x14ac:dyDescent="0.2">
      <c r="A847" s="5">
        <v>786</v>
      </c>
      <c r="B847" s="138">
        <f>'Expenditures 15-22'!E47</f>
        <v>50393</v>
      </c>
      <c r="C847" s="2" t="s">
        <v>594</v>
      </c>
      <c r="D847" s="2" t="str">
        <f t="shared" si="12"/>
        <v>Error?</v>
      </c>
    </row>
    <row r="848" spans="1:4" x14ac:dyDescent="0.2">
      <c r="A848" s="5">
        <v>787</v>
      </c>
      <c r="B848" s="138">
        <f>'Expenditures 15-22'!E49</f>
        <v>31438</v>
      </c>
      <c r="D848" s="2" t="str">
        <f t="shared" si="12"/>
        <v>Error?</v>
      </c>
    </row>
    <row r="849" spans="1:4" x14ac:dyDescent="0.2">
      <c r="A849" s="5">
        <v>788</v>
      </c>
      <c r="B849" s="138">
        <f>'Expenditures 15-22'!E50</f>
        <v>5624</v>
      </c>
      <c r="D849" s="2" t="str">
        <f t="shared" si="12"/>
        <v>Error?</v>
      </c>
    </row>
    <row r="850" spans="1:4" x14ac:dyDescent="0.2">
      <c r="A850" s="5">
        <v>789</v>
      </c>
      <c r="B850" s="138">
        <f>'Expenditures 15-22'!E53</f>
        <v>37062</v>
      </c>
      <c r="C850" s="2" t="s">
        <v>594</v>
      </c>
      <c r="D850" s="2" t="str">
        <f t="shared" si="12"/>
        <v>Error?</v>
      </c>
    </row>
    <row r="851" spans="1:4" x14ac:dyDescent="0.2">
      <c r="A851" s="5">
        <v>790</v>
      </c>
      <c r="B851" s="138">
        <f>'Expenditures 15-22'!E55</f>
        <v>19767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19767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1851</v>
      </c>
      <c r="D855" s="2" t="str">
        <f t="shared" si="12"/>
        <v>Error?</v>
      </c>
    </row>
    <row r="856" spans="1:4" x14ac:dyDescent="0.2">
      <c r="A856" s="5">
        <v>795</v>
      </c>
      <c r="B856" s="138">
        <f>'Expenditures 15-22'!E61</f>
        <v>7057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11935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123354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571457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213073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7086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231830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72</v>
      </c>
      <c r="D902" s="2" t="str">
        <f t="shared" si="13"/>
        <v>Error?</v>
      </c>
    </row>
    <row r="903" spans="1:4" x14ac:dyDescent="0.2">
      <c r="A903" s="5">
        <v>842</v>
      </c>
      <c r="B903" s="138">
        <f>'Expenditures 15-22'!F45</f>
        <v>6526</v>
      </c>
      <c r="D903" s="2" t="str">
        <f t="shared" si="13"/>
        <v>Error?</v>
      </c>
    </row>
    <row r="904" spans="1:4" x14ac:dyDescent="0.2">
      <c r="A904" s="5">
        <v>843</v>
      </c>
      <c r="B904" s="138">
        <f>'Expenditures 15-22'!F46</f>
        <v>246</v>
      </c>
      <c r="D904" s="2" t="str">
        <f t="shared" si="13"/>
        <v>Error?</v>
      </c>
    </row>
    <row r="905" spans="1:4" x14ac:dyDescent="0.2">
      <c r="A905" s="5">
        <v>844</v>
      </c>
      <c r="B905" s="138">
        <f>'Expenditures 15-22'!F47</f>
        <v>6844</v>
      </c>
      <c r="C905" s="2" t="s">
        <v>594</v>
      </c>
      <c r="D905" s="2" t="str">
        <f t="shared" si="13"/>
        <v>Error?</v>
      </c>
    </row>
    <row r="906" spans="1:4" x14ac:dyDescent="0.2">
      <c r="A906" s="5">
        <v>845</v>
      </c>
      <c r="B906" s="138">
        <f>'Expenditures 15-22'!F49</f>
        <v>3583</v>
      </c>
      <c r="D906" s="2" t="str">
        <f t="shared" si="13"/>
        <v>Error?</v>
      </c>
    </row>
    <row r="907" spans="1:4" x14ac:dyDescent="0.2">
      <c r="A907" s="5">
        <v>846</v>
      </c>
      <c r="B907" s="138">
        <f>'Expenditures 15-22'!F50</f>
        <v>1281</v>
      </c>
      <c r="D907" s="2" t="str">
        <f t="shared" si="13"/>
        <v>Error?</v>
      </c>
    </row>
    <row r="908" spans="1:4" x14ac:dyDescent="0.2">
      <c r="A908" s="5">
        <v>847</v>
      </c>
      <c r="B908" s="138">
        <f>'Expenditures 15-22'!F53</f>
        <v>4864</v>
      </c>
      <c r="C908" s="2" t="s">
        <v>594</v>
      </c>
      <c r="D908" s="2" t="str">
        <f t="shared" si="13"/>
        <v>Error?</v>
      </c>
    </row>
    <row r="909" spans="1:4" x14ac:dyDescent="0.2">
      <c r="A909" s="5">
        <v>848</v>
      </c>
      <c r="B909" s="138">
        <f>'Expenditures 15-22'!F55</f>
        <v>44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103</v>
      </c>
      <c r="D913" s="2" t="str">
        <f t="shared" si="13"/>
        <v>Error?</v>
      </c>
    </row>
    <row r="914" spans="1:4" x14ac:dyDescent="0.2">
      <c r="A914" s="5">
        <v>853</v>
      </c>
      <c r="B914" s="138">
        <f>'Expenditures 15-22'!F61</f>
        <v>12924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180593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193620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205372</v>
      </c>
      <c r="C929" s="2" t="s">
        <v>594</v>
      </c>
      <c r="D929" s="2" t="str">
        <f t="shared" si="13"/>
        <v>Error?</v>
      </c>
    </row>
    <row r="930" spans="1:4" x14ac:dyDescent="0.2">
      <c r="A930" s="5">
        <v>869</v>
      </c>
      <c r="B930" s="138">
        <f>'Expenditures 15-22'!F75</f>
        <v>1682</v>
      </c>
      <c r="D930" s="2" t="str">
        <f t="shared" si="13"/>
        <v>Error?</v>
      </c>
    </row>
    <row r="931" spans="1:4" x14ac:dyDescent="0.2">
      <c r="A931" s="5">
        <v>870</v>
      </c>
      <c r="B931" s="138">
        <f>'Expenditures 15-22'!F114</f>
        <v>438884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15274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19162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6103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6103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6103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25265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189797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189797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2598372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77018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61078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3391901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80648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26434</v>
      </c>
      <c r="C1114" s="2" t="s">
        <v>594</v>
      </c>
      <c r="D1114" s="2" t="str">
        <f t="shared" si="16"/>
        <v>Error?</v>
      </c>
    </row>
    <row r="1115" spans="1:4" x14ac:dyDescent="0.2">
      <c r="A1115" s="5">
        <v>1054</v>
      </c>
      <c r="B1115" s="138">
        <f>'Expenditures 15-22'!K42</f>
        <v>107082</v>
      </c>
      <c r="C1115" s="2" t="s">
        <v>594</v>
      </c>
      <c r="D1115" s="2" t="str">
        <f t="shared" si="16"/>
        <v>Error?</v>
      </c>
    </row>
    <row r="1116" spans="1:4" x14ac:dyDescent="0.2">
      <c r="A1116" s="5">
        <v>1055</v>
      </c>
      <c r="B1116" s="138">
        <f>'Expenditures 15-22'!K44</f>
        <v>45469</v>
      </c>
      <c r="C1116" s="2" t="s">
        <v>594</v>
      </c>
      <c r="D1116" s="2" t="str">
        <f t="shared" si="16"/>
        <v>Error?</v>
      </c>
    </row>
    <row r="1117" spans="1:4" x14ac:dyDescent="0.2">
      <c r="A1117" s="5">
        <v>1056</v>
      </c>
      <c r="B1117" s="138">
        <f>'Expenditures 15-22'!K45</f>
        <v>88115</v>
      </c>
      <c r="C1117" s="2" t="s">
        <v>594</v>
      </c>
      <c r="D1117" s="2" t="str">
        <f t="shared" si="16"/>
        <v>Error?</v>
      </c>
    </row>
    <row r="1118" spans="1:4" x14ac:dyDescent="0.2">
      <c r="A1118" s="5">
        <v>1057</v>
      </c>
      <c r="B1118" s="138">
        <f>'Expenditures 15-22'!K46</f>
        <v>8484</v>
      </c>
      <c r="C1118" s="2" t="s">
        <v>594</v>
      </c>
      <c r="D1118" s="2" t="str">
        <f t="shared" si="16"/>
        <v>Error?</v>
      </c>
    </row>
    <row r="1119" spans="1:4" x14ac:dyDescent="0.2">
      <c r="A1119" s="5">
        <v>1058</v>
      </c>
      <c r="B1119" s="138">
        <f>'Expenditures 15-22'!K47</f>
        <v>142068</v>
      </c>
      <c r="C1119" s="2" t="s">
        <v>594</v>
      </c>
      <c r="D1119" s="2" t="str">
        <f t="shared" si="16"/>
        <v>Error?</v>
      </c>
    </row>
    <row r="1120" spans="1:4" x14ac:dyDescent="0.2">
      <c r="A1120" s="5">
        <v>1059</v>
      </c>
      <c r="B1120" s="138">
        <f>'Expenditures 15-22'!K49</f>
        <v>37087</v>
      </c>
      <c r="C1120" s="2" t="s">
        <v>594</v>
      </c>
      <c r="D1120" s="2" t="str">
        <f t="shared" si="16"/>
        <v>Error?</v>
      </c>
    </row>
    <row r="1121" spans="1:4" x14ac:dyDescent="0.2">
      <c r="A1121" s="5">
        <v>1060</v>
      </c>
      <c r="B1121" s="138">
        <f>'Expenditures 15-22'!K50</f>
        <v>160195</v>
      </c>
      <c r="C1121" s="2" t="s">
        <v>594</v>
      </c>
      <c r="D1121" s="2" t="str">
        <f t="shared" si="16"/>
        <v>Error?</v>
      </c>
    </row>
    <row r="1122" spans="1:4" x14ac:dyDescent="0.2">
      <c r="A1122" s="5">
        <v>1061</v>
      </c>
      <c r="B1122" s="138">
        <f>'Expenditures 15-22'!K53</f>
        <v>197282</v>
      </c>
      <c r="C1122" s="2" t="s">
        <v>594</v>
      </c>
      <c r="D1122" s="2" t="str">
        <f t="shared" si="16"/>
        <v>Error?</v>
      </c>
    </row>
    <row r="1123" spans="1:4" x14ac:dyDescent="0.2">
      <c r="A1123" s="5">
        <v>1062</v>
      </c>
      <c r="B1123" s="138">
        <f>'Expenditures 15-22'!K55</f>
        <v>397482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397482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86896</v>
      </c>
      <c r="C1127" s="2" t="s">
        <v>594</v>
      </c>
      <c r="D1127" s="2" t="str">
        <f t="shared" si="16"/>
        <v>Error?</v>
      </c>
    </row>
    <row r="1128" spans="1:4" x14ac:dyDescent="0.2">
      <c r="A1128" s="5">
        <v>1067</v>
      </c>
      <c r="B1128" s="138">
        <f>'Expenditures 15-22'!K61</f>
        <v>190506</v>
      </c>
      <c r="C1128" s="2" t="s">
        <v>594</v>
      </c>
      <c r="D1128" s="2" t="str">
        <f t="shared" si="16"/>
        <v>Error?</v>
      </c>
    </row>
    <row r="1129" spans="1:4" x14ac:dyDescent="0.2">
      <c r="A1129" s="5">
        <v>1068</v>
      </c>
      <c r="B1129" s="138">
        <f>'Expenditures 15-22'!K62</f>
        <v>9234</v>
      </c>
      <c r="C1129" s="2" t="s">
        <v>594</v>
      </c>
      <c r="D1129" s="2" t="str">
        <f t="shared" si="16"/>
        <v>Error?</v>
      </c>
    </row>
    <row r="1130" spans="1:4" x14ac:dyDescent="0.2">
      <c r="A1130" s="5">
        <v>1069</v>
      </c>
      <c r="B1130" s="138">
        <f>'Expenditures 15-22'!K63</f>
        <v>339225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625861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1469775</v>
      </c>
      <c r="C1143" s="2" t="s">
        <v>594</v>
      </c>
      <c r="D1143" s="2" t="str">
        <f t="shared" si="16"/>
        <v>Error?</v>
      </c>
    </row>
    <row r="1144" spans="1:4" x14ac:dyDescent="0.2">
      <c r="A1144" s="5">
        <v>1083</v>
      </c>
      <c r="B1144" s="138">
        <f>'Expenditures 15-22'!K75</f>
        <v>12140</v>
      </c>
      <c r="C1144" s="2" t="s">
        <v>594</v>
      </c>
      <c r="D1144" s="2" t="str">
        <f t="shared" si="16"/>
        <v>Error?</v>
      </c>
    </row>
    <row r="1145" spans="1:4" x14ac:dyDescent="0.2">
      <c r="A1145" s="5">
        <v>1084</v>
      </c>
      <c r="B1145" s="138">
        <f>'Expenditures 15-22'!K102</f>
        <v>411757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5285573</v>
      </c>
      <c r="C1152" s="2" t="s">
        <v>594</v>
      </c>
      <c r="D1152" s="2" t="str">
        <f t="shared" si="17"/>
        <v>Error?</v>
      </c>
    </row>
    <row r="1153" spans="1:4" x14ac:dyDescent="0.2">
      <c r="A1153" s="5">
        <v>1092</v>
      </c>
      <c r="B1153" s="138">
        <f>'Expenditures 15-22'!K115</f>
        <v>787959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30369</v>
      </c>
      <c r="D1237" s="2" t="str">
        <f t="shared" si="18"/>
        <v>Error?</v>
      </c>
    </row>
    <row r="1238" spans="1:4" x14ac:dyDescent="0.2">
      <c r="A1238" s="10">
        <v>1177</v>
      </c>
      <c r="D1238" s="2" t="str">
        <f t="shared" si="18"/>
        <v>OK</v>
      </c>
    </row>
    <row r="1239" spans="1:4" x14ac:dyDescent="0.2">
      <c r="A1239" s="5">
        <v>1178</v>
      </c>
      <c r="B1239" s="138">
        <f>'Expenditures 15-22'!E127</f>
        <v>30369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30369</v>
      </c>
      <c r="C1241" s="2" t="s">
        <v>594</v>
      </c>
      <c r="D1241" s="2" t="str">
        <f t="shared" si="18"/>
        <v>Error?</v>
      </c>
    </row>
    <row r="1242" spans="1:4" x14ac:dyDescent="0.2">
      <c r="A1242" s="5">
        <v>1181</v>
      </c>
      <c r="B1242" s="138">
        <f>'Expenditures 15-22'!E151</f>
        <v>134691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106893</v>
      </c>
      <c r="D1245" s="2" t="str">
        <f t="shared" si="18"/>
        <v>Error?</v>
      </c>
    </row>
    <row r="1246" spans="1:4" x14ac:dyDescent="0.2">
      <c r="A1246" s="10">
        <v>1185</v>
      </c>
      <c r="D1246" s="2" t="str">
        <f t="shared" si="18"/>
        <v>OK</v>
      </c>
    </row>
    <row r="1247" spans="1:4" x14ac:dyDescent="0.2">
      <c r="A1247" s="5">
        <v>1186</v>
      </c>
      <c r="B1247" s="138">
        <f>'Expenditures 15-22'!F127</f>
        <v>110357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110357</v>
      </c>
      <c r="C1249" s="2" t="s">
        <v>594</v>
      </c>
      <c r="D1249" s="2" t="str">
        <f t="shared" si="18"/>
        <v>Error?</v>
      </c>
    </row>
    <row r="1250" spans="1:4" x14ac:dyDescent="0.2">
      <c r="A1250" s="5">
        <v>1189</v>
      </c>
      <c r="B1250" s="138">
        <f>'Expenditures 15-22'!F151</f>
        <v>110357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3324</v>
      </c>
      <c r="D1262" s="2" t="str">
        <f t="shared" si="18"/>
        <v>Error?</v>
      </c>
    </row>
    <row r="1263" spans="1:4" x14ac:dyDescent="0.2">
      <c r="A1263" s="10">
        <v>1202</v>
      </c>
      <c r="D1263" s="2" t="str">
        <f t="shared" si="18"/>
        <v>OK</v>
      </c>
    </row>
    <row r="1264" spans="1:4" x14ac:dyDescent="0.2">
      <c r="A1264" s="5">
        <v>1203</v>
      </c>
      <c r="B1264" s="138">
        <f>'Expenditures 15-22'!H127</f>
        <v>3324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3324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3324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140586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144050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144050</v>
      </c>
      <c r="C1281" s="2" t="s">
        <v>594</v>
      </c>
      <c r="D1281" s="2" t="str">
        <f t="shared" si="19"/>
        <v>Error?</v>
      </c>
    </row>
    <row r="1282" spans="1:4" x14ac:dyDescent="0.2">
      <c r="A1282" s="5">
        <v>1221</v>
      </c>
      <c r="B1282" s="138">
        <f>'Expenditures 15-22'!K139</f>
        <v>104322</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248372</v>
      </c>
      <c r="C1288" s="2" t="s">
        <v>594</v>
      </c>
      <c r="D1288" s="2" t="str">
        <f t="shared" si="19"/>
        <v>Error?</v>
      </c>
    </row>
    <row r="1289" spans="1:4" x14ac:dyDescent="0.2">
      <c r="A1289" s="5">
        <v>1228</v>
      </c>
      <c r="B1289" s="138">
        <f>'Expenditures 15-22'!K152</f>
        <v>48993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2700</v>
      </c>
      <c r="D1307" s="2" t="str">
        <f t="shared" si="19"/>
        <v>Error?</v>
      </c>
    </row>
    <row r="1308" spans="1:4" x14ac:dyDescent="0.2">
      <c r="A1308" s="5">
        <v>1247</v>
      </c>
      <c r="B1308" s="138">
        <f>'Expenditures 15-22'!E172</f>
        <v>2700</v>
      </c>
      <c r="C1308" s="2" t="s">
        <v>594</v>
      </c>
      <c r="D1308" s="2" t="str">
        <f t="shared" si="19"/>
        <v>Error?</v>
      </c>
    </row>
    <row r="1309" spans="1:4" x14ac:dyDescent="0.2">
      <c r="A1309" s="5">
        <v>1248</v>
      </c>
      <c r="B1309" s="138">
        <f>'Expenditures 15-22'!E174</f>
        <v>2700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189066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247000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436066</v>
      </c>
      <c r="C1317" s="2" t="s">
        <v>594</v>
      </c>
      <c r="D1317" s="2" t="str">
        <f t="shared" si="19"/>
        <v>Error?</v>
      </c>
    </row>
    <row r="1318" spans="1:4" x14ac:dyDescent="0.2">
      <c r="A1318" s="5">
        <v>1257</v>
      </c>
      <c r="B1318" s="138">
        <f>'Expenditures 15-22'!H174</f>
        <v>436066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189066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247000</v>
      </c>
      <c r="C1329" s="2" t="s">
        <v>594</v>
      </c>
      <c r="D1329" s="2" t="str">
        <f t="shared" si="19"/>
        <v>Error?</v>
      </c>
    </row>
    <row r="1330" spans="1:4" x14ac:dyDescent="0.2">
      <c r="A1330" s="5">
        <v>1269</v>
      </c>
      <c r="B1330" s="138">
        <f>'Expenditures 15-22'!K171</f>
        <v>2700</v>
      </c>
      <c r="C1330" s="2" t="s">
        <v>594</v>
      </c>
      <c r="D1330" s="2" t="str">
        <f t="shared" si="19"/>
        <v>Error?</v>
      </c>
    </row>
    <row r="1331" spans="1:4" x14ac:dyDescent="0.2">
      <c r="A1331" s="5">
        <v>1270</v>
      </c>
      <c r="B1331" s="138">
        <f>'Expenditures 15-22'!K172</f>
        <v>438766</v>
      </c>
      <c r="C1331" s="2" t="s">
        <v>594</v>
      </c>
      <c r="D1331" s="2" t="str">
        <f t="shared" si="19"/>
        <v>Error?</v>
      </c>
    </row>
    <row r="1332" spans="1:4" x14ac:dyDescent="0.2">
      <c r="A1332" s="5">
        <v>1271</v>
      </c>
      <c r="B1332" s="138">
        <f>'Expenditures 15-22'!K174</f>
        <v>438766</v>
      </c>
      <c r="C1332" s="2" t="s">
        <v>594</v>
      </c>
      <c r="D1332" s="2" t="str">
        <f t="shared" si="19"/>
        <v>Error?</v>
      </c>
    </row>
    <row r="1333" spans="1:4" x14ac:dyDescent="0.2">
      <c r="A1333" s="5">
        <v>1272</v>
      </c>
      <c r="B1333" s="138">
        <f>'Expenditures 15-22'!K175</f>
        <v>31912</v>
      </c>
      <c r="C1333" s="2" t="s">
        <v>594</v>
      </c>
      <c r="D1333" s="2" t="str">
        <f t="shared" si="19"/>
        <v>Error?</v>
      </c>
    </row>
    <row r="1334" spans="1:4" x14ac:dyDescent="0.2">
      <c r="A1334" s="10">
        <v>1273</v>
      </c>
      <c r="D1334" s="2" t="str">
        <f t="shared" si="19"/>
        <v>OK</v>
      </c>
    </row>
    <row r="1335" spans="1:4" x14ac:dyDescent="0.2">
      <c r="A1335" s="5">
        <v>1274</v>
      </c>
      <c r="B1335" s="138">
        <f>'Expenditures 15-22'!C182</f>
        <v>136006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136006</v>
      </c>
      <c r="C1339" s="2" t="s">
        <v>594</v>
      </c>
      <c r="D1339" s="2" t="str">
        <f t="shared" si="19"/>
        <v>Error?</v>
      </c>
    </row>
    <row r="1340" spans="1:4" x14ac:dyDescent="0.2">
      <c r="A1340" s="5">
        <v>1279</v>
      </c>
      <c r="B1340" s="138">
        <f>'Expenditures 15-22'!C210</f>
        <v>136006</v>
      </c>
      <c r="C1340" s="2" t="s">
        <v>594</v>
      </c>
      <c r="D1340" s="2" t="str">
        <f t="shared" si="19"/>
        <v>Error?</v>
      </c>
    </row>
    <row r="1341" spans="1:4" x14ac:dyDescent="0.2">
      <c r="A1341" s="5">
        <v>1280</v>
      </c>
      <c r="B1341" s="138">
        <f>'Expenditures 15-22'!D182</f>
        <v>11854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11854</v>
      </c>
      <c r="C1345" s="2" t="s">
        <v>594</v>
      </c>
      <c r="D1345" s="2" t="str">
        <f t="shared" si="20"/>
        <v>Error?</v>
      </c>
    </row>
    <row r="1346" spans="1:4" x14ac:dyDescent="0.2">
      <c r="A1346" s="5">
        <v>1285</v>
      </c>
      <c r="B1346" s="138">
        <f>'Expenditures 15-22'!D210</f>
        <v>11854</v>
      </c>
      <c r="C1346" s="2" t="s">
        <v>594</v>
      </c>
      <c r="D1346" s="2" t="str">
        <f t="shared" si="20"/>
        <v>Error?</v>
      </c>
    </row>
    <row r="1347" spans="1:4" x14ac:dyDescent="0.2">
      <c r="A1347" s="5">
        <v>1286</v>
      </c>
      <c r="B1347" s="138">
        <f>'Expenditures 15-22'!E182</f>
        <v>15893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15893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15893</v>
      </c>
      <c r="C1353" s="2" t="s">
        <v>594</v>
      </c>
      <c r="D1353" s="2" t="str">
        <f t="shared" si="20"/>
        <v>Error?</v>
      </c>
    </row>
    <row r="1354" spans="1:4" x14ac:dyDescent="0.2">
      <c r="A1354" s="5">
        <v>1293</v>
      </c>
      <c r="B1354" s="138">
        <f>'Expenditures 15-22'!F182</f>
        <v>21798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21798</v>
      </c>
      <c r="C1358" s="2" t="s">
        <v>594</v>
      </c>
      <c r="D1358" s="2" t="str">
        <f t="shared" si="20"/>
        <v>Error?</v>
      </c>
    </row>
    <row r="1359" spans="1:4" x14ac:dyDescent="0.2">
      <c r="A1359" s="5">
        <v>1298</v>
      </c>
      <c r="B1359" s="138">
        <f>'Expenditures 15-22'!F210</f>
        <v>21798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81331</v>
      </c>
      <c r="C1375" s="2" t="s">
        <v>594</v>
      </c>
      <c r="D1375" s="2" t="str">
        <f t="shared" si="20"/>
        <v>Error?</v>
      </c>
    </row>
    <row r="1376" spans="1:4" x14ac:dyDescent="0.2">
      <c r="A1376" s="5">
        <v>1315</v>
      </c>
      <c r="B1376" s="138">
        <f>'Expenditures 15-22'!H210</f>
        <v>81331</v>
      </c>
      <c r="C1376" s="2" t="s">
        <v>594</v>
      </c>
      <c r="D1376" s="2" t="str">
        <f t="shared" si="20"/>
        <v>Error?</v>
      </c>
    </row>
    <row r="1377" spans="1:4" x14ac:dyDescent="0.2">
      <c r="A1377" s="5">
        <v>1316</v>
      </c>
      <c r="B1377" s="138">
        <f>'Expenditures 15-22'!K182</f>
        <v>185551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185551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81331</v>
      </c>
      <c r="C1387" s="2" t="s">
        <v>594</v>
      </c>
      <c r="D1387" s="2" t="str">
        <f t="shared" si="20"/>
        <v>Error?</v>
      </c>
    </row>
    <row r="1388" spans="1:4" x14ac:dyDescent="0.2">
      <c r="A1388" s="5">
        <v>1327</v>
      </c>
      <c r="B1388" s="138">
        <f>'Expenditures 15-22'!K210</f>
        <v>266882</v>
      </c>
      <c r="C1388" s="2" t="s">
        <v>594</v>
      </c>
      <c r="D1388" s="2" t="str">
        <f t="shared" si="20"/>
        <v>Error?</v>
      </c>
    </row>
    <row r="1389" spans="1:4" x14ac:dyDescent="0.2">
      <c r="A1389" s="5">
        <v>1328</v>
      </c>
      <c r="B1389" s="138">
        <f>'Expenditures 15-22'!K211</f>
        <v>86209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2613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2580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44122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3506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2962</v>
      </c>
      <c r="D1416" s="2" t="str">
        <f t="shared" si="21"/>
        <v>Error?</v>
      </c>
    </row>
    <row r="1417" spans="1:4" x14ac:dyDescent="0.2">
      <c r="A1417" s="5">
        <v>1356</v>
      </c>
      <c r="B1417" s="138">
        <f>'Expenditures 15-22'!D238</f>
        <v>6468</v>
      </c>
      <c r="C1417" s="2" t="s">
        <v>594</v>
      </c>
      <c r="D1417" s="2" t="str">
        <f t="shared" si="21"/>
        <v>Error?</v>
      </c>
    </row>
    <row r="1418" spans="1:4" x14ac:dyDescent="0.2">
      <c r="A1418" s="5">
        <v>1357</v>
      </c>
      <c r="B1418" s="138">
        <f>'Expenditures 15-22'!D240</f>
        <v>41</v>
      </c>
      <c r="D1418" s="2" t="str">
        <f t="shared" si="21"/>
        <v>Error?</v>
      </c>
    </row>
    <row r="1419" spans="1:4" x14ac:dyDescent="0.2">
      <c r="A1419" s="5">
        <v>1358</v>
      </c>
      <c r="B1419" s="138">
        <f>'Expenditures 15-22'!D241</f>
        <v>959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1000</v>
      </c>
      <c r="C1421" s="2" t="s">
        <v>594</v>
      </c>
      <c r="D1421" s="2" t="str">
        <f t="shared" si="21"/>
        <v>Error?</v>
      </c>
    </row>
    <row r="1422" spans="1:4" x14ac:dyDescent="0.2">
      <c r="A1422" s="5">
        <v>1361</v>
      </c>
      <c r="B1422" s="138">
        <f>'Expenditures 15-22'!D245</f>
        <v>30</v>
      </c>
      <c r="D1422" s="2" t="str">
        <f t="shared" si="21"/>
        <v>Error?</v>
      </c>
    </row>
    <row r="1423" spans="1:4" x14ac:dyDescent="0.2">
      <c r="A1423" s="5">
        <v>1362</v>
      </c>
      <c r="B1423" s="138">
        <f>'Expenditures 15-22'!D246</f>
        <v>2176</v>
      </c>
      <c r="D1423" s="2" t="str">
        <f t="shared" si="21"/>
        <v>Error?</v>
      </c>
    </row>
    <row r="1424" spans="1:4" x14ac:dyDescent="0.2">
      <c r="A1424" s="5">
        <v>1363</v>
      </c>
      <c r="B1424" s="138">
        <f>'Expenditures 15-22'!D257</f>
        <v>3329</v>
      </c>
      <c r="C1424" s="2" t="s">
        <v>594</v>
      </c>
      <c r="D1424" s="2" t="str">
        <f t="shared" si="21"/>
        <v>Error?</v>
      </c>
    </row>
    <row r="1425" spans="1:4" x14ac:dyDescent="0.2">
      <c r="A1425" s="5">
        <v>1364</v>
      </c>
      <c r="B1425" s="138">
        <f>'Expenditures 15-22'!D259</f>
        <v>18550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18550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18396</v>
      </c>
      <c r="D1431" s="2" t="str">
        <f t="shared" si="21"/>
        <v>Error?</v>
      </c>
    </row>
    <row r="1432" spans="1:4" x14ac:dyDescent="0.2">
      <c r="A1432" s="5">
        <v>1371</v>
      </c>
      <c r="B1432" s="138">
        <f>'Expenditures 15-22'!D267</f>
        <v>17018</v>
      </c>
      <c r="D1432" s="2" t="str">
        <f t="shared" si="21"/>
        <v>Error?</v>
      </c>
    </row>
    <row r="1433" spans="1:4" x14ac:dyDescent="0.2">
      <c r="A1433" s="5">
        <v>1372</v>
      </c>
      <c r="B1433" s="138">
        <f>'Expenditures 15-22'!D268</f>
        <v>16318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52837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82184</v>
      </c>
      <c r="C1446" s="2" t="s">
        <v>594</v>
      </c>
      <c r="D1446" s="2" t="str">
        <f t="shared" si="21"/>
        <v>Error?</v>
      </c>
    </row>
    <row r="1447" spans="1:4" x14ac:dyDescent="0.2">
      <c r="A1447" s="5">
        <v>1386</v>
      </c>
      <c r="B1447" s="138">
        <f>'Expenditures 15-22'!D280</f>
        <v>821</v>
      </c>
      <c r="D1447" s="2" t="str">
        <f t="shared" si="21"/>
        <v>Error?</v>
      </c>
    </row>
    <row r="1448" spans="1:4" x14ac:dyDescent="0.2">
      <c r="A1448" s="5">
        <v>1387</v>
      </c>
      <c r="B1448" s="138">
        <f>'Expenditures 15-22'!D295</f>
        <v>131501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2613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2580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44122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3506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2962</v>
      </c>
      <c r="C1480" s="2" t="s">
        <v>594</v>
      </c>
      <c r="D1480" s="2" t="str">
        <f t="shared" si="22"/>
        <v>Error?</v>
      </c>
    </row>
    <row r="1481" spans="1:4" x14ac:dyDescent="0.2">
      <c r="A1481" s="5">
        <v>1420</v>
      </c>
      <c r="B1481" s="138">
        <f>'Expenditures 15-22'!K238</f>
        <v>6468</v>
      </c>
      <c r="C1481" s="2" t="s">
        <v>594</v>
      </c>
      <c r="D1481" s="2" t="str">
        <f t="shared" si="22"/>
        <v>Error?</v>
      </c>
    </row>
    <row r="1482" spans="1:4" x14ac:dyDescent="0.2">
      <c r="A1482" s="5">
        <v>1421</v>
      </c>
      <c r="B1482" s="138">
        <f>'Expenditures 15-22'!K240</f>
        <v>41</v>
      </c>
      <c r="C1482" s="2" t="s">
        <v>594</v>
      </c>
      <c r="D1482" s="2" t="str">
        <f t="shared" si="22"/>
        <v>Error?</v>
      </c>
    </row>
    <row r="1483" spans="1:4" x14ac:dyDescent="0.2">
      <c r="A1483" s="5">
        <v>1422</v>
      </c>
      <c r="B1483" s="138">
        <f>'Expenditures 15-22'!K241</f>
        <v>959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1000</v>
      </c>
      <c r="C1485" s="2" t="s">
        <v>594</v>
      </c>
      <c r="D1485" s="2" t="str">
        <f t="shared" si="22"/>
        <v>Error?</v>
      </c>
    </row>
    <row r="1486" spans="1:4" x14ac:dyDescent="0.2">
      <c r="A1486" s="5">
        <v>1425</v>
      </c>
      <c r="B1486" s="138">
        <f>'Expenditures 15-22'!K245</f>
        <v>30</v>
      </c>
      <c r="C1486" s="2" t="s">
        <v>594</v>
      </c>
      <c r="D1486" s="2" t="str">
        <f t="shared" si="22"/>
        <v>Error?</v>
      </c>
    </row>
    <row r="1487" spans="1:4" x14ac:dyDescent="0.2">
      <c r="A1487" s="5">
        <v>1426</v>
      </c>
      <c r="B1487" s="138">
        <f>'Expenditures 15-22'!K246</f>
        <v>2176</v>
      </c>
      <c r="C1487" s="2" t="s">
        <v>594</v>
      </c>
      <c r="D1487" s="2" t="str">
        <f t="shared" si="22"/>
        <v>Error?</v>
      </c>
    </row>
    <row r="1488" spans="1:4" x14ac:dyDescent="0.2">
      <c r="A1488" s="5">
        <v>1427</v>
      </c>
      <c r="B1488" s="138">
        <f>'Expenditures 15-22'!K257</f>
        <v>3329</v>
      </c>
      <c r="C1488" s="2" t="s">
        <v>594</v>
      </c>
      <c r="D1488" s="2" t="str">
        <f t="shared" si="22"/>
        <v>Error?</v>
      </c>
    </row>
    <row r="1489" spans="1:4" x14ac:dyDescent="0.2">
      <c r="A1489" s="5">
        <v>1428</v>
      </c>
      <c r="B1489" s="138">
        <f>'Expenditures 15-22'!K259</f>
        <v>18550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18550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18396</v>
      </c>
      <c r="C1495" s="2" t="s">
        <v>594</v>
      </c>
      <c r="D1495" s="2" t="str">
        <f t="shared" si="22"/>
        <v>Error?</v>
      </c>
    </row>
    <row r="1496" spans="1:4" x14ac:dyDescent="0.2">
      <c r="A1496" s="5">
        <v>1435</v>
      </c>
      <c r="B1496" s="138">
        <f>'Expenditures 15-22'!K267</f>
        <v>17018</v>
      </c>
      <c r="C1496" s="2" t="s">
        <v>594</v>
      </c>
      <c r="D1496" s="2" t="str">
        <f t="shared" si="22"/>
        <v>Error?</v>
      </c>
    </row>
    <row r="1497" spans="1:4" x14ac:dyDescent="0.2">
      <c r="A1497" s="5">
        <v>1436</v>
      </c>
      <c r="B1497" s="138">
        <f>'Expenditures 15-22'!K268</f>
        <v>16318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52837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82184</v>
      </c>
      <c r="C1510" s="2" t="s">
        <v>594</v>
      </c>
      <c r="D1510" s="2" t="str">
        <f t="shared" si="22"/>
        <v>Error?</v>
      </c>
    </row>
    <row r="1511" spans="1:4" x14ac:dyDescent="0.2">
      <c r="A1511" s="5">
        <v>1450</v>
      </c>
      <c r="B1511" s="138">
        <f>'Expenditures 15-22'!K280</f>
        <v>821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131501</v>
      </c>
      <c r="C1517" s="2" t="s">
        <v>594</v>
      </c>
      <c r="D1517" s="2" t="str">
        <f t="shared" si="22"/>
        <v>Error?</v>
      </c>
    </row>
    <row r="1518" spans="1:4" x14ac:dyDescent="0.2">
      <c r="A1518" s="5">
        <v>1457</v>
      </c>
      <c r="B1518" s="138">
        <f>'Expenditures 15-22'!K296</f>
        <v>84501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6306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6306</v>
      </c>
      <c r="C1535" s="2" t="s">
        <v>594</v>
      </c>
      <c r="D1535" s="2" t="str">
        <f t="shared" ref="D1535:D1598" si="23">IF(ISBLANK(B1535),"OK",IF(A1535-B1535=0,"OK","Error?"))</f>
        <v>Error?</v>
      </c>
    </row>
    <row r="1536" spans="1:4" x14ac:dyDescent="0.2">
      <c r="A1536" s="5">
        <v>1475</v>
      </c>
      <c r="B1536" s="138">
        <f>'Expenditures 15-22'!E312</f>
        <v>6306</v>
      </c>
      <c r="C1536" s="2" t="s">
        <v>594</v>
      </c>
      <c r="D1536" s="2" t="str">
        <f t="shared" si="23"/>
        <v>Error?</v>
      </c>
    </row>
    <row r="1537" spans="1:4" x14ac:dyDescent="0.2">
      <c r="A1537" s="5">
        <v>1476</v>
      </c>
      <c r="B1537" s="138">
        <f>'Expenditures 15-22'!F301</f>
        <v>7076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7076</v>
      </c>
      <c r="C1541" s="2" t="s">
        <v>594</v>
      </c>
      <c r="D1541" s="2" t="str">
        <f t="shared" si="23"/>
        <v>Error?</v>
      </c>
    </row>
    <row r="1542" spans="1:4" x14ac:dyDescent="0.2">
      <c r="A1542" s="5">
        <v>1481</v>
      </c>
      <c r="B1542" s="138">
        <f>'Expenditures 15-22'!F312</f>
        <v>7076</v>
      </c>
      <c r="C1542" s="2" t="s">
        <v>594</v>
      </c>
      <c r="D1542" s="2" t="str">
        <f t="shared" si="23"/>
        <v>Error?</v>
      </c>
    </row>
    <row r="1543" spans="1:4" x14ac:dyDescent="0.2">
      <c r="A1543" s="5">
        <v>1482</v>
      </c>
      <c r="B1543" s="138">
        <f>'Expenditures 15-22'!G301</f>
        <v>10083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10083</v>
      </c>
      <c r="C1547" s="2" t="s">
        <v>594</v>
      </c>
      <c r="D1547" s="2" t="str">
        <f t="shared" si="23"/>
        <v>Error?</v>
      </c>
    </row>
    <row r="1548" spans="1:4" x14ac:dyDescent="0.2">
      <c r="A1548" s="5">
        <v>1487</v>
      </c>
      <c r="B1548" s="138">
        <f>'Expenditures 15-22'!G312</f>
        <v>10083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28758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28758</v>
      </c>
      <c r="C1559" s="2" t="s">
        <v>594</v>
      </c>
      <c r="D1559" s="2" t="str">
        <f t="shared" si="23"/>
        <v>Error?</v>
      </c>
    </row>
    <row r="1560" spans="1:4" x14ac:dyDescent="0.2">
      <c r="A1560" s="5">
        <v>1499</v>
      </c>
      <c r="B1560" s="138">
        <f>'Expenditures 15-22'!K312</f>
        <v>28758</v>
      </c>
      <c r="C1560" s="2" t="s">
        <v>594</v>
      </c>
      <c r="D1560" s="2" t="str">
        <f t="shared" si="23"/>
        <v>Error?</v>
      </c>
    </row>
    <row r="1561" spans="1:4" x14ac:dyDescent="0.2">
      <c r="A1561" s="5">
        <v>1500</v>
      </c>
      <c r="B1561" s="138">
        <f>'Expenditures 15-22'!K313</f>
        <v>223622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4305718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5093677</v>
      </c>
      <c r="C1630" s="2" t="s">
        <v>594</v>
      </c>
      <c r="D1630" s="2" t="str">
        <f t="shared" si="24"/>
        <v>Error?</v>
      </c>
    </row>
    <row r="1631" spans="1:4" x14ac:dyDescent="0.2">
      <c r="A1631" s="5">
        <v>1570</v>
      </c>
      <c r="B1631" s="138">
        <f>'Acct Summary 7-8'!D79</f>
        <v>1853742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1902735</v>
      </c>
      <c r="C1644" s="2" t="s">
        <v>594</v>
      </c>
      <c r="D1644" s="2" t="str">
        <f t="shared" si="24"/>
        <v>Error?</v>
      </c>
    </row>
    <row r="1645" spans="1:4" x14ac:dyDescent="0.2">
      <c r="A1645" s="5">
        <v>1584</v>
      </c>
      <c r="B1645" s="138">
        <f>'Acct Summary 7-8'!E79</f>
        <v>160042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191954</v>
      </c>
      <c r="C1658" s="2" t="s">
        <v>594</v>
      </c>
      <c r="D1658" s="2" t="str">
        <f t="shared" si="24"/>
        <v>Error?</v>
      </c>
    </row>
    <row r="1659" spans="1:4" x14ac:dyDescent="0.2">
      <c r="A1659" s="5">
        <v>1598</v>
      </c>
      <c r="B1659" s="138">
        <f>'Acct Summary 7-8'!F79</f>
        <v>311277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397486</v>
      </c>
      <c r="C1672" s="2" t="s">
        <v>594</v>
      </c>
      <c r="D1672" s="2" t="str">
        <f t="shared" si="25"/>
        <v>Error?</v>
      </c>
    </row>
    <row r="1673" spans="1:4" x14ac:dyDescent="0.2">
      <c r="A1673" s="5">
        <v>1612</v>
      </c>
      <c r="B1673" s="138">
        <f>'Acct Summary 7-8'!G79</f>
        <v>136765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221266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223622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2130065</v>
      </c>
      <c r="C1744" s="2" t="s">
        <v>594</v>
      </c>
      <c r="D1744" s="2" t="str">
        <f t="shared" si="26"/>
        <v>Error?</v>
      </c>
    </row>
    <row r="1745" spans="1:5" x14ac:dyDescent="0.2">
      <c r="A1745" s="5">
        <v>1684</v>
      </c>
      <c r="B1745" s="138">
        <f>'Tax Sched 23'!B5</f>
        <v>203251</v>
      </c>
      <c r="C1745" s="2" t="s">
        <v>594</v>
      </c>
      <c r="D1745" s="2" t="str">
        <f t="shared" si="26"/>
        <v>Error?</v>
      </c>
    </row>
    <row r="1746" spans="1:5" x14ac:dyDescent="0.2">
      <c r="A1746" s="5">
        <v>1685</v>
      </c>
      <c r="B1746" s="138">
        <f>'Tax Sched 23'!B6</f>
        <v>467402</v>
      </c>
      <c r="C1746" s="2" t="s">
        <v>594</v>
      </c>
      <c r="D1746" s="2" t="str">
        <f t="shared" si="26"/>
        <v>Error?</v>
      </c>
    </row>
    <row r="1747" spans="1:5" x14ac:dyDescent="0.2">
      <c r="A1747" s="5">
        <v>1686</v>
      </c>
      <c r="B1747" s="138">
        <f>'Tax Sched 23'!B7</f>
        <v>97560</v>
      </c>
      <c r="C1747" s="2" t="s">
        <v>594</v>
      </c>
      <c r="D1747" s="2" t="str">
        <f t="shared" si="26"/>
        <v>Error?</v>
      </c>
    </row>
    <row r="1748" spans="1:5" x14ac:dyDescent="0.2">
      <c r="A1748" s="5">
        <v>1687</v>
      </c>
      <c r="B1748" s="138">
        <f>'Tax Sched 23'!B8</f>
        <v>31934</v>
      </c>
      <c r="C1748" s="2" t="s">
        <v>594</v>
      </c>
      <c r="D1748" s="2" t="str">
        <f t="shared" si="26"/>
        <v>Error?</v>
      </c>
    </row>
    <row r="1749" spans="1:5" x14ac:dyDescent="0.2">
      <c r="A1749" s="5">
        <v>1688</v>
      </c>
      <c r="B1749" s="138">
        <f>'Tax Sched 23'!B10</f>
        <v>40650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163538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16260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3335411</v>
      </c>
      <c r="C1759" s="2" t="s">
        <v>594</v>
      </c>
      <c r="D1759" s="2" t="str">
        <f t="shared" si="26"/>
        <v>Error?</v>
      </c>
    </row>
    <row r="1760" spans="1:5" x14ac:dyDescent="0.2">
      <c r="A1760" s="5">
        <v>1699</v>
      </c>
      <c r="B1760" s="138">
        <f>'Tax Sched 23'!D4</f>
        <v>1351353</v>
      </c>
      <c r="C1760" s="2" t="s">
        <v>594</v>
      </c>
      <c r="D1760" s="2" t="str">
        <f t="shared" si="26"/>
        <v>Error?</v>
      </c>
    </row>
    <row r="1761" spans="1:5" x14ac:dyDescent="0.2">
      <c r="A1761" s="5">
        <v>1700</v>
      </c>
      <c r="B1761" s="138">
        <f>'Tax Sched 23'!D5</f>
        <v>128946</v>
      </c>
      <c r="C1761" s="2" t="s">
        <v>594</v>
      </c>
      <c r="D1761" s="2" t="str">
        <f t="shared" si="26"/>
        <v>Error?</v>
      </c>
    </row>
    <row r="1762" spans="1:5" s="8" customFormat="1" x14ac:dyDescent="0.2">
      <c r="A1762" s="5">
        <v>1701</v>
      </c>
      <c r="B1762" s="138">
        <f>'Tax Sched 23'!D6</f>
        <v>296383</v>
      </c>
      <c r="C1762" s="2" t="s">
        <v>594</v>
      </c>
      <c r="D1762" s="2" t="str">
        <f t="shared" si="26"/>
        <v>Error?</v>
      </c>
      <c r="E1762" s="9"/>
    </row>
    <row r="1763" spans="1:5" x14ac:dyDescent="0.2">
      <c r="A1763" s="5">
        <v>1702</v>
      </c>
      <c r="B1763" s="138">
        <f>'Tax Sched 23'!D7</f>
        <v>61894</v>
      </c>
      <c r="C1763" s="2" t="s">
        <v>594</v>
      </c>
      <c r="D1763" s="2" t="str">
        <f t="shared" si="26"/>
        <v>Error?</v>
      </c>
    </row>
    <row r="1764" spans="1:5" x14ac:dyDescent="0.2">
      <c r="A1764" s="5">
        <v>1703</v>
      </c>
      <c r="B1764" s="138">
        <f>'Tax Sched 23'!D8</f>
        <v>10831</v>
      </c>
      <c r="C1764" s="2" t="s">
        <v>594</v>
      </c>
      <c r="D1764" s="2" t="str">
        <f t="shared" si="26"/>
        <v>Error?</v>
      </c>
    </row>
    <row r="1765" spans="1:5" x14ac:dyDescent="0.2">
      <c r="A1765" s="5">
        <v>1704</v>
      </c>
      <c r="B1765" s="138">
        <f>'Tax Sched 23'!D10</f>
        <v>25789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106353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10316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2124841</v>
      </c>
      <c r="C1775" s="2" t="s">
        <v>594</v>
      </c>
      <c r="D1775" s="2" t="str">
        <f t="shared" si="26"/>
        <v>Error?</v>
      </c>
    </row>
    <row r="1776" spans="1:5" x14ac:dyDescent="0.2">
      <c r="A1776" s="5">
        <v>1715</v>
      </c>
      <c r="B1776" s="138">
        <f>'Tax Sched 23'!C4</f>
        <v>778712</v>
      </c>
      <c r="D1776" s="2" t="str">
        <f t="shared" si="26"/>
        <v>Error?</v>
      </c>
    </row>
    <row r="1777" spans="1:4" x14ac:dyDescent="0.2">
      <c r="A1777" s="5">
        <v>1716</v>
      </c>
      <c r="B1777" s="138">
        <f>'Tax Sched 23'!C5</f>
        <v>74305</v>
      </c>
      <c r="D1777" s="2" t="str">
        <f t="shared" si="26"/>
        <v>Error?</v>
      </c>
    </row>
    <row r="1778" spans="1:4" x14ac:dyDescent="0.2">
      <c r="A1778" s="5">
        <v>1717</v>
      </c>
      <c r="B1778" s="138">
        <f>'Tax Sched 23'!C6</f>
        <v>171019</v>
      </c>
      <c r="D1778" s="2" t="str">
        <f t="shared" si="26"/>
        <v>Error?</v>
      </c>
    </row>
    <row r="1779" spans="1:4" x14ac:dyDescent="0.2">
      <c r="A1779" s="5">
        <v>1718</v>
      </c>
      <c r="B1779" s="138">
        <f>'Tax Sched 23'!C7</f>
        <v>35666</v>
      </c>
      <c r="D1779" s="2" t="str">
        <f t="shared" si="26"/>
        <v>Error?</v>
      </c>
    </row>
    <row r="1780" spans="1:4" x14ac:dyDescent="0.2">
      <c r="A1780" s="5">
        <v>1719</v>
      </c>
      <c r="B1780" s="138">
        <f>'Tax Sched 23'!C8</f>
        <v>21103</v>
      </c>
      <c r="D1780" s="2" t="str">
        <f t="shared" si="26"/>
        <v>Error?</v>
      </c>
    </row>
    <row r="1781" spans="1:4" x14ac:dyDescent="0.2">
      <c r="A1781" s="5">
        <v>1720</v>
      </c>
      <c r="B1781" s="138">
        <f>'Tax Sched 23'!C10</f>
        <v>14861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57185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5944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1210570</v>
      </c>
      <c r="C1791" s="2" t="s">
        <v>594</v>
      </c>
      <c r="D1791" s="2" t="str">
        <f t="shared" ref="D1791:D1854" si="27">IF(ISBLANK(B1791),"OK",IF(A1791-B1791=0,"OK","Error?"))</f>
        <v>Error?</v>
      </c>
    </row>
    <row r="1792" spans="1:4" x14ac:dyDescent="0.2">
      <c r="A1792" s="5">
        <v>1731</v>
      </c>
      <c r="B1792" s="138">
        <f>'Tax Sched 23'!F4</f>
        <v>1218454</v>
      </c>
      <c r="C1792" s="2" t="s">
        <v>594</v>
      </c>
      <c r="D1792" s="2" t="str">
        <f t="shared" si="27"/>
        <v>Error?</v>
      </c>
    </row>
    <row r="1793" spans="1:4" x14ac:dyDescent="0.2">
      <c r="A1793" s="5">
        <v>1732</v>
      </c>
      <c r="B1793" s="138">
        <f>'Tax Sched 23'!F5</f>
        <v>116264</v>
      </c>
      <c r="C1793" s="2" t="s">
        <v>594</v>
      </c>
      <c r="D1793" s="2" t="str">
        <f t="shared" si="27"/>
        <v>Error?</v>
      </c>
    </row>
    <row r="1794" spans="1:4" x14ac:dyDescent="0.2">
      <c r="A1794" s="5">
        <v>1733</v>
      </c>
      <c r="B1794" s="138">
        <f>'Tax Sched 23'!F6</f>
        <v>267595</v>
      </c>
      <c r="C1794" s="2" t="s">
        <v>594</v>
      </c>
      <c r="D1794" s="2" t="str">
        <f t="shared" si="27"/>
        <v>Error?</v>
      </c>
    </row>
    <row r="1795" spans="1:4" x14ac:dyDescent="0.2">
      <c r="A1795" s="5">
        <v>1734</v>
      </c>
      <c r="B1795" s="138">
        <f>'Tax Sched 23'!F7</f>
        <v>55807</v>
      </c>
      <c r="C1795" s="2" t="s">
        <v>594</v>
      </c>
      <c r="D1795" s="2" t="str">
        <f t="shared" si="27"/>
        <v>Error?</v>
      </c>
    </row>
    <row r="1796" spans="1:4" x14ac:dyDescent="0.2">
      <c r="A1796" s="5">
        <v>1735</v>
      </c>
      <c r="B1796" s="138">
        <f>'Tax Sched 23'!F8</f>
        <v>33019</v>
      </c>
      <c r="C1796" s="2" t="s">
        <v>594</v>
      </c>
      <c r="D1796" s="2" t="str">
        <f t="shared" si="27"/>
        <v>Error?</v>
      </c>
    </row>
    <row r="1797" spans="1:4" x14ac:dyDescent="0.2">
      <c r="A1797" s="5">
        <v>1736</v>
      </c>
      <c r="B1797" s="138">
        <f>'Tax Sched 23'!F10</f>
        <v>23253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89477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9302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1894185</v>
      </c>
      <c r="C1807" s="2" t="s">
        <v>594</v>
      </c>
      <c r="D1807" s="2" t="str">
        <f t="shared" si="27"/>
        <v>Error?</v>
      </c>
    </row>
    <row r="1808" spans="1:4" x14ac:dyDescent="0.2">
      <c r="A1808" s="5">
        <v>1747</v>
      </c>
      <c r="B1808" s="138">
        <f>'Tax Sched 23'!E4</f>
        <v>1997166</v>
      </c>
      <c r="D1808" s="2" t="str">
        <f t="shared" si="27"/>
        <v>Error?</v>
      </c>
    </row>
    <row r="1809" spans="1:4" x14ac:dyDescent="0.2">
      <c r="A1809" s="5">
        <v>1748</v>
      </c>
      <c r="B1809" s="138">
        <f>'Tax Sched 23'!E5</f>
        <v>190569</v>
      </c>
      <c r="D1809" s="2" t="str">
        <f t="shared" si="27"/>
        <v>Error?</v>
      </c>
    </row>
    <row r="1810" spans="1:4" x14ac:dyDescent="0.2">
      <c r="A1810" s="5">
        <v>1749</v>
      </c>
      <c r="B1810" s="138">
        <f>'Tax Sched 23'!E6</f>
        <v>438614</v>
      </c>
      <c r="D1810" s="2" t="str">
        <f t="shared" si="27"/>
        <v>Error?</v>
      </c>
    </row>
    <row r="1811" spans="1:4" x14ac:dyDescent="0.2">
      <c r="A1811" s="5">
        <v>1750</v>
      </c>
      <c r="B1811" s="138">
        <f>'Tax Sched 23'!E7</f>
        <v>91473</v>
      </c>
      <c r="D1811" s="2" t="str">
        <f t="shared" si="27"/>
        <v>Error?</v>
      </c>
    </row>
    <row r="1812" spans="1:4" x14ac:dyDescent="0.2">
      <c r="A1812" s="5">
        <v>1751</v>
      </c>
      <c r="B1812" s="138">
        <f>'Tax Sched 23'!E8</f>
        <v>54122</v>
      </c>
      <c r="D1812" s="2" t="str">
        <f t="shared" si="27"/>
        <v>Error?</v>
      </c>
    </row>
    <row r="1813" spans="1:4" x14ac:dyDescent="0.2">
      <c r="A1813" s="5">
        <v>1752</v>
      </c>
      <c r="B1813" s="138">
        <f>'Tax Sched 23'!E10</f>
        <v>38114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146662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15246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3104755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3516000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16260</v>
      </c>
      <c r="D1972" s="2" t="str">
        <f t="shared" si="29"/>
        <v>Error?</v>
      </c>
    </row>
    <row r="1973" spans="1:5" x14ac:dyDescent="0.2">
      <c r="A1973" s="5">
        <v>1912</v>
      </c>
      <c r="B1973" s="138">
        <f>'Rest Tax Levies-Tort Im 25'!H6</f>
        <v>10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16270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16270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988388</v>
      </c>
      <c r="D2008" s="2" t="str">
        <f t="shared" si="30"/>
        <v>Error?</v>
      </c>
    </row>
    <row r="2009" spans="1:4" x14ac:dyDescent="0.2">
      <c r="A2009" s="5">
        <v>1948</v>
      </c>
      <c r="B2009" s="138">
        <f>'Cap Outlay Deprec 26'!C8</f>
        <v>19949067</v>
      </c>
      <c r="D2009" s="2" t="str">
        <f t="shared" si="30"/>
        <v>Error?</v>
      </c>
    </row>
    <row r="2010" spans="1:4" x14ac:dyDescent="0.2">
      <c r="A2010" s="5">
        <v>1949</v>
      </c>
      <c r="B2010" s="138">
        <f>'Cap Outlay Deprec 26'!C10</f>
        <v>1253846</v>
      </c>
      <c r="D2010" s="2" t="str">
        <f t="shared" si="30"/>
        <v>Error?</v>
      </c>
    </row>
    <row r="2011" spans="1:4" x14ac:dyDescent="0.2">
      <c r="A2011" s="5">
        <v>1950</v>
      </c>
      <c r="B2011" s="138">
        <f>'Cap Outlay Deprec 26'!C12</f>
        <v>368914</v>
      </c>
      <c r="D2011" s="2" t="str">
        <f t="shared" si="30"/>
        <v>Error?</v>
      </c>
    </row>
    <row r="2012" spans="1:4" x14ac:dyDescent="0.2">
      <c r="A2012" s="5">
        <v>1951</v>
      </c>
      <c r="B2012" s="138">
        <f>'Cap Outlay Deprec 26'!C13</f>
        <v>398711</v>
      </c>
      <c r="D2012" s="2" t="str">
        <f t="shared" si="30"/>
        <v>Error?</v>
      </c>
    </row>
    <row r="2013" spans="1:4" x14ac:dyDescent="0.2">
      <c r="A2013" s="5">
        <v>1952</v>
      </c>
      <c r="B2013" s="138">
        <f>'Cap Outlay Deprec 26'!C16</f>
        <v>22985604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10083</v>
      </c>
      <c r="D2016" s="2" t="str">
        <f t="shared" si="30"/>
        <v>Error?</v>
      </c>
    </row>
    <row r="2017" spans="1:4" x14ac:dyDescent="0.2">
      <c r="A2017" s="5">
        <v>1956</v>
      </c>
      <c r="B2017" s="138">
        <f>'Cap Outlay Deprec 26'!D12</f>
        <v>25265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35348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51662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51662</v>
      </c>
      <c r="C2025" s="2" t="s">
        <v>594</v>
      </c>
      <c r="D2025" s="2" t="str">
        <f t="shared" si="30"/>
        <v>Error?</v>
      </c>
    </row>
    <row r="2026" spans="1:4" x14ac:dyDescent="0.2">
      <c r="A2026" s="5">
        <v>1965</v>
      </c>
      <c r="B2026" s="138">
        <f>'Cap Outlay Deprec 26'!F5</f>
        <v>988388</v>
      </c>
      <c r="C2026" s="2" t="s">
        <v>594</v>
      </c>
      <c r="D2026" s="2" t="str">
        <f t="shared" si="30"/>
        <v>Error?</v>
      </c>
    </row>
    <row r="2027" spans="1:4" x14ac:dyDescent="0.2">
      <c r="A2027" s="5">
        <v>1966</v>
      </c>
      <c r="B2027" s="138">
        <f>'Cap Outlay Deprec 26'!F8</f>
        <v>19949067</v>
      </c>
      <c r="C2027" s="2" t="s">
        <v>594</v>
      </c>
      <c r="D2027" s="2" t="str">
        <f t="shared" si="30"/>
        <v>Error?</v>
      </c>
    </row>
    <row r="2028" spans="1:4" x14ac:dyDescent="0.2">
      <c r="A2028" s="5">
        <v>1967</v>
      </c>
      <c r="B2028" s="138">
        <f>'Cap Outlay Deprec 26'!F10</f>
        <v>1263929</v>
      </c>
      <c r="C2028" s="2" t="s">
        <v>594</v>
      </c>
      <c r="D2028" s="2" t="str">
        <f t="shared" si="30"/>
        <v>Error?</v>
      </c>
    </row>
    <row r="2029" spans="1:4" x14ac:dyDescent="0.2">
      <c r="A2029" s="5">
        <v>1968</v>
      </c>
      <c r="B2029" s="138">
        <f>'Cap Outlay Deprec 26'!F12</f>
        <v>342517</v>
      </c>
      <c r="C2029" s="2" t="s">
        <v>594</v>
      </c>
      <c r="D2029" s="2" t="str">
        <f t="shared" si="30"/>
        <v>Error?</v>
      </c>
    </row>
    <row r="2030" spans="1:4" x14ac:dyDescent="0.2">
      <c r="A2030" s="5">
        <v>1969</v>
      </c>
      <c r="B2030" s="138">
        <f>'Cap Outlay Deprec 26'!F13</f>
        <v>398711</v>
      </c>
      <c r="C2030" s="2" t="s">
        <v>594</v>
      </c>
      <c r="D2030" s="2" t="str">
        <f t="shared" si="30"/>
        <v>Error?</v>
      </c>
    </row>
    <row r="2031" spans="1:4" x14ac:dyDescent="0.2">
      <c r="A2031" s="5">
        <v>1970</v>
      </c>
      <c r="B2031" s="138">
        <f>'Cap Outlay Deprec 26'!F16</f>
        <v>22969290</v>
      </c>
      <c r="C2031" s="2" t="s">
        <v>594</v>
      </c>
      <c r="D2031" s="2" t="str">
        <f t="shared" si="30"/>
        <v>Error?</v>
      </c>
    </row>
    <row r="2032" spans="1:4" x14ac:dyDescent="0.2">
      <c r="A2032" s="10">
        <v>1971</v>
      </c>
      <c r="D2032" s="2" t="str">
        <f t="shared" si="30"/>
        <v>OK</v>
      </c>
    </row>
    <row r="2033" spans="1:4" x14ac:dyDescent="0.2">
      <c r="A2033" s="5">
        <v>1972</v>
      </c>
      <c r="B2033" s="138">
        <f>'Cap Outlay Deprec 26'!H8</f>
        <v>4317297</v>
      </c>
      <c r="D2033" s="2" t="str">
        <f t="shared" si="30"/>
        <v>Error?</v>
      </c>
    </row>
    <row r="2034" spans="1:4" x14ac:dyDescent="0.2">
      <c r="A2034" s="5">
        <v>1973</v>
      </c>
      <c r="B2034" s="138">
        <f>'Cap Outlay Deprec 26'!H10</f>
        <v>397034</v>
      </c>
      <c r="D2034" s="2" t="str">
        <f t="shared" si="30"/>
        <v>Error?</v>
      </c>
    </row>
    <row r="2035" spans="1:4" x14ac:dyDescent="0.2">
      <c r="A2035" s="5">
        <v>1974</v>
      </c>
      <c r="B2035" s="138">
        <f>'Cap Outlay Deprec 26'!H12</f>
        <v>232509</v>
      </c>
      <c r="D2035" s="2" t="str">
        <f t="shared" si="30"/>
        <v>Error?</v>
      </c>
    </row>
    <row r="2036" spans="1:4" x14ac:dyDescent="0.2">
      <c r="A2036" s="5">
        <v>1975</v>
      </c>
      <c r="B2036" s="138">
        <f>'Cap Outlay Deprec 26'!H13</f>
        <v>398711</v>
      </c>
      <c r="D2036" s="2" t="str">
        <f t="shared" si="30"/>
        <v>Error?</v>
      </c>
    </row>
    <row r="2037" spans="1:4" x14ac:dyDescent="0.2">
      <c r="A2037" s="5">
        <v>1976</v>
      </c>
      <c r="B2037" s="138">
        <f>'Cap Outlay Deprec 26'!H16</f>
        <v>5372229</v>
      </c>
      <c r="C2037" s="2" t="s">
        <v>594</v>
      </c>
      <c r="D2037" s="2" t="str">
        <f t="shared" si="30"/>
        <v>Error?</v>
      </c>
    </row>
    <row r="2038" spans="1:4" x14ac:dyDescent="0.2">
      <c r="A2038" s="10">
        <v>1977</v>
      </c>
      <c r="D2038" s="2" t="str">
        <f t="shared" si="30"/>
        <v>OK</v>
      </c>
    </row>
    <row r="2039" spans="1:4" x14ac:dyDescent="0.2">
      <c r="A2039" s="5">
        <v>1978</v>
      </c>
      <c r="B2039" s="138">
        <f>'Cap Outlay Deprec 26'!I8</f>
        <v>375174</v>
      </c>
      <c r="D2039" s="2" t="str">
        <f t="shared" si="30"/>
        <v>Error?</v>
      </c>
    </row>
    <row r="2040" spans="1:4" x14ac:dyDescent="0.2">
      <c r="A2040" s="5">
        <v>1979</v>
      </c>
      <c r="B2040" s="138">
        <f>'Cap Outlay Deprec 26'!I10</f>
        <v>62017</v>
      </c>
      <c r="D2040" s="2" t="str">
        <f t="shared" si="30"/>
        <v>Error?</v>
      </c>
    </row>
    <row r="2041" spans="1:4" x14ac:dyDescent="0.2">
      <c r="A2041" s="5">
        <v>1980</v>
      </c>
      <c r="B2041" s="138">
        <f>'Cap Outlay Deprec 26'!I12</f>
        <v>34250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471441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51662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51662</v>
      </c>
      <c r="C2049" s="2" t="s">
        <v>594</v>
      </c>
      <c r="D2049" s="2" t="str">
        <f t="shared" si="31"/>
        <v>Error?</v>
      </c>
    </row>
    <row r="2050" spans="1:4" x14ac:dyDescent="0.2">
      <c r="A2050" s="10">
        <v>1989</v>
      </c>
      <c r="D2050" s="2" t="str">
        <f t="shared" si="31"/>
        <v>OK</v>
      </c>
    </row>
    <row r="2051" spans="1:4" x14ac:dyDescent="0.2">
      <c r="A2051" s="5">
        <v>1990</v>
      </c>
      <c r="B2051" s="138">
        <f>'Cap Outlay Deprec 26'!K8</f>
        <v>4692471</v>
      </c>
      <c r="C2051" s="2" t="s">
        <v>594</v>
      </c>
      <c r="D2051" s="2" t="str">
        <f t="shared" si="31"/>
        <v>Error?</v>
      </c>
    </row>
    <row r="2052" spans="1:4" x14ac:dyDescent="0.2">
      <c r="A2052" s="5">
        <v>1991</v>
      </c>
      <c r="B2052" s="138">
        <f>'Cap Outlay Deprec 26'!K10</f>
        <v>459051</v>
      </c>
      <c r="C2052" s="2" t="s">
        <v>594</v>
      </c>
      <c r="D2052" s="2" t="str">
        <f t="shared" si="31"/>
        <v>Error?</v>
      </c>
    </row>
    <row r="2053" spans="1:4" x14ac:dyDescent="0.2">
      <c r="A2053" s="5">
        <v>1992</v>
      </c>
      <c r="B2053" s="138">
        <f>'Cap Outlay Deprec 26'!K12</f>
        <v>215097</v>
      </c>
      <c r="C2053" s="2" t="s">
        <v>594</v>
      </c>
      <c r="D2053" s="2" t="str">
        <f t="shared" si="31"/>
        <v>Error?</v>
      </c>
    </row>
    <row r="2054" spans="1:4" x14ac:dyDescent="0.2">
      <c r="A2054" s="5">
        <v>1993</v>
      </c>
      <c r="B2054" s="138">
        <f>'Cap Outlay Deprec 26'!K13</f>
        <v>398711</v>
      </c>
      <c r="C2054" s="2" t="s">
        <v>594</v>
      </c>
      <c r="D2054" s="2" t="str">
        <f t="shared" si="31"/>
        <v>Error?</v>
      </c>
    </row>
    <row r="2055" spans="1:4" x14ac:dyDescent="0.2">
      <c r="A2055" s="5">
        <v>1994</v>
      </c>
      <c r="B2055" s="138">
        <f>'Cap Outlay Deprec 26'!K16</f>
        <v>5792008</v>
      </c>
      <c r="C2055" s="2" t="s">
        <v>594</v>
      </c>
      <c r="D2055" s="2" t="str">
        <f t="shared" si="31"/>
        <v>Error?</v>
      </c>
    </row>
    <row r="2056" spans="1:4" x14ac:dyDescent="0.2">
      <c r="A2056" s="5">
        <v>1995</v>
      </c>
      <c r="B2056" s="138">
        <f>'Cap Outlay Deprec 26'!L5</f>
        <v>988388</v>
      </c>
      <c r="C2056" s="2" t="s">
        <v>594</v>
      </c>
      <c r="D2056" s="2" t="str">
        <f t="shared" si="31"/>
        <v>Error?</v>
      </c>
    </row>
    <row r="2057" spans="1:4" x14ac:dyDescent="0.2">
      <c r="A2057" s="5">
        <v>1996</v>
      </c>
      <c r="B2057" s="138">
        <f>'Cap Outlay Deprec 26'!L8</f>
        <v>15256596</v>
      </c>
      <c r="C2057" s="2" t="s">
        <v>594</v>
      </c>
      <c r="D2057" s="2" t="str">
        <f t="shared" si="31"/>
        <v>Error?</v>
      </c>
    </row>
    <row r="2058" spans="1:4" x14ac:dyDescent="0.2">
      <c r="A2058" s="5">
        <v>1997</v>
      </c>
      <c r="B2058" s="138">
        <f>'Cap Outlay Deprec 26'!L10</f>
        <v>804878</v>
      </c>
      <c r="C2058" s="2" t="s">
        <v>594</v>
      </c>
      <c r="D2058" s="2" t="str">
        <f t="shared" si="31"/>
        <v>Error?</v>
      </c>
    </row>
    <row r="2059" spans="1:4" x14ac:dyDescent="0.2">
      <c r="A2059" s="5">
        <v>1998</v>
      </c>
      <c r="B2059" s="138">
        <f>'Cap Outlay Deprec 26'!L12</f>
        <v>127420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17177282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221960</v>
      </c>
      <c r="C2088" s="2" t="s">
        <v>594</v>
      </c>
      <c r="D2088" s="2" t="str">
        <f t="shared" si="31"/>
        <v>Error?</v>
      </c>
    </row>
    <row r="2089" spans="1:4" x14ac:dyDescent="0.2">
      <c r="A2089" s="5">
        <v>2028</v>
      </c>
      <c r="B2089" s="138">
        <f>'Expenditures 15-22'!K92</f>
        <v>189797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104322</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53984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155675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223622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2496988</v>
      </c>
      <c r="C2551" s="2" t="s">
        <v>594</v>
      </c>
      <c r="D2551" s="2" t="str">
        <f t="shared" si="38"/>
        <v>Error?</v>
      </c>
    </row>
    <row r="2552" spans="1:4" x14ac:dyDescent="0.2">
      <c r="A2552" s="10">
        <v>2491</v>
      </c>
      <c r="D2552" s="2" t="str">
        <f t="shared" si="38"/>
        <v>OK</v>
      </c>
    </row>
    <row r="2553" spans="1:4" x14ac:dyDescent="0.2">
      <c r="A2553" s="5">
        <v>2492</v>
      </c>
      <c r="B2553" s="138">
        <f>'Acct Summary 7-8'!C6</f>
        <v>2773275</v>
      </c>
      <c r="C2553" s="2" t="s">
        <v>594</v>
      </c>
      <c r="D2553" s="2" t="str">
        <f t="shared" si="38"/>
        <v>Error?</v>
      </c>
    </row>
    <row r="2554" spans="1:4" x14ac:dyDescent="0.2">
      <c r="A2554" s="5">
        <v>2493</v>
      </c>
      <c r="B2554" s="138">
        <f>'Acct Summary 7-8'!C7</f>
        <v>803269</v>
      </c>
      <c r="C2554" s="2" t="s">
        <v>594</v>
      </c>
      <c r="D2554" s="2" t="str">
        <f t="shared" si="38"/>
        <v>Error?</v>
      </c>
    </row>
    <row r="2555" spans="1:4" x14ac:dyDescent="0.2">
      <c r="A2555" s="5">
        <v>2494</v>
      </c>
      <c r="B2555" s="138">
        <f>'Acct Summary 7-8'!C8</f>
        <v>6073532</v>
      </c>
      <c r="C2555" s="2" t="s">
        <v>594</v>
      </c>
      <c r="D2555" s="2" t="str">
        <f t="shared" si="38"/>
        <v>Error?</v>
      </c>
    </row>
    <row r="2556" spans="1:4" x14ac:dyDescent="0.2">
      <c r="A2556" s="5">
        <v>2495</v>
      </c>
      <c r="B2556" s="138">
        <f>'Acct Summary 7-8'!C12</f>
        <v>3391901</v>
      </c>
      <c r="C2556" s="2" t="s">
        <v>594</v>
      </c>
      <c r="D2556" s="2" t="str">
        <f t="shared" si="38"/>
        <v>Error?</v>
      </c>
    </row>
    <row r="2557" spans="1:4" x14ac:dyDescent="0.2">
      <c r="A2557" s="5">
        <v>2496</v>
      </c>
      <c r="B2557" s="138">
        <f>'Acct Summary 7-8'!C13</f>
        <v>1469775</v>
      </c>
      <c r="C2557" s="2" t="s">
        <v>594</v>
      </c>
      <c r="D2557" s="2" t="str">
        <f t="shared" si="38"/>
        <v>Error?</v>
      </c>
    </row>
    <row r="2558" spans="1:4" x14ac:dyDescent="0.2">
      <c r="A2558" s="5">
        <v>2497</v>
      </c>
      <c r="B2558" s="138">
        <f>'Acct Summary 7-8'!C14</f>
        <v>12140</v>
      </c>
      <c r="C2558" s="2" t="s">
        <v>594</v>
      </c>
      <c r="D2558" s="2" t="str">
        <f t="shared" si="38"/>
        <v>Error?</v>
      </c>
    </row>
    <row r="2559" spans="1:4" x14ac:dyDescent="0.2">
      <c r="A2559" s="5">
        <v>2498</v>
      </c>
      <c r="B2559" s="138">
        <f>'Acct Summary 7-8'!C15</f>
        <v>411757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5285573</v>
      </c>
      <c r="C2561" s="2" t="s">
        <v>594</v>
      </c>
      <c r="D2561" s="2" t="str">
        <f t="shared" si="39"/>
        <v>Error?</v>
      </c>
    </row>
    <row r="2562" spans="1:4" x14ac:dyDescent="0.2">
      <c r="A2562" s="5">
        <v>2501</v>
      </c>
      <c r="B2562" s="138">
        <f>'Acct Summary 7-8'!C20</f>
        <v>787959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297365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297365</v>
      </c>
      <c r="C2568" s="2" t="s">
        <v>594</v>
      </c>
      <c r="D2568" s="2" t="str">
        <f t="shared" si="39"/>
        <v>Error?</v>
      </c>
    </row>
    <row r="2569" spans="1:4" x14ac:dyDescent="0.2">
      <c r="A2569" s="5">
        <v>2508</v>
      </c>
      <c r="B2569" s="138">
        <f>'Acct Summary 7-8'!D13</f>
        <v>144050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104322</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248372</v>
      </c>
      <c r="C2573" s="2" t="s">
        <v>594</v>
      </c>
      <c r="D2573" s="2" t="str">
        <f t="shared" si="39"/>
        <v>Error?</v>
      </c>
    </row>
    <row r="2574" spans="1:4" x14ac:dyDescent="0.2">
      <c r="A2574" s="5">
        <v>2513</v>
      </c>
      <c r="B2574" s="138">
        <f>'Acct Summary 7-8'!D20</f>
        <v>48993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221306</v>
      </c>
      <c r="C2591" s="2" t="s">
        <v>594</v>
      </c>
      <c r="D2591" s="2" t="str">
        <f t="shared" si="39"/>
        <v>Error?</v>
      </c>
    </row>
    <row r="2592" spans="1:4" x14ac:dyDescent="0.2">
      <c r="A2592" s="10">
        <v>2531</v>
      </c>
      <c r="D2592" s="2" t="str">
        <f t="shared" si="39"/>
        <v>OK</v>
      </c>
    </row>
    <row r="2593" spans="1:4" x14ac:dyDescent="0.2">
      <c r="A2593" s="5">
        <v>2532</v>
      </c>
      <c r="B2593" s="138">
        <f>'Acct Summary 7-8'!F6</f>
        <v>131785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353091</v>
      </c>
      <c r="C2595" s="2" t="s">
        <v>594</v>
      </c>
      <c r="D2595" s="2" t="str">
        <f t="shared" si="39"/>
        <v>Error?</v>
      </c>
    </row>
    <row r="2596" spans="1:4" x14ac:dyDescent="0.2">
      <c r="A2596" s="5">
        <v>2535</v>
      </c>
      <c r="B2596" s="138">
        <f>'Acct Summary 7-8'!F13</f>
        <v>185551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81331</v>
      </c>
      <c r="C2599" s="2" t="s">
        <v>594</v>
      </c>
      <c r="D2599" s="2" t="str">
        <f t="shared" si="39"/>
        <v>Error?</v>
      </c>
    </row>
    <row r="2600" spans="1:4" x14ac:dyDescent="0.2">
      <c r="A2600" s="5">
        <v>2539</v>
      </c>
      <c r="B2600" s="138">
        <f>'Acct Summary 7-8'!F17</f>
        <v>266882</v>
      </c>
      <c r="C2600" s="2" t="s">
        <v>594</v>
      </c>
      <c r="D2600" s="2" t="str">
        <f t="shared" si="39"/>
        <v>Error?</v>
      </c>
    </row>
    <row r="2601" spans="1:4" x14ac:dyDescent="0.2">
      <c r="A2601" s="5">
        <v>2540</v>
      </c>
      <c r="B2601" s="138">
        <f>'Acct Summary 7-8'!F20</f>
        <v>86209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216002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216002</v>
      </c>
      <c r="C2606" s="2" t="s">
        <v>594</v>
      </c>
      <c r="D2606" s="2" t="str">
        <f t="shared" si="39"/>
        <v>Error?</v>
      </c>
    </row>
    <row r="2607" spans="1:4" x14ac:dyDescent="0.2">
      <c r="A2607" s="5">
        <v>2546</v>
      </c>
      <c r="B2607" s="138">
        <f>'Acct Summary 7-8'!G12</f>
        <v>44122</v>
      </c>
      <c r="C2607" s="2" t="s">
        <v>594</v>
      </c>
      <c r="D2607" s="2" t="str">
        <f t="shared" si="39"/>
        <v>Error?</v>
      </c>
    </row>
    <row r="2608" spans="1:4" x14ac:dyDescent="0.2">
      <c r="A2608" s="5">
        <v>2547</v>
      </c>
      <c r="B2608" s="138">
        <f>'Acct Summary 7-8'!G13</f>
        <v>82184</v>
      </c>
      <c r="C2608" s="2" t="s">
        <v>594</v>
      </c>
      <c r="D2608" s="2" t="str">
        <f t="shared" si="39"/>
        <v>Error?</v>
      </c>
    </row>
    <row r="2609" spans="1:4" x14ac:dyDescent="0.2">
      <c r="A2609" s="5">
        <v>2548</v>
      </c>
      <c r="B2609" s="138">
        <f>'Acct Summary 7-8'!G14</f>
        <v>821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131501</v>
      </c>
      <c r="C2612" s="2" t="s">
        <v>594</v>
      </c>
      <c r="D2612" s="2" t="str">
        <f t="shared" si="39"/>
        <v>Error?</v>
      </c>
    </row>
    <row r="2613" spans="1:4" x14ac:dyDescent="0.2">
      <c r="A2613" s="5">
        <v>2552</v>
      </c>
      <c r="B2613" s="138">
        <f>'Acct Summary 7-8'!G20</f>
        <v>84501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470678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470678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438766</v>
      </c>
      <c r="C2634" s="2" t="s">
        <v>594</v>
      </c>
      <c r="D2634" s="2" t="str">
        <f t="shared" si="40"/>
        <v>Error?</v>
      </c>
    </row>
    <row r="2635" spans="1:4" x14ac:dyDescent="0.2">
      <c r="A2635" s="5">
        <v>2574</v>
      </c>
      <c r="B2635" s="138">
        <f>'Acct Summary 7-8'!E17</f>
        <v>438766</v>
      </c>
      <c r="C2635" s="2" t="s">
        <v>594</v>
      </c>
      <c r="D2635" s="2" t="str">
        <f t="shared" si="40"/>
        <v>Error?</v>
      </c>
    </row>
    <row r="2636" spans="1:4" x14ac:dyDescent="0.2">
      <c r="A2636" s="5">
        <v>2575</v>
      </c>
      <c r="B2636" s="138">
        <f>'Acct Summary 7-8'!E20</f>
        <v>31912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252380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252380</v>
      </c>
      <c r="C2658" s="2" t="s">
        <v>594</v>
      </c>
      <c r="D2658" s="2" t="str">
        <f t="shared" si="40"/>
        <v>Error?</v>
      </c>
    </row>
    <row r="2659" spans="1:4" x14ac:dyDescent="0.2">
      <c r="A2659" s="5">
        <v>2598</v>
      </c>
      <c r="B2659" s="138">
        <f>'Acct Summary 7-8'!H13</f>
        <v>28758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28758</v>
      </c>
      <c r="C2661" s="2" t="s">
        <v>594</v>
      </c>
      <c r="D2661" s="2" t="str">
        <f t="shared" si="40"/>
        <v>Error?</v>
      </c>
    </row>
    <row r="2662" spans="1:4" x14ac:dyDescent="0.2">
      <c r="A2662" s="5">
        <v>2601</v>
      </c>
      <c r="B2662" s="138">
        <f>'Acct Summary 7-8'!H20</f>
        <v>223622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221960</v>
      </c>
      <c r="C2789" s="2" t="s">
        <v>594</v>
      </c>
      <c r="D2789" s="2" t="str">
        <f t="shared" si="42"/>
        <v>Error?</v>
      </c>
    </row>
    <row r="2790" spans="1:4" x14ac:dyDescent="0.2">
      <c r="A2790" s="5">
        <v>2729</v>
      </c>
      <c r="B2790" s="138">
        <f>'Expenditures 15-22'!E102</f>
        <v>221960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197038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598975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38508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598975</v>
      </c>
      <c r="D2912" s="2" t="str">
        <f t="shared" si="44"/>
        <v>Error?</v>
      </c>
    </row>
    <row r="2913" spans="1:4" x14ac:dyDescent="0.2">
      <c r="A2913" s="5">
        <v>2852</v>
      </c>
      <c r="B2913" s="138">
        <f>'Assets-Liab 5-6'!I41</f>
        <v>598975</v>
      </c>
      <c r="C2913" s="2" t="s">
        <v>594</v>
      </c>
      <c r="D2913" s="2" t="str">
        <f t="shared" si="44"/>
        <v>Error?</v>
      </c>
    </row>
    <row r="2914" spans="1:4" x14ac:dyDescent="0.2">
      <c r="A2914" s="5">
        <v>2853</v>
      </c>
      <c r="B2914" s="138">
        <f>'Assets-Liab 5-6'!L33</f>
        <v>21725</v>
      </c>
      <c r="D2914" s="2" t="str">
        <f t="shared" si="44"/>
        <v>Error?</v>
      </c>
    </row>
    <row r="2915" spans="1:4" x14ac:dyDescent="0.2">
      <c r="A2915" s="10">
        <v>2854</v>
      </c>
      <c r="D2915" s="2" t="str">
        <f t="shared" si="44"/>
        <v>OK</v>
      </c>
    </row>
    <row r="2916" spans="1:4" x14ac:dyDescent="0.2">
      <c r="A2916" s="5">
        <v>2855</v>
      </c>
      <c r="B2916" s="138">
        <f>'Assets-Liab 5-6'!L34</f>
        <v>21725</v>
      </c>
      <c r="C2916" s="2" t="s">
        <v>594</v>
      </c>
      <c r="D2916" s="2" t="str">
        <f t="shared" si="44"/>
        <v>Error?</v>
      </c>
    </row>
    <row r="2917" spans="1:4" x14ac:dyDescent="0.2">
      <c r="A2917" s="5">
        <v>2856</v>
      </c>
      <c r="B2917" s="138">
        <f>'Assets-Liab 5-6'!L41</f>
        <v>38508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51825</v>
      </c>
      <c r="D2949" s="2" t="str">
        <f t="shared" si="45"/>
        <v>Error?</v>
      </c>
    </row>
    <row r="2950" spans="1:4" x14ac:dyDescent="0.2">
      <c r="A2950" s="5">
        <v>2889</v>
      </c>
      <c r="B2950" s="138">
        <f>'Expenditures 15-22'!E79</f>
        <v>170135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51825</v>
      </c>
      <c r="C2973" s="2" t="s">
        <v>594</v>
      </c>
      <c r="D2973" s="2" t="str">
        <f t="shared" si="45"/>
        <v>Error?</v>
      </c>
    </row>
    <row r="2974" spans="1:4" x14ac:dyDescent="0.2">
      <c r="A2974" s="5">
        <v>2913</v>
      </c>
      <c r="B2974" s="138">
        <f>'Expenditures 15-22'!K79</f>
        <v>170135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104322</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110815</v>
      </c>
      <c r="D3055" s="2" t="str">
        <f t="shared" si="46"/>
        <v>Error?</v>
      </c>
    </row>
    <row r="3056" spans="1:4" x14ac:dyDescent="0.2">
      <c r="A3056" s="5">
        <v>2995</v>
      </c>
      <c r="B3056" s="138">
        <f>'Expenditures 15-22'!D10</f>
        <v>28594</v>
      </c>
      <c r="D3056" s="2" t="str">
        <f t="shared" si="46"/>
        <v>Error?</v>
      </c>
    </row>
    <row r="3057" spans="1:4" x14ac:dyDescent="0.2">
      <c r="A3057" s="5">
        <v>2996</v>
      </c>
      <c r="B3057" s="138">
        <f>'Expenditures 15-22'!E10</f>
        <v>11269</v>
      </c>
      <c r="D3057" s="2" t="str">
        <f t="shared" si="46"/>
        <v>Error?</v>
      </c>
    </row>
    <row r="3058" spans="1:4" x14ac:dyDescent="0.2">
      <c r="A3058" s="5">
        <v>2997</v>
      </c>
      <c r="B3058" s="138">
        <f>'Expenditures 15-22'!F10</f>
        <v>3186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153864</v>
      </c>
      <c r="C3062" s="2" t="s">
        <v>594</v>
      </c>
      <c r="D3062" s="2" t="str">
        <f t="shared" si="46"/>
        <v>Error?</v>
      </c>
    </row>
    <row r="3063" spans="1:4" x14ac:dyDescent="0.2">
      <c r="A3063" s="10">
        <v>3002</v>
      </c>
      <c r="D3063" s="2" t="str">
        <f t="shared" si="46"/>
        <v>OK</v>
      </c>
    </row>
    <row r="3064" spans="1:4" x14ac:dyDescent="0.2">
      <c r="A3064" s="5">
        <v>3003</v>
      </c>
      <c r="B3064" s="138">
        <f>'Expenditures 15-22'!D219</f>
        <v>2047</v>
      </c>
      <c r="D3064" s="2" t="str">
        <f t="shared" si="46"/>
        <v>Error?</v>
      </c>
    </row>
    <row r="3065" spans="1:4" x14ac:dyDescent="0.2">
      <c r="A3065" s="5">
        <v>3004</v>
      </c>
      <c r="B3065" s="138">
        <f>'Expenditures 15-22'!K219</f>
        <v>2047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16783</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44544</v>
      </c>
      <c r="C3225" s="2" t="s">
        <v>594</v>
      </c>
      <c r="D3225" s="2" t="str">
        <f t="shared" si="49"/>
        <v>Error?</v>
      </c>
    </row>
    <row r="3226" spans="1:4" x14ac:dyDescent="0.2">
      <c r="A3226" s="5">
        <v>3165</v>
      </c>
      <c r="B3226" s="138">
        <f>'Acct Summary 7-8'!I8</f>
        <v>44544</v>
      </c>
      <c r="C3226" s="2" t="s">
        <v>594</v>
      </c>
      <c r="D3226" s="2" t="str">
        <f t="shared" si="49"/>
        <v>Error?</v>
      </c>
    </row>
    <row r="3227" spans="1:4" x14ac:dyDescent="0.2">
      <c r="A3227" s="5">
        <v>3166</v>
      </c>
      <c r="B3227" s="138">
        <f>'Acct Summary 7-8'!I20</f>
        <v>44544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787959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48993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86209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84501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31912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223622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44544</v>
      </c>
      <c r="C3320" s="2" t="s">
        <v>594</v>
      </c>
      <c r="D3320" s="2" t="str">
        <f t="shared" si="50"/>
        <v>Error?</v>
      </c>
    </row>
    <row r="3321" spans="1:4" x14ac:dyDescent="0.2">
      <c r="A3321" s="5">
        <v>3260</v>
      </c>
      <c r="B3321" s="138">
        <f>'Acct Summary 7-8'!I79</f>
        <v>554431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598975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305672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73390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384999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22925</v>
      </c>
      <c r="D3387" s="2" t="str">
        <f t="shared" si="51"/>
        <v>Error?</v>
      </c>
    </row>
    <row r="3388" spans="1:4" x14ac:dyDescent="0.2">
      <c r="A3388" s="5">
        <v>3327</v>
      </c>
      <c r="B3388" s="138">
        <f>'Expenditures 15-22'!D217</f>
        <v>10425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22925</v>
      </c>
      <c r="C3390" s="2" t="s">
        <v>594</v>
      </c>
      <c r="D3390" s="2" t="str">
        <f t="shared" si="51"/>
        <v>Error?</v>
      </c>
    </row>
    <row r="3391" spans="1:4" x14ac:dyDescent="0.2">
      <c r="A3391" s="5">
        <v>3330</v>
      </c>
      <c r="B3391" s="138">
        <f>'Expenditures 15-22'!K217</f>
        <v>10425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4911551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1902735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191954</v>
      </c>
      <c r="D3417" s="2" t="str">
        <f t="shared" si="52"/>
        <v>Error?</v>
      </c>
    </row>
    <row r="3418" spans="1:4" x14ac:dyDescent="0.2">
      <c r="A3418" s="10">
        <v>3357</v>
      </c>
      <c r="D3418" s="2" t="str">
        <f t="shared" si="52"/>
        <v>OK</v>
      </c>
    </row>
    <row r="3419" spans="1:4" x14ac:dyDescent="0.2">
      <c r="A3419" s="5">
        <v>3358</v>
      </c>
      <c r="B3419" s="138">
        <f>'Assets-Liab 5-6'!F4</f>
        <v>397486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182480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223622</v>
      </c>
      <c r="D3425" s="2" t="str">
        <f t="shared" si="52"/>
        <v>Error?</v>
      </c>
    </row>
    <row r="3426" spans="1:4" x14ac:dyDescent="0.2">
      <c r="A3426" s="10">
        <v>3365</v>
      </c>
      <c r="D3426" s="2" t="str">
        <f t="shared" si="52"/>
        <v>OK</v>
      </c>
    </row>
    <row r="3427" spans="1:4" x14ac:dyDescent="0.2">
      <c r="A3427" s="5">
        <v>3366</v>
      </c>
      <c r="B3427" s="138">
        <f>'Assets-Liab 5-6'!I4</f>
        <v>401937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38508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174015</v>
      </c>
      <c r="C3446" s="2" t="s">
        <v>594</v>
      </c>
      <c r="D3446" s="2" t="str">
        <f t="shared" si="52"/>
        <v>Error?</v>
      </c>
    </row>
    <row r="3447" spans="1:4" x14ac:dyDescent="0.2">
      <c r="A3447" s="5">
        <v>3386</v>
      </c>
      <c r="B3447" s="138">
        <f>'Tax Sched 23'!D16</f>
        <v>122240</v>
      </c>
      <c r="C3447" s="2" t="s">
        <v>594</v>
      </c>
      <c r="D3447" s="2" t="str">
        <f t="shared" si="52"/>
        <v>Error?</v>
      </c>
    </row>
    <row r="3448" spans="1:4" x14ac:dyDescent="0.2">
      <c r="A3448" s="5">
        <v>3387</v>
      </c>
      <c r="B3448" s="138">
        <f>'Tax Sched 23'!C16</f>
        <v>51775</v>
      </c>
      <c r="D3448" s="2" t="str">
        <f t="shared" si="52"/>
        <v>Error?</v>
      </c>
    </row>
    <row r="3449" spans="1:4" x14ac:dyDescent="0.2">
      <c r="A3449" s="5">
        <v>3388</v>
      </c>
      <c r="B3449" s="138">
        <f>'Tax Sched 23'!F16</f>
        <v>81014</v>
      </c>
      <c r="C3449" s="2" t="s">
        <v>594</v>
      </c>
      <c r="D3449" s="2" t="str">
        <f t="shared" si="52"/>
        <v>Error?</v>
      </c>
    </row>
    <row r="3450" spans="1:4" x14ac:dyDescent="0.2">
      <c r="A3450" s="5">
        <v>3389</v>
      </c>
      <c r="B3450" s="138">
        <f>'Tax Sched 23'!E16</f>
        <v>132789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3464</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3464</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40402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40402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40402</v>
      </c>
      <c r="D3567" s="2" t="str">
        <f t="shared" si="54"/>
        <v>Error?</v>
      </c>
    </row>
    <row r="3568" spans="1:4" x14ac:dyDescent="0.2">
      <c r="A3568" s="5">
        <v>3507</v>
      </c>
      <c r="B3568" s="138">
        <f>'Assets-Liab 5-6'!K41</f>
        <v>40402</v>
      </c>
      <c r="C3568" s="2" t="s">
        <v>594</v>
      </c>
      <c r="D3568" s="2" t="str">
        <f t="shared" si="54"/>
        <v>Error?</v>
      </c>
    </row>
    <row r="3569" spans="1:4" x14ac:dyDescent="0.2">
      <c r="A3569" s="5">
        <v>3508</v>
      </c>
      <c r="B3569" s="138">
        <f>'Acct Summary 7-8'!K4</f>
        <v>355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355</v>
      </c>
      <c r="C3571" s="2" t="s">
        <v>594</v>
      </c>
      <c r="D3571" s="2" t="str">
        <f t="shared" si="54"/>
        <v>Error?</v>
      </c>
    </row>
    <row r="3572" spans="1:4" x14ac:dyDescent="0.2">
      <c r="A3572" s="5">
        <v>3511</v>
      </c>
      <c r="B3572" s="138">
        <f>'Acct Summary 7-8'!K13</f>
        <v>16800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16800</v>
      </c>
      <c r="C3575" s="2" t="s">
        <v>594</v>
      </c>
      <c r="D3575" s="2" t="str">
        <f t="shared" si="54"/>
        <v>Error?</v>
      </c>
    </row>
    <row r="3576" spans="1:4" x14ac:dyDescent="0.2">
      <c r="A3576" s="5">
        <v>3515</v>
      </c>
      <c r="B3576" s="138">
        <f>'Acct Summary 7-8'!K20</f>
        <v>-16445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-16445</v>
      </c>
      <c r="C3588" s="2" t="s">
        <v>594</v>
      </c>
      <c r="D3588" s="2" t="str">
        <f t="shared" si="55"/>
        <v>Error?</v>
      </c>
    </row>
    <row r="3589" spans="1:4" x14ac:dyDescent="0.2">
      <c r="A3589" s="5">
        <v>3528</v>
      </c>
      <c r="B3589" s="138">
        <f>'Acct Summary 7-8'!K79</f>
        <v>56847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40402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6000</v>
      </c>
      <c r="D3632" s="2" t="str">
        <f t="shared" si="55"/>
        <v>Error?</v>
      </c>
    </row>
    <row r="3633" spans="1:4" x14ac:dyDescent="0.2">
      <c r="A3633" s="5">
        <v>3572</v>
      </c>
      <c r="B3633" s="138">
        <f>'Expenditures 15-22'!E350</f>
        <v>6000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6000</v>
      </c>
      <c r="C3635" s="2" t="s">
        <v>594</v>
      </c>
      <c r="D3635" s="2" t="str">
        <f t="shared" si="55"/>
        <v>Error?</v>
      </c>
    </row>
    <row r="3636" spans="1:4" x14ac:dyDescent="0.2">
      <c r="A3636" s="5">
        <v>3575</v>
      </c>
      <c r="B3636" s="138">
        <f>'Expenditures 15-22'!E367</f>
        <v>6000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10800</v>
      </c>
      <c r="D3639" s="2" t="str">
        <f t="shared" si="55"/>
        <v>Error?</v>
      </c>
    </row>
    <row r="3640" spans="1:4" x14ac:dyDescent="0.2">
      <c r="A3640" s="5">
        <v>3579</v>
      </c>
      <c r="B3640" s="138">
        <f>'Expenditures 15-22'!F350</f>
        <v>10800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10800</v>
      </c>
      <c r="C3642" s="2" t="s">
        <v>594</v>
      </c>
      <c r="D3642" s="2" t="str">
        <f t="shared" si="55"/>
        <v>Error?</v>
      </c>
    </row>
    <row r="3643" spans="1:4" x14ac:dyDescent="0.2">
      <c r="A3643" s="5">
        <v>3582</v>
      </c>
      <c r="B3643" s="138">
        <f>'Expenditures 15-22'!F367</f>
        <v>10800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16800</v>
      </c>
      <c r="C3669" s="2" t="s">
        <v>594</v>
      </c>
      <c r="D3669" s="2" t="str">
        <f t="shared" si="56"/>
        <v>Error?</v>
      </c>
    </row>
    <row r="3670" spans="1:4" x14ac:dyDescent="0.2">
      <c r="A3670" s="5">
        <v>3609</v>
      </c>
      <c r="B3670" s="138">
        <f>'Expenditures 15-22'!K350</f>
        <v>16800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16800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16800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-16445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4374</v>
      </c>
      <c r="D3721" s="2" t="str">
        <f t="shared" si="57"/>
        <v>Error?</v>
      </c>
    </row>
    <row r="3722" spans="1:4" x14ac:dyDescent="0.2">
      <c r="A3722" s="5">
        <v>3661</v>
      </c>
      <c r="B3722" s="138">
        <f>'Expenditures 15-22'!D285</f>
        <v>4374</v>
      </c>
      <c r="C3722" s="2" t="s">
        <v>594</v>
      </c>
      <c r="D3722" s="2" t="str">
        <f t="shared" si="57"/>
        <v>Error?</v>
      </c>
    </row>
    <row r="3723" spans="1:4" x14ac:dyDescent="0.2">
      <c r="A3723" s="5">
        <v>3662</v>
      </c>
      <c r="B3723" s="138">
        <f>'Expenditures 15-22'!K283</f>
        <v>4374</v>
      </c>
      <c r="C3723" s="2" t="s">
        <v>594</v>
      </c>
      <c r="D3723" s="2" t="str">
        <f t="shared" si="57"/>
        <v>Error?</v>
      </c>
    </row>
    <row r="3724" spans="1:4" x14ac:dyDescent="0.2">
      <c r="A3724" s="5">
        <v>3663</v>
      </c>
      <c r="B3724" s="138">
        <f>'Expenditures 15-22'!K285</f>
        <v>4374</v>
      </c>
      <c r="C3724" s="2" t="s">
        <v>594</v>
      </c>
      <c r="D3724" s="2" t="str">
        <f t="shared" si="57"/>
        <v>Error?</v>
      </c>
    </row>
    <row r="3725" spans="1:4" x14ac:dyDescent="0.2">
      <c r="A3725" s="5">
        <v>3664</v>
      </c>
      <c r="B3725" s="138">
        <f>'Tax Sched 23'!B13</f>
        <v>10736</v>
      </c>
      <c r="C3725" s="2" t="s">
        <v>594</v>
      </c>
      <c r="D3725" s="2" t="str">
        <f t="shared" si="57"/>
        <v>Error?</v>
      </c>
    </row>
    <row r="3726" spans="1:4" x14ac:dyDescent="0.2">
      <c r="A3726" s="5">
        <v>3665</v>
      </c>
      <c r="B3726" s="138">
        <f>'Tax Sched 23'!D13</f>
        <v>10736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166817.76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2114650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8188182</v>
      </c>
      <c r="C4122" s="2" t="s">
        <v>594</v>
      </c>
      <c r="D4122" s="2" t="str">
        <f t="shared" si="63"/>
        <v>Error?</v>
      </c>
    </row>
    <row r="4123" spans="1:4" x14ac:dyDescent="0.2">
      <c r="A4123" s="5">
        <v>4062</v>
      </c>
      <c r="B4123" s="138">
        <f>'Acct Summary 7-8'!D10</f>
        <v>297365</v>
      </c>
      <c r="C4123" s="2" t="s">
        <v>594</v>
      </c>
      <c r="D4123" s="2" t="str">
        <f t="shared" si="63"/>
        <v>Error?</v>
      </c>
    </row>
    <row r="4124" spans="1:4" x14ac:dyDescent="0.2">
      <c r="A4124" s="5">
        <v>4063</v>
      </c>
      <c r="B4124" s="138">
        <f>'Acct Summary 7-8'!E10</f>
        <v>470678</v>
      </c>
      <c r="C4124" s="2" t="s">
        <v>594</v>
      </c>
      <c r="D4124" s="2" t="str">
        <f t="shared" si="63"/>
        <v>Error?</v>
      </c>
    </row>
    <row r="4125" spans="1:4" x14ac:dyDescent="0.2">
      <c r="A4125" s="5">
        <v>4064</v>
      </c>
      <c r="B4125" s="138">
        <f>'Acct Summary 7-8'!F10</f>
        <v>353091</v>
      </c>
      <c r="C4125" s="2" t="s">
        <v>594</v>
      </c>
      <c r="D4125" s="2" t="str">
        <f t="shared" si="63"/>
        <v>Error?</v>
      </c>
    </row>
    <row r="4126" spans="1:4" x14ac:dyDescent="0.2">
      <c r="A4126" s="5">
        <v>4065</v>
      </c>
      <c r="B4126" s="138">
        <f>'Acct Summary 7-8'!G10</f>
        <v>216002</v>
      </c>
      <c r="C4126" s="2" t="s">
        <v>594</v>
      </c>
      <c r="D4126" s="2" t="str">
        <f t="shared" si="63"/>
        <v>Error?</v>
      </c>
    </row>
    <row r="4127" spans="1:4" x14ac:dyDescent="0.2">
      <c r="A4127" s="5">
        <v>4066</v>
      </c>
      <c r="B4127" s="138">
        <f>'Acct Summary 7-8'!H10</f>
        <v>252380</v>
      </c>
      <c r="C4127" s="2" t="s">
        <v>594</v>
      </c>
      <c r="D4127" s="2" t="str">
        <f t="shared" si="63"/>
        <v>Error?</v>
      </c>
    </row>
    <row r="4128" spans="1:4" x14ac:dyDescent="0.2">
      <c r="A4128" s="5">
        <v>4067</v>
      </c>
      <c r="B4128" s="138">
        <f>'Acct Summary 7-8'!I10</f>
        <v>44544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355</v>
      </c>
      <c r="C4130" s="2" t="s">
        <v>594</v>
      </c>
      <c r="D4130" s="2" t="str">
        <f t="shared" si="63"/>
        <v>Error?</v>
      </c>
    </row>
    <row r="4131" spans="1:4" x14ac:dyDescent="0.2">
      <c r="A4131" s="5">
        <v>4070</v>
      </c>
      <c r="B4131" s="138">
        <f>'Acct Summary 7-8'!C18</f>
        <v>2114650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7400223</v>
      </c>
      <c r="C4136" s="2" t="s">
        <v>594</v>
      </c>
      <c r="D4136" s="2" t="str">
        <f t="shared" si="63"/>
        <v>Error?</v>
      </c>
    </row>
    <row r="4137" spans="1:4" x14ac:dyDescent="0.2">
      <c r="A4137" s="5">
        <v>4076</v>
      </c>
      <c r="B4137" s="138">
        <f>'Acct Summary 7-8'!D19</f>
        <v>248372</v>
      </c>
      <c r="C4137" s="2" t="s">
        <v>594</v>
      </c>
      <c r="D4137" s="2" t="str">
        <f t="shared" si="63"/>
        <v>Error?</v>
      </c>
    </row>
    <row r="4138" spans="1:4" x14ac:dyDescent="0.2">
      <c r="A4138" s="5">
        <v>4077</v>
      </c>
      <c r="B4138" s="138">
        <f>'Acct Summary 7-8'!E19</f>
        <v>438766</v>
      </c>
      <c r="C4138" s="2" t="s">
        <v>594</v>
      </c>
      <c r="D4138" s="2" t="str">
        <f t="shared" si="63"/>
        <v>Error?</v>
      </c>
    </row>
    <row r="4139" spans="1:4" x14ac:dyDescent="0.2">
      <c r="A4139" s="5">
        <v>4078</v>
      </c>
      <c r="B4139" s="138">
        <f>'Acct Summary 7-8'!F19</f>
        <v>266882</v>
      </c>
      <c r="C4139" s="2" t="s">
        <v>594</v>
      </c>
      <c r="D4139" s="2" t="str">
        <f t="shared" si="63"/>
        <v>Error?</v>
      </c>
    </row>
    <row r="4140" spans="1:4" x14ac:dyDescent="0.2">
      <c r="A4140" s="5">
        <v>4079</v>
      </c>
      <c r="B4140" s="138">
        <f>'Acct Summary 7-8'!G19</f>
        <v>131501</v>
      </c>
      <c r="C4140" s="2" t="s">
        <v>594</v>
      </c>
      <c r="D4140" s="2" t="str">
        <f t="shared" si="63"/>
        <v>Error?</v>
      </c>
    </row>
    <row r="4141" spans="1:4" x14ac:dyDescent="0.2">
      <c r="A4141" s="5">
        <v>4080</v>
      </c>
      <c r="B4141" s="138">
        <f>'Acct Summary 7-8'!H19</f>
        <v>28758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16800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3269000</v>
      </c>
      <c r="C4171" s="2" t="s">
        <v>594</v>
      </c>
      <c r="D4171" s="2" t="str">
        <f t="shared" si="64"/>
        <v>Error?</v>
      </c>
    </row>
    <row r="4172" spans="1:4" x14ac:dyDescent="0.2">
      <c r="A4172" s="5">
        <v>4111</v>
      </c>
      <c r="B4172" s="138">
        <f>'Short-Term Long-Term Debt 24'!J49</f>
        <v>3077046</v>
      </c>
      <c r="C4172" s="2" t="s">
        <v>594</v>
      </c>
      <c r="D4172" s="2" t="str">
        <f t="shared" si="64"/>
        <v>Error?</v>
      </c>
    </row>
    <row r="4173" spans="1:4" x14ac:dyDescent="0.2">
      <c r="A4173" s="5">
        <v>4112</v>
      </c>
      <c r="B4173" s="138">
        <f>'Short-Term Long-Term Debt 24'!H49</f>
        <v>247000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104322</v>
      </c>
      <c r="D4201" s="2" t="str">
        <f t="shared" si="64"/>
        <v>Error?</v>
      </c>
    </row>
    <row r="4202" spans="1:4" x14ac:dyDescent="0.2">
      <c r="A4202" s="5">
        <v>4141</v>
      </c>
      <c r="B4202" s="138">
        <f>'Expenditures 15-22'!E137</f>
        <v>104322</v>
      </c>
      <c r="C4202" s="2" t="s">
        <v>594</v>
      </c>
      <c r="D4202" s="2" t="str">
        <f t="shared" si="64"/>
        <v>Error?</v>
      </c>
    </row>
    <row r="4203" spans="1:4" x14ac:dyDescent="0.2">
      <c r="A4203" s="5">
        <v>4142</v>
      </c>
      <c r="B4203" s="138">
        <f>'Expenditures 15-22'!E139</f>
        <v>104322</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67159</v>
      </c>
      <c r="D4210" s="2" t="str">
        <f t="shared" si="64"/>
        <v>Error?</v>
      </c>
    </row>
    <row r="4211" spans="1:4" x14ac:dyDescent="0.2">
      <c r="A4211" s="5">
        <v>4150</v>
      </c>
      <c r="B4211" s="138">
        <f>'Expenditures 15-22'!K206</f>
        <v>67159</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2990</v>
      </c>
      <c r="C4268" s="2" t="s">
        <v>594</v>
      </c>
      <c r="D4268" s="2" t="str">
        <f t="shared" si="65"/>
        <v>Error?</v>
      </c>
    </row>
    <row r="4269" spans="1:5" x14ac:dyDescent="0.2">
      <c r="A4269" s="12">
        <v>4208</v>
      </c>
      <c r="B4269" s="138">
        <f>'FP Info 3'!J16</f>
        <v>7992873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11951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26328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10202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26193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6622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5682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76227723</v>
      </c>
      <c r="D4995" s="2" t="str">
        <f t="shared" si="77"/>
        <v>Error?</v>
      </c>
    </row>
    <row r="4996" spans="1:4" x14ac:dyDescent="0.2">
      <c r="A4996" s="12">
        <v>4935</v>
      </c>
      <c r="B4996" s="138">
        <f>'FP Info 3'!H31</f>
        <v>5259712.8870000001</v>
      </c>
      <c r="D4996" s="2" t="str">
        <f t="shared" si="77"/>
        <v>Error?</v>
      </c>
    </row>
    <row r="4997" spans="1:4" x14ac:dyDescent="0.2">
      <c r="A4997" s="12">
        <v>4936</v>
      </c>
      <c r="B4997" s="138">
        <f>'FP Info 3'!H37</f>
        <v>3269000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10736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2130065</v>
      </c>
      <c r="D5061" s="2" t="str">
        <f t="shared" si="78"/>
        <v>Error?</v>
      </c>
    </row>
    <row r="5062" spans="1:4" x14ac:dyDescent="0.2">
      <c r="A5062" s="10">
        <v>5001</v>
      </c>
      <c r="D5062" s="2" t="str">
        <f t="shared" si="78"/>
        <v>OK</v>
      </c>
    </row>
    <row r="5063" spans="1:4" x14ac:dyDescent="0.2">
      <c r="A5063" s="5">
        <v>5002</v>
      </c>
      <c r="B5063" s="138">
        <f>'Revenues 9-14'!C7</f>
        <v>16260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2157061</v>
      </c>
      <c r="C5066" s="2" t="s">
        <v>594</v>
      </c>
      <c r="D5066" s="2" t="str">
        <f t="shared" si="78"/>
        <v>Error?</v>
      </c>
    </row>
    <row r="5067" spans="1:4" x14ac:dyDescent="0.2">
      <c r="A5067" s="5">
        <v>5006</v>
      </c>
      <c r="B5067" s="138">
        <f>'Revenues 9-14'!C14</f>
        <v>4457</v>
      </c>
      <c r="D5067" s="2" t="str">
        <f t="shared" si="78"/>
        <v>Error?</v>
      </c>
    </row>
    <row r="5068" spans="1:4" x14ac:dyDescent="0.2">
      <c r="A5068" s="5">
        <v>5007</v>
      </c>
      <c r="B5068" s="138">
        <f>'Revenues 9-14'!C15</f>
        <v>4942</v>
      </c>
      <c r="D5068" s="2" t="str">
        <f t="shared" si="78"/>
        <v>Error?</v>
      </c>
    </row>
    <row r="5069" spans="1:4" x14ac:dyDescent="0.2">
      <c r="A5069" s="5">
        <v>5008</v>
      </c>
      <c r="B5069" s="138">
        <f>'Revenues 9-14'!C16</f>
        <v>184918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194317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36196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36196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3810</v>
      </c>
      <c r="D5094" s="2" t="str">
        <f t="shared" si="78"/>
        <v>Error?</v>
      </c>
    </row>
    <row r="5095" spans="1:4" x14ac:dyDescent="0.2">
      <c r="A5095" s="5">
        <v>5034</v>
      </c>
      <c r="B5095" s="138">
        <f>'Revenues 9-14'!C74</f>
        <v>81</v>
      </c>
      <c r="D5095" s="2" t="str">
        <f t="shared" si="78"/>
        <v>Error?</v>
      </c>
    </row>
    <row r="5096" spans="1:4" x14ac:dyDescent="0.2">
      <c r="A5096" s="5">
        <v>5035</v>
      </c>
      <c r="B5096" s="138">
        <f>'Revenues 9-14'!C75</f>
        <v>7219</v>
      </c>
      <c r="C5096" s="2" t="s">
        <v>594</v>
      </c>
      <c r="D5096" s="2" t="str">
        <f t="shared" si="78"/>
        <v>Error?</v>
      </c>
    </row>
    <row r="5097" spans="1:4" x14ac:dyDescent="0.2">
      <c r="A5097" s="5">
        <v>5036</v>
      </c>
      <c r="B5097" s="138">
        <f>'Revenues 9-14'!C77</f>
        <v>6422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319</v>
      </c>
      <c r="D5101" s="2" t="str">
        <f t="shared" si="78"/>
        <v>Error?</v>
      </c>
    </row>
    <row r="5102" spans="1:4" x14ac:dyDescent="0.2">
      <c r="A5102" s="5">
        <v>5041</v>
      </c>
      <c r="B5102" s="138">
        <f>'Revenues 9-14'!C82</f>
        <v>6741</v>
      </c>
      <c r="C5102" s="2" t="s">
        <v>594</v>
      </c>
      <c r="D5102" s="2" t="str">
        <f t="shared" si="78"/>
        <v>Error?</v>
      </c>
    </row>
    <row r="5103" spans="1:4" x14ac:dyDescent="0.2">
      <c r="A5103" s="5">
        <v>5042</v>
      </c>
      <c r="B5103" s="138">
        <f>'Revenues 9-14'!C84</f>
        <v>16146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16179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63</v>
      </c>
      <c r="D5118" s="2" t="str">
        <f t="shared" si="78"/>
        <v>Error?</v>
      </c>
    </row>
    <row r="5119" spans="1:4" x14ac:dyDescent="0.2">
      <c r="A5119" s="5">
        <v>5058</v>
      </c>
      <c r="B5119" s="138">
        <f>'Revenues 9-14'!C107</f>
        <v>64810</v>
      </c>
      <c r="D5119" s="2" t="str">
        <f t="shared" ref="D5119:D5182" si="79">IF(ISBLANK(B5119),"OK",IF(A5119-B5119=0,"OK","Error?"))</f>
        <v>Error?</v>
      </c>
    </row>
    <row r="5120" spans="1:4" x14ac:dyDescent="0.2">
      <c r="A5120" s="5">
        <v>5059</v>
      </c>
      <c r="B5120" s="138">
        <f>'Revenues 9-14'!C108</f>
        <v>79275</v>
      </c>
      <c r="C5120" s="2" t="s">
        <v>594</v>
      </c>
      <c r="D5120" s="2" t="str">
        <f t="shared" si="79"/>
        <v>Error?</v>
      </c>
    </row>
    <row r="5121" spans="1:4" x14ac:dyDescent="0.2">
      <c r="A5121" s="5">
        <v>5060</v>
      </c>
      <c r="B5121" s="138">
        <f>'Revenues 9-14'!C109</f>
        <v>2496988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2456369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2456369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42882</v>
      </c>
      <c r="D5134" s="2" t="str">
        <f t="shared" si="79"/>
        <v>Error?</v>
      </c>
    </row>
    <row r="5135" spans="1:4" x14ac:dyDescent="0.2">
      <c r="A5135" s="5">
        <v>5074</v>
      </c>
      <c r="B5135" s="138">
        <f>'Revenues 9-14'!C126</f>
        <v>25916</v>
      </c>
      <c r="D5135" s="2" t="str">
        <f t="shared" si="79"/>
        <v>Error?</v>
      </c>
    </row>
    <row r="5136" spans="1:4" x14ac:dyDescent="0.2">
      <c r="A5136" s="10">
        <v>5075</v>
      </c>
      <c r="D5136" s="2" t="str">
        <f t="shared" si="79"/>
        <v>OK</v>
      </c>
    </row>
    <row r="5137" spans="1:4" x14ac:dyDescent="0.2">
      <c r="A5137" s="5">
        <v>5076</v>
      </c>
      <c r="B5137" s="138">
        <f>'Revenues 9-14'!C127</f>
        <v>9245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1463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79506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17779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17779</v>
      </c>
      <c r="C5165" s="2" t="s">
        <v>594</v>
      </c>
      <c r="D5165" s="2" t="str">
        <f t="shared" si="79"/>
        <v>Error?</v>
      </c>
    </row>
    <row r="5166" spans="1:4" x14ac:dyDescent="0.2">
      <c r="A5166" s="10">
        <v>5105</v>
      </c>
      <c r="D5166" s="2" t="str">
        <f t="shared" si="79"/>
        <v>OK</v>
      </c>
    </row>
    <row r="5167" spans="1:4" x14ac:dyDescent="0.2">
      <c r="A5167" s="5">
        <v>5106</v>
      </c>
      <c r="B5167" s="138">
        <f>'Revenues 9-14'!C145</f>
        <v>6408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207531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316906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2773275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285595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97557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411246</v>
      </c>
      <c r="C5246" s="2" t="s">
        <v>594</v>
      </c>
      <c r="D5246" s="2" t="str">
        <f t="shared" si="80"/>
        <v>Error?</v>
      </c>
    </row>
    <row r="5247" spans="1:4" x14ac:dyDescent="0.2">
      <c r="A5247" s="5">
        <v>5186</v>
      </c>
      <c r="B5247" s="138">
        <f>'Revenues 9-14'!C203</f>
        <v>158559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158559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158790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158790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803269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803269</v>
      </c>
      <c r="C5326" s="2" t="s">
        <v>594</v>
      </c>
      <c r="D5326" s="2" t="str">
        <f t="shared" si="82"/>
        <v>Error?</v>
      </c>
    </row>
    <row r="5327" spans="1:4" x14ac:dyDescent="0.2">
      <c r="A5327" s="5">
        <v>5266</v>
      </c>
      <c r="B5327" s="138">
        <f>'Revenues 9-14'!C275</f>
        <v>6073532</v>
      </c>
      <c r="C5327" s="2" t="s">
        <v>594</v>
      </c>
      <c r="D5327" s="2" t="str">
        <f t="shared" si="82"/>
        <v>Error?</v>
      </c>
    </row>
    <row r="5328" spans="1:4" x14ac:dyDescent="0.2">
      <c r="A5328" s="5">
        <v>5267</v>
      </c>
      <c r="B5328" s="138">
        <f>'Revenues 9-14'!D5</f>
        <v>203251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203251</v>
      </c>
      <c r="C5334" s="2" t="s">
        <v>594</v>
      </c>
      <c r="D5334" s="2" t="str">
        <f t="shared" si="82"/>
        <v>Error?</v>
      </c>
    </row>
    <row r="5335" spans="1:4" x14ac:dyDescent="0.2">
      <c r="A5335" s="5">
        <v>5274</v>
      </c>
      <c r="B5335" s="138">
        <f>'Revenues 9-14'!D14</f>
        <v>419</v>
      </c>
      <c r="D5335" s="2" t="str">
        <f t="shared" si="82"/>
        <v>Error?</v>
      </c>
    </row>
    <row r="5336" spans="1:4" x14ac:dyDescent="0.2">
      <c r="A5336" s="5">
        <v>5275</v>
      </c>
      <c r="B5336" s="138">
        <f>'Revenues 9-14'!D15</f>
        <v>464</v>
      </c>
      <c r="D5336" s="2" t="str">
        <f t="shared" si="82"/>
        <v>Error?</v>
      </c>
    </row>
    <row r="5337" spans="1:4" x14ac:dyDescent="0.2">
      <c r="A5337" s="5">
        <v>5276</v>
      </c>
      <c r="B5337" s="138">
        <f>'Revenues 9-14'!D16</f>
        <v>68433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69316</v>
      </c>
      <c r="C5339" s="2" t="s">
        <v>594</v>
      </c>
      <c r="D5339" s="2" t="str">
        <f t="shared" si="82"/>
        <v>Error?</v>
      </c>
    </row>
    <row r="5340" spans="1:4" x14ac:dyDescent="0.2">
      <c r="A5340" s="5">
        <v>5279</v>
      </c>
      <c r="B5340" s="138">
        <f>'Revenues 9-14'!D65</f>
        <v>15272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15272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7609</v>
      </c>
      <c r="D5354" s="2" t="str">
        <f t="shared" si="82"/>
        <v>Error?</v>
      </c>
    </row>
    <row r="5355" spans="1:4" x14ac:dyDescent="0.2">
      <c r="A5355" s="5">
        <v>5294</v>
      </c>
      <c r="B5355" s="138">
        <f>'Revenues 9-14'!D108</f>
        <v>9526</v>
      </c>
      <c r="C5355" s="2" t="s">
        <v>594</v>
      </c>
      <c r="D5355" s="2" t="str">
        <f t="shared" si="82"/>
        <v>Error?</v>
      </c>
    </row>
    <row r="5356" spans="1:4" x14ac:dyDescent="0.2">
      <c r="A5356" s="5">
        <v>5295</v>
      </c>
      <c r="B5356" s="138">
        <f>'Revenues 9-14'!D109</f>
        <v>297365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297365</v>
      </c>
      <c r="C5508" s="2" t="s">
        <v>594</v>
      </c>
      <c r="D5508" s="2" t="str">
        <f t="shared" si="85"/>
        <v>Error?</v>
      </c>
    </row>
    <row r="5509" spans="1:4" x14ac:dyDescent="0.2">
      <c r="A5509" s="5">
        <v>5448</v>
      </c>
      <c r="B5509" s="138">
        <f>'Revenues 9-14'!E5</f>
        <v>467402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467402</v>
      </c>
      <c r="C5513" s="2" t="s">
        <v>594</v>
      </c>
      <c r="D5513" s="2" t="str">
        <f t="shared" si="85"/>
        <v>Error?</v>
      </c>
    </row>
    <row r="5514" spans="1:4" x14ac:dyDescent="0.2">
      <c r="A5514" s="5">
        <v>5453</v>
      </c>
      <c r="B5514" s="138">
        <f>'Revenues 9-14'!E14</f>
        <v>963</v>
      </c>
      <c r="D5514" s="2" t="str">
        <f t="shared" si="85"/>
        <v>Error?</v>
      </c>
    </row>
    <row r="5515" spans="1:4" x14ac:dyDescent="0.2">
      <c r="A5515" s="5">
        <v>5454</v>
      </c>
      <c r="B5515" s="138">
        <f>'Revenues 9-14'!E15</f>
        <v>1055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2018</v>
      </c>
      <c r="C5518" s="2" t="s">
        <v>594</v>
      </c>
      <c r="D5518" s="2" t="str">
        <f t="shared" si="85"/>
        <v>Error?</v>
      </c>
    </row>
    <row r="5519" spans="1:4" x14ac:dyDescent="0.2">
      <c r="A5519" s="5">
        <v>5458</v>
      </c>
      <c r="B5519" s="138">
        <f>'Revenues 9-14'!E65</f>
        <v>1258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1258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470678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470678</v>
      </c>
      <c r="C5552" s="2" t="s">
        <v>594</v>
      </c>
      <c r="D5552" s="2" t="str">
        <f t="shared" si="85"/>
        <v>Error?</v>
      </c>
    </row>
    <row r="5553" spans="1:4" x14ac:dyDescent="0.2">
      <c r="A5553" s="5">
        <v>5492</v>
      </c>
      <c r="B5553" s="138">
        <f>'Revenues 9-14'!F5</f>
        <v>97560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97560</v>
      </c>
      <c r="C5557" s="2" t="s">
        <v>594</v>
      </c>
      <c r="D5557" s="2" t="str">
        <f t="shared" si="85"/>
        <v>Error?</v>
      </c>
    </row>
    <row r="5558" spans="1:4" x14ac:dyDescent="0.2">
      <c r="A5558" s="5">
        <v>5497</v>
      </c>
      <c r="B5558" s="138">
        <f>'Revenues 9-14'!F14</f>
        <v>201</v>
      </c>
      <c r="D5558" s="2" t="str">
        <f t="shared" si="85"/>
        <v>Error?</v>
      </c>
    </row>
    <row r="5559" spans="1:4" x14ac:dyDescent="0.2">
      <c r="A5559" s="5">
        <v>5498</v>
      </c>
      <c r="B5559" s="138">
        <f>'Revenues 9-14'!F15</f>
        <v>223</v>
      </c>
      <c r="D5559" s="2" t="str">
        <f t="shared" si="85"/>
        <v>Error?</v>
      </c>
    </row>
    <row r="5560" spans="1:4" x14ac:dyDescent="0.2">
      <c r="A5560" s="5">
        <v>5499</v>
      </c>
      <c r="B5560" s="138">
        <f>'Revenues 9-14'!F16</f>
        <v>84000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84424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34996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34996</v>
      </c>
      <c r="C5579" s="2" t="s">
        <v>594</v>
      </c>
      <c r="D5579" s="2" t="str">
        <f t="shared" si="86"/>
        <v>Error?</v>
      </c>
    </row>
    <row r="5580" spans="1:4" x14ac:dyDescent="0.2">
      <c r="A5580" s="5">
        <v>5519</v>
      </c>
      <c r="B5580" s="138">
        <f>'Revenues 9-14'!F65</f>
        <v>2588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2588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1738</v>
      </c>
      <c r="D5586" s="2" t="str">
        <f t="shared" si="86"/>
        <v>Error?</v>
      </c>
    </row>
    <row r="5587" spans="1:4" x14ac:dyDescent="0.2">
      <c r="A5587" s="5">
        <v>5526</v>
      </c>
      <c r="B5587" s="138">
        <f>'Revenues 9-14'!F108</f>
        <v>1738</v>
      </c>
      <c r="C5587" s="2" t="s">
        <v>594</v>
      </c>
      <c r="D5587" s="2" t="str">
        <f t="shared" si="86"/>
        <v>Error?</v>
      </c>
    </row>
    <row r="5588" spans="1:4" x14ac:dyDescent="0.2">
      <c r="A5588" s="5">
        <v>5527</v>
      </c>
      <c r="B5588" s="138">
        <f>'Revenues 9-14'!F109</f>
        <v>221306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67719</v>
      </c>
      <c r="D5615" s="2" t="str">
        <f t="shared" si="86"/>
        <v>Error?</v>
      </c>
    </row>
    <row r="5616" spans="1:4" x14ac:dyDescent="0.2">
      <c r="A5616" s="10">
        <v>5555</v>
      </c>
      <c r="D5616" s="2" t="str">
        <f t="shared" si="86"/>
        <v>OK</v>
      </c>
    </row>
    <row r="5617" spans="1:4" x14ac:dyDescent="0.2">
      <c r="A5617" s="5">
        <v>5556</v>
      </c>
      <c r="B5617" s="138">
        <f>'Revenues 9-14'!F152</f>
        <v>64066</v>
      </c>
      <c r="D5617" s="2" t="str">
        <f t="shared" si="86"/>
        <v>Error?</v>
      </c>
    </row>
    <row r="5618" spans="1:4" x14ac:dyDescent="0.2">
      <c r="A5618" s="5">
        <v>5557</v>
      </c>
      <c r="B5618" s="138">
        <f>'Revenues 9-14'!F154</f>
        <v>131785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131785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131785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353091</v>
      </c>
      <c r="C5720" s="2" t="s">
        <v>594</v>
      </c>
      <c r="D5720" s="2" t="str">
        <f t="shared" si="88"/>
        <v>Error?</v>
      </c>
    </row>
    <row r="5721" spans="1:4" x14ac:dyDescent="0.2">
      <c r="A5721" s="5">
        <v>5660</v>
      </c>
      <c r="B5721" s="138">
        <f>'Revenues 9-14'!G5</f>
        <v>31934</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174015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205949</v>
      </c>
      <c r="C5725" s="2" t="s">
        <v>594</v>
      </c>
      <c r="D5725" s="2" t="str">
        <f t="shared" si="88"/>
        <v>Error?</v>
      </c>
    </row>
    <row r="5726" spans="1:4" x14ac:dyDescent="0.2">
      <c r="A5726" s="5">
        <v>5665</v>
      </c>
      <c r="B5726" s="138">
        <f>'Revenues 9-14'!G14</f>
        <v>432</v>
      </c>
      <c r="D5726" s="2" t="str">
        <f t="shared" si="88"/>
        <v>Error?</v>
      </c>
    </row>
    <row r="5727" spans="1:4" x14ac:dyDescent="0.2">
      <c r="A5727" s="5">
        <v>5666</v>
      </c>
      <c r="B5727" s="138">
        <f>'Revenues 9-14'!G15</f>
        <v>481</v>
      </c>
      <c r="D5727" s="2" t="str">
        <f t="shared" si="88"/>
        <v>Error?</v>
      </c>
    </row>
    <row r="5728" spans="1:4" x14ac:dyDescent="0.2">
      <c r="A5728" s="5">
        <v>5667</v>
      </c>
      <c r="B5728" s="138">
        <f>'Revenues 9-14'!G16</f>
        <v>7867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8780</v>
      </c>
      <c r="C5730" s="2" t="s">
        <v>594</v>
      </c>
      <c r="D5730" s="2" t="str">
        <f t="shared" si="88"/>
        <v>Error?</v>
      </c>
    </row>
    <row r="5731" spans="1:4" x14ac:dyDescent="0.2">
      <c r="A5731" s="5">
        <v>5670</v>
      </c>
      <c r="B5731" s="138">
        <f>'Revenues 9-14'!G65</f>
        <v>1273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1273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216002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794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794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251586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252380</v>
      </c>
      <c r="C5915" s="2" t="s">
        <v>594</v>
      </c>
      <c r="D5915" s="2" t="str">
        <f t="shared" si="91"/>
        <v>Error?</v>
      </c>
    </row>
    <row r="5916" spans="1:4" x14ac:dyDescent="0.2">
      <c r="A5916" s="5">
        <v>5855</v>
      </c>
      <c r="B5916" s="138">
        <f>'Revenues 9-14'!I5</f>
        <v>40650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40650</v>
      </c>
      <c r="C5918" s="2" t="s">
        <v>594</v>
      </c>
      <c r="D5918" s="2" t="str">
        <f t="shared" si="91"/>
        <v>Error?</v>
      </c>
    </row>
    <row r="5919" spans="1:4" x14ac:dyDescent="0.2">
      <c r="A5919" s="5">
        <v>5858</v>
      </c>
      <c r="B5919" s="138">
        <f>'Revenues 9-14'!I14</f>
        <v>84</v>
      </c>
      <c r="D5919" s="2" t="str">
        <f t="shared" si="91"/>
        <v>Error?</v>
      </c>
    </row>
    <row r="5920" spans="1:4" x14ac:dyDescent="0.2">
      <c r="A5920" s="5">
        <v>5859</v>
      </c>
      <c r="B5920" s="138">
        <f>'Revenues 9-14'!I15</f>
        <v>93</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177</v>
      </c>
      <c r="C5923" s="2" t="s">
        <v>594</v>
      </c>
      <c r="D5923" s="2" t="str">
        <f t="shared" si="91"/>
        <v>Error?</v>
      </c>
    </row>
    <row r="5924" spans="1:4" x14ac:dyDescent="0.2">
      <c r="A5924" s="5">
        <v>5863</v>
      </c>
      <c r="B5924" s="138">
        <f>'Revenues 9-14'!I65</f>
        <v>3717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3717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44544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355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355</v>
      </c>
      <c r="C6023" s="2" t="s">
        <v>594</v>
      </c>
      <c r="D6023" s="2" t="str">
        <f t="shared" si="93"/>
        <v>Error?</v>
      </c>
    </row>
    <row r="6024" spans="1:5" x14ac:dyDescent="0.2">
      <c r="A6024" s="5">
        <v>5963</v>
      </c>
      <c r="B6024" s="138">
        <f>'Revenues 9-14'!G109</f>
        <v>216002</v>
      </c>
      <c r="C6024" s="2" t="s">
        <v>594</v>
      </c>
      <c r="D6024" s="2" t="str">
        <f t="shared" si="93"/>
        <v>Error?</v>
      </c>
    </row>
    <row r="6025" spans="1:5" x14ac:dyDescent="0.2">
      <c r="A6025" s="5">
        <v>5964</v>
      </c>
      <c r="B6025" s="138">
        <f>'Revenues 9-14'!H109</f>
        <v>252380</v>
      </c>
      <c r="C6025" s="2" t="s">
        <v>594</v>
      </c>
      <c r="D6025" s="2" t="str">
        <f t="shared" si="93"/>
        <v>Error?</v>
      </c>
    </row>
    <row r="6026" spans="1:5" x14ac:dyDescent="0.2">
      <c r="A6026" s="5">
        <v>5965</v>
      </c>
      <c r="B6026" s="138">
        <f>'Revenues 9-14'!I109</f>
        <v>44544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3328</v>
      </c>
      <c r="D6031" s="2" t="str">
        <f t="shared" si="93"/>
        <v>Error?</v>
      </c>
    </row>
    <row r="6032" spans="1:5" x14ac:dyDescent="0.2">
      <c r="A6032" s="5">
        <v>5971</v>
      </c>
      <c r="B6032" s="138">
        <f>'Acct Summary 7-8'!G15</f>
        <v>4374</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34980.370000000003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557.98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163092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582</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163092</v>
      </c>
      <c r="D6215" s="2" t="str">
        <f t="shared" si="96"/>
        <v>Error?</v>
      </c>
      <c r="E6215" s="2" t="s">
        <v>199</v>
      </c>
    </row>
    <row r="6216" spans="1:5" x14ac:dyDescent="0.2">
      <c r="A6216">
        <v>6155</v>
      </c>
      <c r="B6216" s="138">
        <f>'Assets-Liab 5-6'!J41</f>
        <v>163092</v>
      </c>
      <c r="D6216" s="2" t="str">
        <f t="shared" si="96"/>
        <v>Error?</v>
      </c>
      <c r="E6216" s="2" t="s">
        <v>199</v>
      </c>
    </row>
    <row r="6217" spans="1:5" x14ac:dyDescent="0.2">
      <c r="A6217">
        <v>6156</v>
      </c>
      <c r="B6217" s="138">
        <f>'Assets-Liab 5-6'!J4</f>
        <v>163092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171286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171286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171286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111461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111461</v>
      </c>
      <c r="D6229" s="2" t="str">
        <f t="shared" si="96"/>
        <v>Error?</v>
      </c>
      <c r="E6229" s="2" t="s">
        <v>199</v>
      </c>
    </row>
    <row r="6230" spans="1:5" x14ac:dyDescent="0.2">
      <c r="A6230">
        <v>6169</v>
      </c>
      <c r="B6230" s="138">
        <f>'Acct Summary 7-8'!J20</f>
        <v>59825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59825</v>
      </c>
      <c r="D6263" s="2" t="str">
        <f t="shared" si="96"/>
        <v>Error?</v>
      </c>
      <c r="E6263" s="2" t="s">
        <v>199</v>
      </c>
    </row>
    <row r="6264" spans="1:5" x14ac:dyDescent="0.2">
      <c r="A6264">
        <v>6203</v>
      </c>
      <c r="B6264" s="138">
        <f>'Acct Summary 7-8'!J79</f>
        <v>103267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163092</v>
      </c>
      <c r="D6266" s="2" t="str">
        <f t="shared" si="96"/>
        <v>Error?</v>
      </c>
      <c r="E6266" s="2" t="s">
        <v>199</v>
      </c>
    </row>
    <row r="6267" spans="1:5" x14ac:dyDescent="0.2">
      <c r="A6267">
        <v>6206</v>
      </c>
      <c r="B6267" s="138">
        <f>'Acct Summary 7-8'!C82</f>
        <v>787959</v>
      </c>
      <c r="D6267" s="2" t="str">
        <f t="shared" si="96"/>
        <v>Error?</v>
      </c>
      <c r="E6267" s="2" t="s">
        <v>199</v>
      </c>
    </row>
    <row r="6268" spans="1:5" x14ac:dyDescent="0.2">
      <c r="A6268">
        <v>6207</v>
      </c>
      <c r="B6268" s="138">
        <f>'Acct Summary 7-8'!D82</f>
        <v>48993</v>
      </c>
      <c r="D6268" s="2" t="str">
        <f t="shared" si="96"/>
        <v>Error?</v>
      </c>
      <c r="E6268" s="2" t="s">
        <v>199</v>
      </c>
    </row>
    <row r="6269" spans="1:5" x14ac:dyDescent="0.2">
      <c r="A6269">
        <v>6208</v>
      </c>
      <c r="B6269" s="138">
        <f>'Acct Summary 7-8'!E82</f>
        <v>31912</v>
      </c>
      <c r="D6269" s="2" t="str">
        <f t="shared" si="96"/>
        <v>Error?</v>
      </c>
      <c r="E6269" s="2" t="s">
        <v>199</v>
      </c>
    </row>
    <row r="6270" spans="1:5" x14ac:dyDescent="0.2">
      <c r="A6270">
        <v>6209</v>
      </c>
      <c r="B6270" s="138">
        <f>'Acct Summary 7-8'!F82</f>
        <v>86209</v>
      </c>
      <c r="D6270" s="2" t="str">
        <f t="shared" si="96"/>
        <v>Error?</v>
      </c>
      <c r="E6270" s="2" t="s">
        <v>199</v>
      </c>
    </row>
    <row r="6271" spans="1:5" x14ac:dyDescent="0.2">
      <c r="A6271">
        <v>6210</v>
      </c>
      <c r="B6271" s="138">
        <f>'Acct Summary 7-8'!G82</f>
        <v>84501</v>
      </c>
      <c r="D6271" s="2" t="str">
        <f t="shared" ref="D6271:D6334" si="97">IF(ISBLANK(B6271),"OK",IF(A6271-B6271=0,"OK","Error?"))</f>
        <v>Error?</v>
      </c>
      <c r="E6271" s="2" t="s">
        <v>199</v>
      </c>
    </row>
    <row r="6272" spans="1:5" x14ac:dyDescent="0.2">
      <c r="A6272">
        <v>6211</v>
      </c>
      <c r="B6272" s="138">
        <f>'Acct Summary 7-8'!H82</f>
        <v>223622</v>
      </c>
      <c r="D6272" s="2" t="str">
        <f t="shared" si="97"/>
        <v>Error?</v>
      </c>
      <c r="E6272" s="2" t="s">
        <v>199</v>
      </c>
    </row>
    <row r="6273" spans="1:5" x14ac:dyDescent="0.2">
      <c r="A6273">
        <v>6212</v>
      </c>
      <c r="B6273" s="138">
        <f>'Acct Summary 7-8'!I82</f>
        <v>44544</v>
      </c>
      <c r="D6273" s="2" t="str">
        <f t="shared" si="97"/>
        <v>Error?</v>
      </c>
      <c r="E6273" s="2" t="s">
        <v>199</v>
      </c>
    </row>
    <row r="6274" spans="1:5" x14ac:dyDescent="0.2">
      <c r="A6274">
        <v>6213</v>
      </c>
      <c r="B6274" s="138">
        <f>'Acct Summary 7-8'!J82</f>
        <v>59825</v>
      </c>
      <c r="D6274" s="2" t="str">
        <f t="shared" si="97"/>
        <v>Error?</v>
      </c>
      <c r="E6274" s="2" t="s">
        <v>199</v>
      </c>
    </row>
    <row r="6275" spans="1:5" x14ac:dyDescent="0.2">
      <c r="A6275">
        <v>6214</v>
      </c>
      <c r="B6275" s="138">
        <f>'Acct Summary 7-8'!K82</f>
        <v>-16445</v>
      </c>
      <c r="D6275" s="2" t="str">
        <f t="shared" si="97"/>
        <v>Error?</v>
      </c>
      <c r="E6275" s="2" t="s">
        <v>199</v>
      </c>
    </row>
    <row r="6276" spans="1:5" x14ac:dyDescent="0.2">
      <c r="A6276">
        <v>6215</v>
      </c>
      <c r="B6276" s="138">
        <f>'Acct Summary 7-8'!C83</f>
        <v>0.1546935543812456</v>
      </c>
      <c r="D6276" s="2" t="str">
        <f t="shared" si="97"/>
        <v>Error?</v>
      </c>
      <c r="E6276" s="2" t="s">
        <v>199</v>
      </c>
    </row>
    <row r="6277" spans="1:5" x14ac:dyDescent="0.2">
      <c r="A6277">
        <v>6216</v>
      </c>
      <c r="B6277" s="138">
        <f>'Acct Summary 7-8'!D83</f>
        <v>2.5748724861843611E-2</v>
      </c>
      <c r="D6277" s="2" t="str">
        <f t="shared" si="97"/>
        <v>Error?</v>
      </c>
      <c r="E6277" s="2" t="s">
        <v>199</v>
      </c>
    </row>
    <row r="6278" spans="1:5" x14ac:dyDescent="0.2">
      <c r="A6278">
        <v>6217</v>
      </c>
      <c r="B6278" s="138">
        <f>'Acct Summary 7-8'!E83</f>
        <v>0.16624816362253456</v>
      </c>
      <c r="D6278" s="2" t="str">
        <f t="shared" si="97"/>
        <v>Error?</v>
      </c>
      <c r="E6278" s="2" t="s">
        <v>199</v>
      </c>
    </row>
    <row r="6279" spans="1:5" x14ac:dyDescent="0.2">
      <c r="A6279">
        <v>6218</v>
      </c>
      <c r="B6279" s="138">
        <f>'Acct Summary 7-8'!F83</f>
        <v>0.21688562616041823</v>
      </c>
      <c r="D6279" s="2" t="str">
        <f t="shared" si="97"/>
        <v>Error?</v>
      </c>
      <c r="E6279" s="2" t="s">
        <v>199</v>
      </c>
    </row>
    <row r="6280" spans="1:5" x14ac:dyDescent="0.2">
      <c r="A6280">
        <v>6219</v>
      </c>
      <c r="B6280" s="138">
        <f>'Acct Summary 7-8'!G83</f>
        <v>0.38189780626033826</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7.4367043699653579E-2</v>
      </c>
      <c r="D6282" s="2" t="str">
        <f t="shared" si="97"/>
        <v>Error?</v>
      </c>
      <c r="E6282" s="2" t="s">
        <v>199</v>
      </c>
    </row>
    <row r="6283" spans="1:5" x14ac:dyDescent="0.2">
      <c r="A6283">
        <v>6222</v>
      </c>
      <c r="B6283" s="138">
        <f>'Acct Summary 7-8'!J83</f>
        <v>0.36681750177813749</v>
      </c>
      <c r="D6283" s="2" t="str">
        <f t="shared" si="97"/>
        <v>Error?</v>
      </c>
      <c r="E6283" s="2" t="s">
        <v>199</v>
      </c>
    </row>
    <row r="6284" spans="1:5" x14ac:dyDescent="0.2">
      <c r="A6284">
        <v>6223</v>
      </c>
      <c r="B6284" s="138">
        <f>'Acct Summary 7-8'!K83</f>
        <v>-0.40703430523241424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163538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163538</v>
      </c>
      <c r="D6301" s="2" t="str">
        <f t="shared" si="97"/>
        <v>Error?</v>
      </c>
      <c r="E6301" s="2" t="s">
        <v>199</v>
      </c>
    </row>
    <row r="6302" spans="1:5" x14ac:dyDescent="0.2">
      <c r="A6302">
        <v>6241</v>
      </c>
      <c r="B6302" s="138">
        <f>'Revenues 9-14'!J14</f>
        <v>345</v>
      </c>
      <c r="D6302" s="2" t="str">
        <f t="shared" si="97"/>
        <v>Error?</v>
      </c>
      <c r="E6302" s="2" t="s">
        <v>199</v>
      </c>
    </row>
    <row r="6303" spans="1:5" x14ac:dyDescent="0.2">
      <c r="A6303">
        <v>6242</v>
      </c>
      <c r="B6303" s="138">
        <f>'Revenues 9-14'!J15</f>
        <v>385</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730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919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919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6099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6099</v>
      </c>
      <c r="D6351" s="2" t="str">
        <f t="shared" si="98"/>
        <v>Error?</v>
      </c>
      <c r="E6351" s="2" t="s">
        <v>199</v>
      </c>
    </row>
    <row r="6352" spans="1:5" x14ac:dyDescent="0.2">
      <c r="A6352">
        <v>6291</v>
      </c>
      <c r="B6352" s="138">
        <f>'Revenues 9-14'!J109</f>
        <v>171286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79094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23303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116570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23303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5255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5255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5255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26425</v>
      </c>
      <c r="D6981" s="2" t="str">
        <f t="shared" si="108"/>
        <v>Error?</v>
      </c>
    </row>
    <row r="6982" spans="1:4" x14ac:dyDescent="0.2">
      <c r="A6982">
        <v>6921</v>
      </c>
      <c r="B6982" s="138">
        <f>'Expenditures 15-22'!K85</f>
        <v>26425</v>
      </c>
      <c r="D6982" s="2" t="str">
        <f t="shared" si="108"/>
        <v>Error?</v>
      </c>
    </row>
    <row r="6983" spans="1:4" x14ac:dyDescent="0.2">
      <c r="A6983">
        <v>6922</v>
      </c>
      <c r="B6983" s="138">
        <f>'Expenditures 15-22'!H86</f>
        <v>163372</v>
      </c>
      <c r="D6983" s="2" t="str">
        <f t="shared" si="108"/>
        <v>Error?</v>
      </c>
    </row>
    <row r="6984" spans="1:4" x14ac:dyDescent="0.2">
      <c r="A6984">
        <v>6923</v>
      </c>
      <c r="B6984" s="138">
        <f>'Expenditures 15-22'!K86</f>
        <v>163372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189797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28558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111461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171286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14172</v>
      </c>
      <c r="D7067" s="2" t="str">
        <f t="shared" si="109"/>
        <v>Error?</v>
      </c>
    </row>
    <row r="7068" spans="1:4" x14ac:dyDescent="0.2">
      <c r="A7068">
        <v>7007</v>
      </c>
      <c r="B7068" s="138">
        <f>'Expenditures 15-22'!K205</f>
        <v>14172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3532</v>
      </c>
      <c r="D7073" s="2" t="str">
        <f t="shared" si="109"/>
        <v>Error?</v>
      </c>
    </row>
    <row r="7074" spans="1:4" x14ac:dyDescent="0.2">
      <c r="A7074">
        <v>7013</v>
      </c>
      <c r="B7074" s="138">
        <f>'Expenditures 15-22'!K216</f>
        <v>3532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178</v>
      </c>
      <c r="D7089" s="2" t="str">
        <f t="shared" si="109"/>
        <v>Error?</v>
      </c>
    </row>
    <row r="7090" spans="1:4" x14ac:dyDescent="0.2">
      <c r="A7090">
        <v>7029</v>
      </c>
      <c r="B7090" s="138">
        <f>'Expenditures 15-22'!K252</f>
        <v>178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945</v>
      </c>
      <c r="D7093" s="2" t="str">
        <f t="shared" si="109"/>
        <v>Error?</v>
      </c>
    </row>
    <row r="7094" spans="1:4" x14ac:dyDescent="0.2">
      <c r="A7094">
        <v>7033</v>
      </c>
      <c r="B7094" s="138">
        <f>'Expenditures 15-22'!K254</f>
        <v>945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5293</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5293</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5293</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6091</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6091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59488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59488</v>
      </c>
      <c r="D7153" s="2" t="str">
        <f t="shared" si="110"/>
        <v>Error?</v>
      </c>
    </row>
    <row r="7154" spans="1:4" x14ac:dyDescent="0.2">
      <c r="A7154">
        <v>7093</v>
      </c>
      <c r="B7154" s="138">
        <f>'Expenditures 15-22'!C323</f>
        <v>12264</v>
      </c>
      <c r="D7154" s="2" t="str">
        <f t="shared" si="110"/>
        <v>Error?</v>
      </c>
    </row>
    <row r="7155" spans="1:4" x14ac:dyDescent="0.2">
      <c r="A7155">
        <v>7094</v>
      </c>
      <c r="B7155" s="138">
        <f>'Expenditures 15-22'!D323</f>
        <v>179</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12443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27218</v>
      </c>
      <c r="D7172" s="2" t="str">
        <f t="shared" si="111"/>
        <v>Error?</v>
      </c>
    </row>
    <row r="7173" spans="1:4" x14ac:dyDescent="0.2">
      <c r="A7173">
        <v>7112</v>
      </c>
      <c r="B7173" s="138">
        <f>'Expenditures 15-22'!D325</f>
        <v>323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27541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5898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5898</v>
      </c>
      <c r="D7198" s="2" t="str">
        <f t="shared" si="111"/>
        <v>Error?</v>
      </c>
    </row>
    <row r="7199" spans="1:4" x14ac:dyDescent="0.2">
      <c r="A7199">
        <v>7138</v>
      </c>
      <c r="B7199" s="138">
        <f>'Expenditures 15-22'!C330</f>
        <v>39482</v>
      </c>
      <c r="D7199" s="2" t="str">
        <f t="shared" si="111"/>
        <v>Error?</v>
      </c>
    </row>
    <row r="7200" spans="1:4" x14ac:dyDescent="0.2">
      <c r="A7200">
        <v>7139</v>
      </c>
      <c r="B7200" s="138">
        <f>'Expenditures 15-22'!D330</f>
        <v>502</v>
      </c>
      <c r="D7200" s="2" t="str">
        <f t="shared" si="111"/>
        <v>Error?</v>
      </c>
    </row>
    <row r="7201" spans="1:4" x14ac:dyDescent="0.2">
      <c r="A7201">
        <v>7140</v>
      </c>
      <c r="B7201" s="138">
        <f>'Expenditures 15-22'!E330</f>
        <v>65386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6091</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111461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39482</v>
      </c>
      <c r="D7216" s="2" t="str">
        <f t="shared" si="111"/>
        <v>Error?</v>
      </c>
    </row>
    <row r="7217" spans="1:4" x14ac:dyDescent="0.2">
      <c r="A7217">
        <v>7156</v>
      </c>
      <c r="B7217" s="138">
        <f>'Expenditures 15-22'!D342</f>
        <v>502</v>
      </c>
      <c r="D7217" s="2" t="str">
        <f t="shared" si="111"/>
        <v>Error?</v>
      </c>
    </row>
    <row r="7218" spans="1:4" x14ac:dyDescent="0.2">
      <c r="A7218">
        <v>7157</v>
      </c>
      <c r="B7218" s="138">
        <f>'Expenditures 15-22'!E342</f>
        <v>65386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6091</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111461</v>
      </c>
      <c r="D7224" s="2" t="str">
        <f t="shared" si="111"/>
        <v>Error?</v>
      </c>
    </row>
    <row r="7225" spans="1:4" x14ac:dyDescent="0.2">
      <c r="A7225">
        <v>7164</v>
      </c>
      <c r="B7225" s="138">
        <f>'Expenditures 15-22'!K343</f>
        <v>59825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29014</v>
      </c>
      <c r="D7246" s="2" t="str">
        <f t="shared" si="112"/>
        <v>Error?</v>
      </c>
    </row>
    <row r="7247" spans="1:4" x14ac:dyDescent="0.2">
      <c r="A7247">
        <f t="shared" si="113"/>
        <v>7186</v>
      </c>
      <c r="B7247" s="138">
        <f>'Expenditures 15-22'!E7</f>
        <v>205</v>
      </c>
      <c r="D7247" s="2" t="str">
        <f t="shared" si="112"/>
        <v>Error?</v>
      </c>
    </row>
    <row r="7248" spans="1:4" x14ac:dyDescent="0.2">
      <c r="A7248">
        <f t="shared" si="113"/>
        <v>7187</v>
      </c>
      <c r="B7248" s="138">
        <f>'Expenditures 15-22'!F7</f>
        <v>4369</v>
      </c>
      <c r="D7248" s="2" t="str">
        <f t="shared" si="112"/>
        <v>Error?</v>
      </c>
    </row>
    <row r="7249" spans="1:4" x14ac:dyDescent="0.2">
      <c r="A7249">
        <f t="shared" si="113"/>
        <v>7188</v>
      </c>
      <c r="B7249" s="138">
        <f>'Expenditures 15-22'!G7</f>
        <v>3888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26678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26678</v>
      </c>
      <c r="D7618" s="2" t="str">
        <f t="shared" si="124"/>
        <v>Error?</v>
      </c>
      <c r="E7618" s="2" t="s">
        <v>19</v>
      </c>
    </row>
    <row r="7619" spans="1:5" x14ac:dyDescent="0.2">
      <c r="A7619">
        <f t="shared" si="123"/>
        <v>7558</v>
      </c>
      <c r="B7619" s="138">
        <f>'Cap Outlay Deprec 26'!H14</f>
        <v>26678</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26678</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33851</v>
      </c>
      <c r="D7624" s="2" t="str">
        <f t="shared" si="124"/>
        <v>Error?</v>
      </c>
      <c r="E7624" s="2" t="s">
        <v>19</v>
      </c>
    </row>
    <row r="7625" spans="1:5" x14ac:dyDescent="0.2">
      <c r="A7625">
        <f t="shared" si="123"/>
        <v>7564</v>
      </c>
      <c r="B7625" s="138">
        <f>'Cap Outlay Deprec 26'!I17</f>
        <v>3385.1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474826.1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28094</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794</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251586</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252380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16270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28758</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28758</v>
      </c>
      <c r="D7730" s="2" t="str">
        <f t="shared" si="126"/>
        <v>Error?</v>
      </c>
      <c r="E7730" s="2" t="s">
        <v>881</v>
      </c>
    </row>
    <row r="7731" spans="1:6" x14ac:dyDescent="0.2">
      <c r="A7731">
        <v>7670</v>
      </c>
      <c r="B7731" s="138">
        <f>'Revenues 9-14'!H103</f>
        <v>251586</v>
      </c>
      <c r="D7731" s="2" t="str">
        <f t="shared" si="126"/>
        <v>Error?</v>
      </c>
      <c r="E7731" s="2" t="s">
        <v>881</v>
      </c>
    </row>
    <row r="7732" spans="1:6" x14ac:dyDescent="0.2">
      <c r="A7732">
        <v>7671</v>
      </c>
      <c r="B7732" s="138">
        <f>'Rest Tax Levies-Tort Im 25'!J24</f>
        <v>223622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223622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19500</v>
      </c>
      <c r="D7797" s="2" t="str">
        <f t="shared" si="127"/>
        <v>Error?</v>
      </c>
      <c r="E7797" s="4" t="s">
        <v>2017</v>
      </c>
    </row>
    <row r="7798" spans="1:5" x14ac:dyDescent="0.2">
      <c r="A7798">
        <v>7737</v>
      </c>
      <c r="B7798" s="138">
        <f>'Contracts Paid in CY 29'!F141</f>
        <v>19500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08" t="s">
        <v>1253</v>
      </c>
      <c r="B2" s="2508"/>
      <c r="C2" s="2508"/>
      <c r="D2" s="2508"/>
      <c r="E2" s="2508"/>
      <c r="F2" s="2508"/>
      <c r="G2" s="2508"/>
      <c r="H2" s="2508"/>
      <c r="I2" s="2508"/>
      <c r="J2" s="2508"/>
      <c r="K2" s="2508"/>
      <c r="L2" s="2508"/>
    </row>
    <row r="3" spans="1:29" ht="13.5" customHeight="1" x14ac:dyDescent="0.2">
      <c r="A3" s="2494" t="s">
        <v>1252</v>
      </c>
      <c r="B3" s="2494"/>
      <c r="C3" s="2494"/>
      <c r="D3" s="2494"/>
      <c r="E3" s="2494"/>
      <c r="F3" s="2494"/>
      <c r="G3" s="2494"/>
      <c r="H3" s="2494"/>
      <c r="I3" s="2494"/>
      <c r="J3" s="2494"/>
      <c r="K3" s="2494"/>
      <c r="L3" s="2494"/>
    </row>
    <row r="4" spans="1:29" ht="13.5" customHeight="1" x14ac:dyDescent="0.2">
      <c r="A4" s="2508" t="s">
        <v>1799</v>
      </c>
      <c r="B4" s="2525"/>
      <c r="C4" s="2525"/>
      <c r="D4" s="2525"/>
      <c r="E4" s="2525"/>
      <c r="F4" s="2525"/>
      <c r="G4" s="2525"/>
      <c r="H4" s="2525"/>
      <c r="I4" s="2525"/>
      <c r="J4" s="2525"/>
      <c r="K4" s="2525"/>
      <c r="L4" s="25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88" t="str">
        <f>COVER!A17</f>
        <v>Silvis GSD 34</v>
      </c>
      <c r="B7" s="2489"/>
      <c r="C7" s="2489"/>
      <c r="D7" s="2526"/>
      <c r="E7" s="2527">
        <f>COVER!A13</f>
        <v>49081034002</v>
      </c>
      <c r="F7" s="2528"/>
      <c r="G7" s="2495" t="str">
        <f>COVER!T23</f>
        <v>066-005027</v>
      </c>
      <c r="H7" s="2496"/>
      <c r="I7" s="2496"/>
      <c r="J7" s="2496"/>
      <c r="K7" s="2496"/>
      <c r="L7" s="249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98"/>
      <c r="B9" s="2499"/>
      <c r="C9" s="2499"/>
      <c r="D9" s="2499"/>
      <c r="E9" s="2499"/>
      <c r="F9" s="2500"/>
      <c r="G9" s="2501" t="str">
        <f>COVER!T13</f>
        <v>Gorenz and Associates, Ltd.</v>
      </c>
      <c r="H9" s="2502"/>
      <c r="I9" s="2502"/>
      <c r="J9" s="2502"/>
      <c r="K9" s="2502"/>
      <c r="L9" s="2503"/>
    </row>
    <row r="10" spans="1:29" ht="13.5" customHeight="1" x14ac:dyDescent="0.2">
      <c r="A10" s="2485" t="str">
        <f>COVER!A38</f>
        <v>Terri Vandewiele</v>
      </c>
      <c r="B10" s="2486"/>
      <c r="C10" s="2486"/>
      <c r="D10" s="2486"/>
      <c r="E10" s="2486"/>
      <c r="F10" s="2487"/>
      <c r="G10" s="2501" t="str">
        <f>COVER!T17</f>
        <v>4200 N Knoxville Ave</v>
      </c>
      <c r="H10" s="2514"/>
      <c r="I10" s="2514"/>
      <c r="J10" s="2514"/>
      <c r="K10" s="2514"/>
      <c r="L10" s="2515"/>
    </row>
    <row r="11" spans="1:29" ht="13.5" customHeight="1" x14ac:dyDescent="0.2">
      <c r="A11" s="1183" t="s">
        <v>1599</v>
      </c>
      <c r="B11" s="1184"/>
      <c r="C11" s="1185"/>
      <c r="D11" s="1190"/>
      <c r="E11" s="1185"/>
      <c r="F11" s="1189"/>
      <c r="G11" s="2501" t="str">
        <f>COVER!T19</f>
        <v>Peoria</v>
      </c>
      <c r="H11" s="2514"/>
      <c r="I11" s="2514"/>
      <c r="J11" s="2514"/>
      <c r="K11" s="2514"/>
      <c r="L11" s="2515"/>
    </row>
    <row r="12" spans="1:29" ht="13.5" customHeight="1" x14ac:dyDescent="0.2">
      <c r="A12" s="2519" t="s">
        <v>1598</v>
      </c>
      <c r="B12" s="2520"/>
      <c r="C12" s="2520"/>
      <c r="D12" s="2520"/>
      <c r="E12" s="2520"/>
      <c r="F12" s="2521"/>
      <c r="G12" s="2516"/>
      <c r="H12" s="2517"/>
      <c r="I12" s="2517"/>
      <c r="J12" s="2517"/>
      <c r="K12" s="2517"/>
      <c r="L12" s="2518"/>
    </row>
    <row r="13" spans="1:29" ht="13.5" customHeight="1" x14ac:dyDescent="0.2">
      <c r="A13" s="2501"/>
      <c r="B13" s="2514"/>
      <c r="C13" s="2514"/>
      <c r="D13" s="2514"/>
      <c r="E13" s="2514"/>
      <c r="F13" s="2515"/>
      <c r="G13" s="2509" t="s">
        <v>1600</v>
      </c>
      <c r="H13" s="2510"/>
      <c r="I13" s="2522" t="str">
        <f>COVER!T25</f>
        <v>tpeffer@gorenzcpa.com</v>
      </c>
      <c r="J13" s="2523"/>
      <c r="K13" s="2523"/>
      <c r="L13" s="2524"/>
    </row>
    <row r="14" spans="1:29" ht="13.5" customHeight="1" x14ac:dyDescent="0.2">
      <c r="A14" s="2501" t="str">
        <f>COVER!A19</f>
        <v>4280 4th Avenue</v>
      </c>
      <c r="B14" s="2514"/>
      <c r="C14" s="2514"/>
      <c r="D14" s="2514"/>
      <c r="E14" s="2514"/>
      <c r="F14" s="2515"/>
      <c r="G14" s="1194" t="s">
        <v>1247</v>
      </c>
      <c r="H14" s="1192"/>
      <c r="I14" s="1192"/>
      <c r="J14" s="1192"/>
      <c r="K14" s="1192"/>
      <c r="L14" s="1193"/>
    </row>
    <row r="15" spans="1:29" ht="13.5" customHeight="1" x14ac:dyDescent="0.2">
      <c r="A15" s="2501" t="str">
        <f>COVER!A21</f>
        <v>East Moline, IL</v>
      </c>
      <c r="B15" s="2514"/>
      <c r="C15" s="2514"/>
      <c r="D15" s="2514"/>
      <c r="E15" s="2514"/>
      <c r="F15" s="2515"/>
      <c r="G15" s="2511" t="str">
        <f>COVER!T15</f>
        <v>Thomas R. Peffer, CPA</v>
      </c>
      <c r="H15" s="2512"/>
      <c r="I15" s="2512"/>
      <c r="J15" s="2512"/>
      <c r="K15" s="2512"/>
      <c r="L15" s="2513"/>
    </row>
    <row r="16" spans="1:29" ht="12.2" customHeight="1" x14ac:dyDescent="0.2">
      <c r="A16" s="2491">
        <f>COVER!A25</f>
        <v>61244</v>
      </c>
      <c r="B16" s="2492"/>
      <c r="C16" s="2492"/>
      <c r="D16" s="2492"/>
      <c r="E16" s="2492"/>
      <c r="F16" s="2493"/>
      <c r="G16" s="2504"/>
      <c r="H16" s="2505"/>
      <c r="I16" s="2505"/>
      <c r="J16" s="2505"/>
      <c r="K16" s="2505"/>
      <c r="L16" s="2506"/>
    </row>
    <row r="17" spans="1:13" ht="12.2" customHeight="1" x14ac:dyDescent="0.2">
      <c r="A17" s="2507"/>
      <c r="B17" s="2492"/>
      <c r="C17" s="2492"/>
      <c r="D17" s="2492"/>
      <c r="E17" s="2492"/>
      <c r="F17" s="2493"/>
      <c r="G17" s="1194" t="s">
        <v>1246</v>
      </c>
      <c r="H17" s="1192"/>
      <c r="I17" s="1192"/>
      <c r="J17" s="1192"/>
      <c r="K17" s="1196" t="s">
        <v>1245</v>
      </c>
      <c r="L17" s="1189"/>
      <c r="M17" s="1182"/>
    </row>
    <row r="18" spans="1:13" ht="12.2" customHeight="1" x14ac:dyDescent="0.2">
      <c r="A18" s="2485"/>
      <c r="B18" s="2486"/>
      <c r="C18" s="2486"/>
      <c r="D18" s="2486"/>
      <c r="E18" s="2486"/>
      <c r="F18" s="2487"/>
      <c r="G18" s="2488" t="str">
        <f>COVER!T21</f>
        <v>309-685-7621</v>
      </c>
      <c r="H18" s="2489"/>
      <c r="I18" s="2489"/>
      <c r="J18" s="2489"/>
      <c r="K18" s="2488" t="str">
        <f>COVER!X21</f>
        <v>309-685-4758</v>
      </c>
      <c r="L18" s="249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t="s">
        <v>2074</v>
      </c>
      <c r="C23" s="1201" t="s">
        <v>1244</v>
      </c>
    </row>
    <row r="24" spans="1:13" ht="10.15" customHeight="1" x14ac:dyDescent="0.2">
      <c r="A24" s="1199"/>
      <c r="C24" s="1201" t="s">
        <v>1243</v>
      </c>
    </row>
    <row r="25" spans="1:13" ht="9.1999999999999993" customHeight="1" x14ac:dyDescent="0.2">
      <c r="B25" s="1202" t="s">
        <v>1231</v>
      </c>
      <c r="C25" s="1203"/>
    </row>
    <row r="26" spans="1:13" s="1197" customFormat="1" ht="12.2" customHeight="1" x14ac:dyDescent="0.2">
      <c r="B26" s="1200" t="s">
        <v>2074</v>
      </c>
      <c r="C26" s="1201" t="s">
        <v>1801</v>
      </c>
    </row>
    <row r="27" spans="1:13" s="1197" customFormat="1" ht="9.1999999999999993" customHeight="1" x14ac:dyDescent="0.2">
      <c r="B27" s="1202"/>
      <c r="C27" s="1201"/>
    </row>
    <row r="28" spans="1:13" s="1197" customFormat="1" ht="12.2" customHeight="1" x14ac:dyDescent="0.2">
      <c r="A28" s="1204"/>
      <c r="B28" s="1200" t="s">
        <v>2074</v>
      </c>
      <c r="C28" s="1201" t="s">
        <v>1802</v>
      </c>
    </row>
    <row r="29" spans="1:13" s="1197" customFormat="1" ht="9.1999999999999993" customHeight="1" x14ac:dyDescent="0.2">
      <c r="A29" s="1204"/>
      <c r="B29" s="1202"/>
      <c r="C29" s="1201"/>
    </row>
    <row r="30" spans="1:13" s="1197" customFormat="1" ht="12.2" customHeight="1" x14ac:dyDescent="0.2">
      <c r="B30" s="1200" t="s">
        <v>2074</v>
      </c>
      <c r="C30" s="1201" t="s">
        <v>1643</v>
      </c>
      <c r="D30" s="1195"/>
      <c r="E30" s="1195"/>
    </row>
    <row r="31" spans="1:13" s="1197" customFormat="1" ht="9.1999999999999993" customHeight="1" x14ac:dyDescent="0.2">
      <c r="B31" s="1202"/>
      <c r="C31" s="1201"/>
      <c r="D31" s="1195"/>
      <c r="E31" s="1195"/>
    </row>
    <row r="32" spans="1:13" s="1197" customFormat="1" ht="12.2" customHeight="1" x14ac:dyDescent="0.2">
      <c r="B32" s="1200" t="s">
        <v>2074</v>
      </c>
      <c r="C32" s="1201" t="s">
        <v>1644</v>
      </c>
      <c r="D32" s="1195"/>
      <c r="E32" s="1195"/>
    </row>
    <row r="33" spans="1:8" s="1197" customFormat="1" ht="11.1" customHeight="1" x14ac:dyDescent="0.2">
      <c r="B33" s="1202"/>
      <c r="C33" s="1205" t="s">
        <v>1803</v>
      </c>
      <c r="D33" s="1195"/>
      <c r="E33" s="1195"/>
    </row>
    <row r="34" spans="1:8" ht="9.1999999999999993" customHeight="1" x14ac:dyDescent="0.2">
      <c r="B34" s="1202"/>
      <c r="C34" s="1205"/>
    </row>
    <row r="35" spans="1:8" s="1197" customFormat="1" ht="13.5" customHeight="1" x14ac:dyDescent="0.2">
      <c r="B35" s="1200" t="s">
        <v>2074</v>
      </c>
      <c r="C35" s="1201" t="s">
        <v>1645</v>
      </c>
    </row>
    <row r="36" spans="1:8" s="1197" customFormat="1" ht="11.1" customHeight="1" x14ac:dyDescent="0.2">
      <c r="B36" s="1202"/>
      <c r="C36" s="1205" t="s">
        <v>1646</v>
      </c>
    </row>
    <row r="37" spans="1:8" ht="9.1999999999999993" customHeight="1" x14ac:dyDescent="0.2">
      <c r="B37" s="1202"/>
      <c r="C37" s="1205"/>
    </row>
    <row r="38" spans="1:8" s="1197" customFormat="1" ht="12.2" customHeight="1" x14ac:dyDescent="0.2">
      <c r="B38" s="1200" t="s">
        <v>2074</v>
      </c>
      <c r="C38" s="1201" t="s">
        <v>1647</v>
      </c>
    </row>
    <row r="39" spans="1:8" ht="9.1999999999999993" customHeight="1" x14ac:dyDescent="0.2">
      <c r="B39" s="1202"/>
      <c r="C39" s="1205"/>
    </row>
    <row r="40" spans="1:8" s="1197" customFormat="1" ht="13.5" customHeight="1" x14ac:dyDescent="0.2">
      <c r="B40" s="1200" t="s">
        <v>2074</v>
      </c>
      <c r="C40" s="1201" t="s">
        <v>1648</v>
      </c>
    </row>
    <row r="41" spans="1:8" ht="9.1999999999999993" customHeight="1" x14ac:dyDescent="0.2">
      <c r="A41" s="1206"/>
      <c r="B41" s="1202"/>
      <c r="C41" s="1205"/>
    </row>
    <row r="42" spans="1:8" s="1197" customFormat="1" ht="13.5" customHeight="1" x14ac:dyDescent="0.2">
      <c r="B42" s="1200" t="s">
        <v>2074</v>
      </c>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2074</v>
      </c>
      <c r="C46" s="1208" t="s">
        <v>1649</v>
      </c>
      <c r="D46" s="1195"/>
      <c r="E46" s="1195"/>
      <c r="F46" s="1195"/>
      <c r="G46" s="1195"/>
      <c r="H46" s="1195"/>
    </row>
    <row r="47" spans="1:8" ht="9.1999999999999993" customHeight="1" x14ac:dyDescent="0.2"/>
    <row r="48" spans="1:8" ht="12.2" customHeight="1" x14ac:dyDescent="0.2">
      <c r="B48" s="1209"/>
      <c r="C48" s="1210" t="s">
        <v>1650</v>
      </c>
    </row>
    <row r="49" spans="1:12" ht="9.1999999999999993"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29" t="str">
        <f>'Single Audit Cover'!A7</f>
        <v>Silvis GSD 34</v>
      </c>
      <c r="B1" s="2525"/>
      <c r="C1" s="2525"/>
      <c r="D1" s="2525"/>
    </row>
    <row r="2" spans="1:11" s="1213" customFormat="1" ht="12.75" x14ac:dyDescent="0.2">
      <c r="A2" s="2530">
        <f>'Single Audit Cover'!E7</f>
        <v>49081034002</v>
      </c>
      <c r="B2" s="2531"/>
      <c r="C2" s="2531"/>
      <c r="D2" s="2531"/>
    </row>
    <row r="3" spans="1:11" s="1213" customFormat="1" ht="12.75" x14ac:dyDescent="0.2">
      <c r="A3" s="2529" t="s">
        <v>1593</v>
      </c>
      <c r="B3" s="2525"/>
      <c r="C3" s="2525"/>
      <c r="D3" s="252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33" t="str">
        <f>'Single Audit Cover'!A7</f>
        <v>Silvis GSD 34</v>
      </c>
      <c r="B1" s="2533"/>
      <c r="C1" s="2533"/>
      <c r="D1" s="2533"/>
      <c r="E1" s="2533"/>
    </row>
    <row r="2" spans="1:5" x14ac:dyDescent="0.2">
      <c r="A2" s="2534">
        <f>'Single Audit Cover'!E7</f>
        <v>49081034002</v>
      </c>
      <c r="B2" s="2534"/>
      <c r="C2" s="2534"/>
      <c r="D2" s="2534"/>
      <c r="E2" s="2534"/>
    </row>
    <row r="3" spans="1:5" ht="4.5" customHeight="1" x14ac:dyDescent="0.2"/>
    <row r="4" spans="1:5" x14ac:dyDescent="0.2">
      <c r="A4" s="2533" t="s">
        <v>1307</v>
      </c>
      <c r="B4" s="2533"/>
      <c r="C4" s="2533"/>
      <c r="D4" s="2533"/>
      <c r="E4" s="2533"/>
    </row>
    <row r="5" spans="1:5" x14ac:dyDescent="0.2">
      <c r="A5" s="2536" t="str">
        <f>'Single Audit Cover'!A4</f>
        <v>Year Ending June 30, 2018</v>
      </c>
      <c r="B5" s="2536"/>
      <c r="C5" s="2536"/>
      <c r="D5" s="2536"/>
      <c r="E5" s="2536"/>
    </row>
    <row r="6" spans="1:5" x14ac:dyDescent="0.2">
      <c r="A6" s="2533" t="s">
        <v>1306</v>
      </c>
      <c r="B6" s="2533"/>
      <c r="C6" s="2533"/>
      <c r="D6" s="2533"/>
      <c r="E6" s="2533"/>
    </row>
    <row r="8" spans="1:5" x14ac:dyDescent="0.2">
      <c r="A8" s="1258" t="s">
        <v>1305</v>
      </c>
    </row>
    <row r="10" spans="1:5" x14ac:dyDescent="0.2">
      <c r="A10" s="1259" t="s">
        <v>1304</v>
      </c>
      <c r="B10" s="1260" t="s">
        <v>1303</v>
      </c>
      <c r="C10" s="1260"/>
      <c r="D10" s="1261">
        <f>SUM('Acct Summary 7-8'!C7:K7)</f>
        <v>803269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34980.370000000003</v>
      </c>
    </row>
    <row r="15" spans="1:5" x14ac:dyDescent="0.2">
      <c r="A15" s="1259"/>
      <c r="B15" s="1260"/>
      <c r="C15" s="1260"/>
    </row>
    <row r="16" spans="1:5" x14ac:dyDescent="0.2">
      <c r="A16" s="1259" t="s">
        <v>1953</v>
      </c>
      <c r="B16" s="1260"/>
      <c r="C16" s="1260"/>
    </row>
    <row r="17" spans="1:4" x14ac:dyDescent="0.2">
      <c r="A17" s="1259" t="s">
        <v>1601</v>
      </c>
      <c r="B17" s="1260" t="s">
        <v>1298</v>
      </c>
      <c r="C17" s="1260"/>
      <c r="D17" s="1262">
        <f>-SUM('Revenues 9-14'!C271:D271,'Revenues 9-14'!F271:G271)</f>
        <v>-26328</v>
      </c>
    </row>
    <row r="19" spans="1:4" ht="13.5" thickBot="1" x14ac:dyDescent="0.25">
      <c r="A19" s="1263" t="s">
        <v>1297</v>
      </c>
      <c r="D19" s="1264">
        <f>SUM(D10:D17)</f>
        <v>811921.37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535" t="s">
        <v>2232</v>
      </c>
      <c r="B24" s="2535"/>
      <c r="D24" s="1266">
        <v>-34980</v>
      </c>
    </row>
    <row r="25" spans="1:4" x14ac:dyDescent="0.2">
      <c r="A25" s="2532"/>
      <c r="B25" s="2532"/>
      <c r="D25" s="1266"/>
    </row>
    <row r="26" spans="1:4" x14ac:dyDescent="0.2">
      <c r="A26" s="2532"/>
      <c r="B26" s="2532"/>
      <c r="D26" s="1266"/>
    </row>
    <row r="27" spans="1:4" x14ac:dyDescent="0.2">
      <c r="A27" s="2532"/>
      <c r="B27" s="2532"/>
      <c r="D27" s="1266"/>
    </row>
    <row r="28" spans="1:4" x14ac:dyDescent="0.2">
      <c r="A28" s="2532"/>
      <c r="B28" s="2532"/>
      <c r="D28" s="1266"/>
    </row>
    <row r="29" spans="1:4" x14ac:dyDescent="0.2">
      <c r="A29" s="2532"/>
      <c r="B29" s="2532"/>
      <c r="D29" s="1266"/>
    </row>
    <row r="30" spans="1:4" x14ac:dyDescent="0.2">
      <c r="A30" s="2532"/>
      <c r="B30" s="2532"/>
      <c r="D30" s="1266"/>
    </row>
    <row r="32" spans="1:4" x14ac:dyDescent="0.2">
      <c r="A32" s="1258" t="s">
        <v>1295</v>
      </c>
      <c r="D32" s="1261">
        <f>SUM(D19:D30)</f>
        <v>776941.37</v>
      </c>
    </row>
    <row r="33" spans="1:4" x14ac:dyDescent="0.2">
      <c r="D33" s="1267"/>
    </row>
    <row r="34" spans="1:4" x14ac:dyDescent="0.2">
      <c r="A34" s="317" t="s">
        <v>1294</v>
      </c>
    </row>
    <row r="35" spans="1:4" x14ac:dyDescent="0.2">
      <c r="A35" s="317" t="s">
        <v>1293</v>
      </c>
      <c r="B35" s="1256" t="s">
        <v>1292</v>
      </c>
      <c r="D35" s="1268">
        <v>776941</v>
      </c>
    </row>
    <row r="37" spans="1:4" x14ac:dyDescent="0.2">
      <c r="A37" s="1258" t="s">
        <v>1291</v>
      </c>
    </row>
    <row r="39" spans="1:4" ht="13.35" customHeight="1" x14ac:dyDescent="0.2">
      <c r="A39" s="1265" t="s">
        <v>1290</v>
      </c>
    </row>
    <row r="40" spans="1:4" x14ac:dyDescent="0.2">
      <c r="A40" s="2532" t="s">
        <v>2215</v>
      </c>
      <c r="B40" s="2532"/>
      <c r="D40" s="1266">
        <v>34980</v>
      </c>
    </row>
    <row r="41" spans="1:4" x14ac:dyDescent="0.2">
      <c r="A41" s="2532"/>
      <c r="B41" s="2532"/>
      <c r="D41" s="1269"/>
    </row>
    <row r="42" spans="1:4" x14ac:dyDescent="0.2">
      <c r="A42" s="2532"/>
      <c r="B42" s="2532"/>
      <c r="D42" s="1269"/>
    </row>
    <row r="43" spans="1:4" x14ac:dyDescent="0.2">
      <c r="A43" s="2532"/>
      <c r="B43" s="2532"/>
      <c r="D43" s="1269"/>
    </row>
    <row r="44" spans="1:4" x14ac:dyDescent="0.2">
      <c r="A44" s="2532"/>
      <c r="B44" s="2532"/>
      <c r="D44" s="1269"/>
    </row>
    <row r="45" spans="1:4" x14ac:dyDescent="0.2">
      <c r="A45" s="2532"/>
      <c r="B45" s="2532"/>
      <c r="D45" s="1269"/>
    </row>
    <row r="47" spans="1:4" x14ac:dyDescent="0.2">
      <c r="B47" s="1270" t="s">
        <v>1289</v>
      </c>
      <c r="C47" s="1270"/>
      <c r="D47" s="1271">
        <f>SUM(D35:D45)</f>
        <v>811921</v>
      </c>
    </row>
    <row r="49" spans="2:4" x14ac:dyDescent="0.2">
      <c r="B49" s="1270" t="s">
        <v>1288</v>
      </c>
      <c r="C49" s="1270"/>
      <c r="D49" s="1271">
        <f>D32-D47</f>
        <v>-34979.630000000005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38" t="str">
        <f>'Single Audit Cover'!A7</f>
        <v>Silvis GSD 34</v>
      </c>
      <c r="B1" s="2538"/>
      <c r="C1" s="2538"/>
      <c r="D1" s="2538"/>
      <c r="E1" s="2538"/>
      <c r="F1" s="2538"/>
    </row>
    <row r="2" spans="1:7" ht="13.5" customHeight="1" x14ac:dyDescent="0.2">
      <c r="A2" s="2539">
        <f>'Single Audit Cover'!E7</f>
        <v>49081034002</v>
      </c>
      <c r="B2" s="2539"/>
      <c r="C2" s="2539"/>
      <c r="D2" s="2539"/>
      <c r="E2" s="2539"/>
      <c r="F2" s="2539"/>
      <c r="G2" s="1273"/>
    </row>
    <row r="3" spans="1:7" ht="15.95" customHeight="1" x14ac:dyDescent="0.2">
      <c r="A3" s="2540" t="s">
        <v>1333</v>
      </c>
      <c r="B3" s="2540"/>
      <c r="C3" s="2540"/>
      <c r="D3" s="2540"/>
      <c r="E3" s="2540"/>
      <c r="F3" s="2540"/>
    </row>
    <row r="4" spans="1:7" ht="13.5" customHeight="1" x14ac:dyDescent="0.2">
      <c r="A4" s="2541" t="str">
        <f>'Single Audit Cover'!A4</f>
        <v>Year Ending June 30, 2018</v>
      </c>
      <c r="B4" s="2541"/>
      <c r="C4" s="2541"/>
      <c r="D4" s="2541"/>
      <c r="E4" s="2541"/>
      <c r="F4" s="2541"/>
    </row>
    <row r="5" spans="1:7" ht="8.25" customHeight="1" x14ac:dyDescent="0.2">
      <c r="C5" s="317"/>
      <c r="D5" s="317"/>
    </row>
    <row r="6" spans="1:7" ht="13.5" customHeight="1" x14ac:dyDescent="0.2">
      <c r="A6" s="1274" t="s">
        <v>1831</v>
      </c>
      <c r="C6" s="317"/>
      <c r="D6" s="317"/>
    </row>
    <row r="7" spans="1:7" ht="60.95" customHeight="1" x14ac:dyDescent="0.2">
      <c r="A7" s="2537" t="s">
        <v>2206</v>
      </c>
      <c r="B7" s="2537"/>
      <c r="C7" s="2537"/>
      <c r="D7" s="2537"/>
      <c r="E7" s="2537"/>
      <c r="F7" s="2537"/>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1628</v>
      </c>
      <c r="B10" s="1278"/>
      <c r="C10" s="1279"/>
      <c r="D10" s="1278" t="s">
        <v>1629</v>
      </c>
      <c r="E10" s="1279" t="s">
        <v>2074</v>
      </c>
      <c r="F10" s="1278" t="s">
        <v>101</v>
      </c>
      <c r="G10" s="1276"/>
    </row>
    <row r="11" spans="1:7" ht="12" customHeight="1" x14ac:dyDescent="0.2">
      <c r="A11" s="1277"/>
      <c r="B11" s="1278"/>
      <c r="C11" s="1923"/>
      <c r="D11" s="1278"/>
      <c r="E11" s="1923"/>
      <c r="F11" s="1278"/>
      <c r="G11" s="1276"/>
    </row>
    <row r="12" spans="1:7" x14ac:dyDescent="0.2">
      <c r="A12" s="1274" t="s">
        <v>1669</v>
      </c>
      <c r="C12" s="1258"/>
      <c r="D12" s="1258"/>
    </row>
    <row r="13" spans="1:7" ht="15" customHeight="1" x14ac:dyDescent="0.2">
      <c r="A13" s="2537" t="s">
        <v>2205</v>
      </c>
      <c r="B13" s="2537"/>
      <c r="C13" s="2537"/>
      <c r="D13" s="2537"/>
      <c r="E13" s="2537"/>
      <c r="F13" s="2537"/>
    </row>
    <row r="14" spans="1:7" ht="9.75" customHeight="1" x14ac:dyDescent="0.2">
      <c r="C14" s="1258"/>
      <c r="D14" s="1258"/>
    </row>
    <row r="15" spans="1:7" ht="13.5" customHeight="1" x14ac:dyDescent="0.2">
      <c r="C15" s="1867" t="s">
        <v>1332</v>
      </c>
      <c r="D15" s="2543" t="s">
        <v>1331</v>
      </c>
      <c r="E15" s="2543"/>
      <c r="F15" s="2543"/>
    </row>
    <row r="16" spans="1:7" ht="13.5" customHeight="1" x14ac:dyDescent="0.2">
      <c r="A16" s="1280"/>
      <c r="B16" s="1274" t="s">
        <v>1330</v>
      </c>
      <c r="C16" s="1867" t="s">
        <v>1329</v>
      </c>
      <c r="D16" s="2544" t="s">
        <v>1670</v>
      </c>
      <c r="E16" s="2544"/>
      <c r="F16" s="2544"/>
    </row>
    <row r="17" spans="1:6" ht="20.45" customHeight="1" x14ac:dyDescent="0.2">
      <c r="A17" s="1281"/>
      <c r="B17" s="1282" t="s">
        <v>2204</v>
      </c>
      <c r="C17" s="1283"/>
      <c r="D17" s="2542"/>
      <c r="E17" s="2542"/>
      <c r="F17" s="2542"/>
    </row>
    <row r="18" spans="1:6" ht="20.65" hidden="1" customHeight="1" x14ac:dyDescent="0.2">
      <c r="A18" s="1281"/>
      <c r="B18" s="1282"/>
      <c r="C18" s="1283"/>
      <c r="D18" s="2542"/>
      <c r="E18" s="2542"/>
      <c r="F18" s="2542"/>
    </row>
    <row r="19" spans="1:6" ht="20.65" hidden="1" customHeight="1" x14ac:dyDescent="0.2">
      <c r="A19" s="1281"/>
      <c r="B19" s="1282"/>
      <c r="C19" s="1283"/>
      <c r="D19" s="2542"/>
      <c r="E19" s="2542"/>
      <c r="F19" s="2542"/>
    </row>
    <row r="20" spans="1:6" ht="20.65" hidden="1" customHeight="1" x14ac:dyDescent="0.2">
      <c r="A20" s="1281"/>
      <c r="B20" s="1282"/>
      <c r="C20" s="1283"/>
      <c r="D20" s="2542"/>
      <c r="E20" s="2542"/>
      <c r="F20" s="2542"/>
    </row>
    <row r="21" spans="1:6" ht="20.65" hidden="1" customHeight="1" x14ac:dyDescent="0.2">
      <c r="A21" s="1281"/>
      <c r="B21" s="1282"/>
      <c r="C21" s="1283"/>
      <c r="D21" s="2542"/>
      <c r="E21" s="2542"/>
      <c r="F21" s="2542"/>
    </row>
    <row r="22" spans="1:6" ht="20.65" hidden="1" customHeight="1" x14ac:dyDescent="0.2">
      <c r="A22" s="1281"/>
      <c r="B22" s="1282"/>
      <c r="C22" s="1283"/>
      <c r="D22" s="2542"/>
      <c r="E22" s="2542"/>
      <c r="F22" s="2542"/>
    </row>
    <row r="23" spans="1:6" ht="20.65" hidden="1" customHeight="1" x14ac:dyDescent="0.2">
      <c r="A23" s="1281"/>
      <c r="B23" s="1282"/>
      <c r="C23" s="1283"/>
      <c r="D23" s="2542"/>
      <c r="E23" s="2542"/>
      <c r="F23" s="2542"/>
    </row>
    <row r="24" spans="1:6" ht="20.65" hidden="1" customHeight="1" x14ac:dyDescent="0.2">
      <c r="A24" s="1281"/>
      <c r="B24" s="1282"/>
      <c r="C24" s="1283"/>
      <c r="D24" s="2542"/>
      <c r="E24" s="2542"/>
      <c r="F24" s="2542"/>
    </row>
    <row r="25" spans="1:6" ht="20.65" hidden="1" customHeight="1" x14ac:dyDescent="0.2">
      <c r="A25" s="1281"/>
      <c r="B25" s="1282"/>
      <c r="C25" s="1283"/>
      <c r="D25" s="2542"/>
      <c r="E25" s="2542"/>
      <c r="F25" s="2542"/>
    </row>
    <row r="26" spans="1:6" ht="20.65" hidden="1" customHeight="1" x14ac:dyDescent="0.2">
      <c r="A26" s="1281"/>
      <c r="B26" s="1282"/>
      <c r="C26" s="1283"/>
      <c r="D26" s="2542"/>
      <c r="E26" s="2542"/>
      <c r="F26" s="2542"/>
    </row>
    <row r="27" spans="1:6" ht="20.65" hidden="1" customHeight="1" x14ac:dyDescent="0.2">
      <c r="A27" s="1281"/>
      <c r="B27" s="1282"/>
      <c r="C27" s="1283"/>
      <c r="D27" s="2542"/>
      <c r="E27" s="2542"/>
      <c r="F27" s="2542"/>
    </row>
    <row r="28" spans="1:6" ht="20.65" hidden="1" customHeight="1" x14ac:dyDescent="0.2">
      <c r="A28" s="1281"/>
      <c r="B28" s="1282"/>
      <c r="C28" s="1283"/>
      <c r="D28" s="2542"/>
      <c r="E28" s="2542"/>
      <c r="F28" s="2542"/>
    </row>
    <row r="29" spans="1:6" ht="20.65" hidden="1" customHeight="1" x14ac:dyDescent="0.2">
      <c r="A29" s="1281"/>
      <c r="B29" s="1282"/>
      <c r="C29" s="1283"/>
      <c r="D29" s="2542"/>
      <c r="E29" s="2542"/>
      <c r="F29" s="2542"/>
    </row>
    <row r="30" spans="1:6" ht="12" customHeight="1" x14ac:dyDescent="0.2">
      <c r="A30" s="328"/>
      <c r="B30" s="328"/>
      <c r="C30" s="1476"/>
      <c r="D30" s="1924"/>
      <c r="E30" s="1284"/>
    </row>
    <row r="31" spans="1:6" ht="12" customHeight="1" x14ac:dyDescent="0.2">
      <c r="A31" s="1285" t="s">
        <v>1630</v>
      </c>
      <c r="B31" s="328"/>
      <c r="C31" s="1476"/>
      <c r="D31" s="1924"/>
      <c r="E31" s="1284"/>
    </row>
    <row r="32" spans="1:6" ht="30" customHeight="1" x14ac:dyDescent="0.2">
      <c r="A32" s="2546" t="s">
        <v>1833</v>
      </c>
      <c r="B32" s="2546"/>
      <c r="C32" s="2546"/>
      <c r="D32" s="2546"/>
      <c r="E32" s="2546"/>
      <c r="F32" s="2546"/>
    </row>
    <row r="33" spans="1:6" ht="13.5" customHeight="1" x14ac:dyDescent="0.2">
      <c r="A33" s="328" t="s">
        <v>1509</v>
      </c>
      <c r="B33" s="328"/>
      <c r="C33" s="1286">
        <v>34980</v>
      </c>
      <c r="D33" s="1924"/>
      <c r="E33" s="1284"/>
    </row>
    <row r="34" spans="1:6" ht="13.5" customHeight="1" x14ac:dyDescent="0.2">
      <c r="A34" s="328" t="s">
        <v>1947</v>
      </c>
      <c r="B34" s="328"/>
      <c r="C34" s="1287">
        <v>0</v>
      </c>
      <c r="D34" s="1924" t="s">
        <v>1671</v>
      </c>
      <c r="E34" s="2547">
        <f>+C33+C34</f>
        <v>34980</v>
      </c>
      <c r="F34" s="2548"/>
    </row>
    <row r="35" spans="1:6" ht="12" customHeight="1" x14ac:dyDescent="0.2">
      <c r="A35" s="328"/>
      <c r="B35" s="328"/>
      <c r="C35" s="1925"/>
      <c r="D35" s="1924"/>
      <c r="E35" s="1288"/>
      <c r="F35" s="1289"/>
    </row>
    <row r="36" spans="1:6" ht="13.5" customHeight="1" x14ac:dyDescent="0.2">
      <c r="A36" s="1285" t="s">
        <v>1631</v>
      </c>
      <c r="B36" s="328"/>
      <c r="C36" s="1476"/>
      <c r="D36" s="1924"/>
      <c r="E36" s="1284"/>
    </row>
    <row r="37" spans="1:6" ht="14.25" customHeight="1" x14ac:dyDescent="0.2">
      <c r="A37" s="328" t="s">
        <v>1563</v>
      </c>
      <c r="B37" s="328"/>
      <c r="C37" s="1926"/>
      <c r="D37" s="1924"/>
      <c r="E37" s="1284"/>
    </row>
    <row r="38" spans="1:6" ht="14.25" customHeight="1" x14ac:dyDescent="0.2">
      <c r="A38" s="328"/>
      <c r="B38" s="328" t="s">
        <v>1510</v>
      </c>
      <c r="C38" s="1290" t="s">
        <v>401</v>
      </c>
      <c r="D38" s="1924"/>
      <c r="E38" s="1284"/>
    </row>
    <row r="39" spans="1:6" ht="14.25" customHeight="1" x14ac:dyDescent="0.2">
      <c r="A39" s="328"/>
      <c r="B39" s="328" t="s">
        <v>1511</v>
      </c>
      <c r="C39" s="1290" t="s">
        <v>401</v>
      </c>
      <c r="D39" s="1924"/>
      <c r="E39" s="1284"/>
    </row>
    <row r="40" spans="1:6" ht="14.25" customHeight="1" x14ac:dyDescent="0.2">
      <c r="A40" s="328"/>
      <c r="B40" s="328" t="s">
        <v>1512</v>
      </c>
      <c r="C40" s="1290" t="s">
        <v>401</v>
      </c>
      <c r="D40" s="1924"/>
      <c r="E40" s="1284"/>
    </row>
    <row r="41" spans="1:6" ht="14.25" customHeight="1" x14ac:dyDescent="0.2">
      <c r="A41" s="328"/>
      <c r="B41" s="328" t="s">
        <v>1513</v>
      </c>
      <c r="C41" s="1290" t="s">
        <v>401</v>
      </c>
      <c r="D41" s="1924"/>
      <c r="E41" s="1284"/>
    </row>
    <row r="42" spans="1:6" ht="14.25" customHeight="1" x14ac:dyDescent="0.2">
      <c r="A42" s="328" t="s">
        <v>1514</v>
      </c>
      <c r="B42" s="328"/>
      <c r="C42" s="1922" t="s">
        <v>401</v>
      </c>
      <c r="D42" s="1924"/>
      <c r="E42" s="1284"/>
    </row>
    <row r="43" spans="1:6" ht="14.25" customHeight="1" x14ac:dyDescent="0.2">
      <c r="A43" s="328" t="s">
        <v>1515</v>
      </c>
      <c r="B43" s="328"/>
      <c r="C43" s="1291" t="s">
        <v>401</v>
      </c>
      <c r="D43" s="1924"/>
      <c r="E43" s="1284"/>
    </row>
    <row r="44" spans="1:6" ht="14.25" customHeight="1" x14ac:dyDescent="0.2">
      <c r="A44" s="328"/>
      <c r="B44" s="328"/>
      <c r="C44" s="1926" t="s">
        <v>1516</v>
      </c>
      <c r="D44" s="1924"/>
      <c r="E44" s="1284"/>
    </row>
    <row r="45" spans="1:6" ht="14.25" customHeight="1" x14ac:dyDescent="0.2">
      <c r="A45" s="328"/>
      <c r="B45" s="328"/>
      <c r="C45" s="1926"/>
      <c r="D45" s="1924"/>
      <c r="E45" s="1284"/>
    </row>
    <row r="46" spans="1:6" ht="14.25" customHeight="1" x14ac:dyDescent="0.2">
      <c r="A46" s="1285" t="s">
        <v>2212</v>
      </c>
      <c r="B46" s="328"/>
      <c r="C46" s="1926"/>
      <c r="D46" s="1924"/>
      <c r="E46" s="1284"/>
    </row>
    <row r="47" spans="1:6" ht="36.75" customHeight="1" x14ac:dyDescent="0.2">
      <c r="A47" s="2550" t="s">
        <v>2213</v>
      </c>
      <c r="B47" s="2550"/>
      <c r="C47" s="2550"/>
      <c r="D47" s="2550"/>
      <c r="E47" s="2550"/>
      <c r="F47" s="2550"/>
    </row>
    <row r="48" spans="1:6" ht="13.5" customHeight="1" x14ac:dyDescent="0.2">
      <c r="B48" s="322"/>
      <c r="C48" s="1292"/>
      <c r="D48" s="1292"/>
    </row>
    <row r="49" spans="1:6" x14ac:dyDescent="0.2">
      <c r="A49" s="1293" t="s">
        <v>1834</v>
      </c>
      <c r="C49" s="317"/>
      <c r="D49" s="317"/>
    </row>
    <row r="50" spans="1:6" s="322" customFormat="1" ht="11.25" customHeight="1" x14ac:dyDescent="0.2">
      <c r="A50" s="1294"/>
      <c r="B50" s="1295"/>
      <c r="C50" s="1295"/>
      <c r="D50" s="1295"/>
      <c r="E50" s="1295"/>
      <c r="F50" s="1295"/>
    </row>
    <row r="51" spans="1:6" s="322" customFormat="1" ht="6" customHeight="1" x14ac:dyDescent="0.2">
      <c r="A51" s="1296"/>
    </row>
    <row r="52" spans="1:6" s="1298" customFormat="1" ht="23.45" customHeight="1" x14ac:dyDescent="0.2">
      <c r="A52" s="1297">
        <v>5</v>
      </c>
      <c r="B52" s="2549" t="s">
        <v>1672</v>
      </c>
      <c r="C52" s="2549"/>
      <c r="D52" s="2549"/>
      <c r="E52" s="1397"/>
    </row>
    <row r="53" spans="1:6" s="1298" customFormat="1" ht="3.75" customHeight="1" x14ac:dyDescent="0.2">
      <c r="A53" s="1297"/>
      <c r="B53" s="1866"/>
      <c r="C53" s="1866"/>
      <c r="D53" s="1866"/>
      <c r="E53" s="1397"/>
    </row>
    <row r="54" spans="1:6" s="1298" customFormat="1" ht="20.25" customHeight="1" x14ac:dyDescent="0.2">
      <c r="A54" s="1299">
        <v>6</v>
      </c>
      <c r="B54" s="2545" t="s">
        <v>1632</v>
      </c>
      <c r="C54" s="2545"/>
      <c r="D54" s="2545"/>
    </row>
    <row r="55" spans="1:6" ht="14.25" customHeight="1" x14ac:dyDescent="0.2">
      <c r="A55" s="1299"/>
      <c r="B55" s="2545"/>
      <c r="C55" s="2545"/>
      <c r="D55" s="2545"/>
    </row>
  </sheetData>
  <mergeCells count="27">
    <mergeCell ref="B54:D54"/>
    <mergeCell ref="B55:D55"/>
    <mergeCell ref="D27:F27"/>
    <mergeCell ref="D28:F28"/>
    <mergeCell ref="D29:F29"/>
    <mergeCell ref="A32:F32"/>
    <mergeCell ref="E34:F34"/>
    <mergeCell ref="B52:D52"/>
    <mergeCell ref="A47:F47"/>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94" t="str">
        <f>'Single Audit Cover'!A7</f>
        <v>Silvis GSD 34</v>
      </c>
      <c r="C1" s="2551"/>
      <c r="D1" s="2551"/>
      <c r="E1" s="2551"/>
      <c r="F1" s="2551"/>
      <c r="G1" s="2551"/>
      <c r="H1" s="2551"/>
      <c r="I1" s="2551"/>
      <c r="J1" s="2551"/>
      <c r="K1" s="2551"/>
      <c r="L1" s="2551"/>
      <c r="M1" s="2551"/>
    </row>
    <row r="2" spans="2:14" ht="15" x14ac:dyDescent="0.2">
      <c r="B2" s="2539">
        <f>'Single Audit Cover'!E7</f>
        <v>49081034002</v>
      </c>
      <c r="C2" s="2539"/>
      <c r="D2" s="2539"/>
      <c r="E2" s="2539"/>
      <c r="F2" s="2539"/>
      <c r="G2" s="2539"/>
      <c r="H2" s="2539"/>
      <c r="I2" s="2539"/>
      <c r="J2" s="2539"/>
      <c r="K2" s="2539"/>
      <c r="L2" s="2539"/>
      <c r="M2" s="2539"/>
      <c r="N2" s="1300"/>
    </row>
    <row r="3" spans="2:14" ht="15" x14ac:dyDescent="0.2">
      <c r="B3" s="2552" t="s">
        <v>1281</v>
      </c>
      <c r="C3" s="2552"/>
      <c r="D3" s="2552"/>
      <c r="E3" s="2552"/>
      <c r="F3" s="2552"/>
      <c r="G3" s="2552"/>
      <c r="H3" s="2552"/>
      <c r="I3" s="2552"/>
      <c r="J3" s="2552"/>
      <c r="K3" s="2552"/>
      <c r="L3" s="2552"/>
      <c r="M3" s="2552"/>
      <c r="N3" s="1300"/>
    </row>
    <row r="4" spans="2:14" ht="15" x14ac:dyDescent="0.2">
      <c r="B4" s="2553" t="str">
        <f>'Single Audit Cover'!A4</f>
        <v>Year Ending June 30, 2018</v>
      </c>
      <c r="C4" s="2553"/>
      <c r="D4" s="2553"/>
      <c r="E4" s="2553"/>
      <c r="F4" s="2553"/>
      <c r="G4" s="2553"/>
      <c r="H4" s="2553"/>
      <c r="I4" s="2553"/>
      <c r="J4" s="2553"/>
      <c r="K4" s="2553"/>
      <c r="L4" s="2553"/>
      <c r="M4" s="2553"/>
      <c r="N4" s="1300"/>
    </row>
    <row r="6" spans="2:14" x14ac:dyDescent="0.2">
      <c r="B6" s="1301"/>
      <c r="C6" s="1302"/>
      <c r="D6" s="1303" t="s">
        <v>1327</v>
      </c>
      <c r="E6" s="1304" t="s">
        <v>548</v>
      </c>
      <c r="F6" s="1305"/>
      <c r="G6" s="1306" t="s">
        <v>1835</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1948</v>
      </c>
      <c r="K8" s="1317" t="s">
        <v>1323</v>
      </c>
      <c r="L8" s="1318" t="s">
        <v>1319</v>
      </c>
      <c r="M8" s="1319" t="s">
        <v>30</v>
      </c>
    </row>
    <row r="9" spans="2:14" ht="14.25" x14ac:dyDescent="0.2">
      <c r="B9" s="1323" t="s">
        <v>1321</v>
      </c>
      <c r="C9" s="1311" t="s">
        <v>1836</v>
      </c>
      <c r="D9" s="1312" t="s">
        <v>1837</v>
      </c>
      <c r="E9" s="1320" t="s">
        <v>1663</v>
      </c>
      <c r="F9" s="1321" t="s">
        <v>1948</v>
      </c>
      <c r="G9" s="1322" t="s">
        <v>1663</v>
      </c>
      <c r="H9" s="1315" t="s">
        <v>1664</v>
      </c>
      <c r="I9" s="1317" t="s">
        <v>1948</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2082</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1838</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1839</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1840</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1841</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1842</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118"/>
  <sheetViews>
    <sheetView showGridLines="0" zoomScaleNormal="100" zoomScaleSheetLayoutView="100" workbookViewId="0">
      <pane xSplit="1" ySplit="11" topLeftCell="B12" activePane="bottomRight" state="frozen"/>
      <selection pane="topRight" activeCell="C1" sqref="C1"/>
      <selection pane="bottomLeft" activeCell="A14" sqref="A14"/>
      <selection pane="bottomRight" activeCell="B12" sqref="B12"/>
    </sheetView>
  </sheetViews>
  <sheetFormatPr defaultColWidth="16.7109375" defaultRowHeight="12" x14ac:dyDescent="0.2"/>
  <cols>
    <col min="1" max="1" width="50.140625" style="1957" customWidth="1"/>
    <col min="2" max="2" width="9.85546875" style="1957" customWidth="1"/>
    <col min="3" max="3" width="13" style="1957" customWidth="1"/>
    <col min="4" max="4" width="5.28515625" style="1985" customWidth="1"/>
    <col min="5" max="5" width="12.85546875" style="1957" customWidth="1"/>
    <col min="6" max="6" width="13.85546875" style="1957" customWidth="1"/>
    <col min="7" max="7" width="13.140625" style="1957" bestFit="1" customWidth="1"/>
    <col min="8" max="8" width="12.28515625" style="1957" customWidth="1"/>
    <col min="9" max="9" width="1.85546875" style="1957" customWidth="1"/>
    <col min="10" max="10" width="11" style="1957" customWidth="1"/>
    <col min="11" max="11" width="4.5703125" style="1985" bestFit="1" customWidth="1"/>
    <col min="12" max="12" width="13.28515625" style="1957" bestFit="1" customWidth="1"/>
    <col min="13" max="13" width="12.42578125" style="1957" bestFit="1" customWidth="1"/>
    <col min="14" max="242" width="16.7109375" style="1957"/>
    <col min="243" max="243" width="50.140625" style="1957" customWidth="1"/>
    <col min="244" max="244" width="9.85546875" style="1957" customWidth="1"/>
    <col min="245" max="245" width="13" style="1957" customWidth="1"/>
    <col min="246" max="246" width="5.28515625" style="1957" customWidth="1"/>
    <col min="247" max="247" width="12.85546875" style="1957" customWidth="1"/>
    <col min="248" max="248" width="13.85546875" style="1957" customWidth="1"/>
    <col min="249" max="249" width="13.140625" style="1957" bestFit="1" customWidth="1"/>
    <col min="250" max="250" width="12.28515625" style="1957" customWidth="1"/>
    <col min="251" max="251" width="1.85546875" style="1957" customWidth="1"/>
    <col min="252" max="252" width="11" style="1957" customWidth="1"/>
    <col min="253" max="253" width="4.5703125" style="1957" bestFit="1" customWidth="1"/>
    <col min="254" max="254" width="13.28515625" style="1957" bestFit="1" customWidth="1"/>
    <col min="255" max="255" width="12.42578125" style="1957" bestFit="1" customWidth="1"/>
    <col min="256" max="498" width="16.7109375" style="1957"/>
    <col min="499" max="499" width="50.140625" style="1957" customWidth="1"/>
    <col min="500" max="500" width="9.85546875" style="1957" customWidth="1"/>
    <col min="501" max="501" width="13" style="1957" customWidth="1"/>
    <col min="502" max="502" width="5.28515625" style="1957" customWidth="1"/>
    <col min="503" max="503" width="12.85546875" style="1957" customWidth="1"/>
    <col min="504" max="504" width="13.85546875" style="1957" customWidth="1"/>
    <col min="505" max="505" width="13.140625" style="1957" bestFit="1" customWidth="1"/>
    <col min="506" max="506" width="12.28515625" style="1957" customWidth="1"/>
    <col min="507" max="507" width="1.85546875" style="1957" customWidth="1"/>
    <col min="508" max="508" width="11" style="1957" customWidth="1"/>
    <col min="509" max="509" width="4.5703125" style="1957" bestFit="1" customWidth="1"/>
    <col min="510" max="510" width="13.28515625" style="1957" bestFit="1" customWidth="1"/>
    <col min="511" max="511" width="12.42578125" style="1957" bestFit="1" customWidth="1"/>
    <col min="512" max="754" width="16.7109375" style="1957"/>
    <col min="755" max="755" width="50.140625" style="1957" customWidth="1"/>
    <col min="756" max="756" width="9.85546875" style="1957" customWidth="1"/>
    <col min="757" max="757" width="13" style="1957" customWidth="1"/>
    <col min="758" max="758" width="5.28515625" style="1957" customWidth="1"/>
    <col min="759" max="759" width="12.85546875" style="1957" customWidth="1"/>
    <col min="760" max="760" width="13.85546875" style="1957" customWidth="1"/>
    <col min="761" max="761" width="13.140625" style="1957" bestFit="1" customWidth="1"/>
    <col min="762" max="762" width="12.28515625" style="1957" customWidth="1"/>
    <col min="763" max="763" width="1.85546875" style="1957" customWidth="1"/>
    <col min="764" max="764" width="11" style="1957" customWidth="1"/>
    <col min="765" max="765" width="4.5703125" style="1957" bestFit="1" customWidth="1"/>
    <col min="766" max="766" width="13.28515625" style="1957" bestFit="1" customWidth="1"/>
    <col min="767" max="767" width="12.42578125" style="1957" bestFit="1" customWidth="1"/>
    <col min="768" max="1010" width="16.7109375" style="1957"/>
    <col min="1011" max="1011" width="50.140625" style="1957" customWidth="1"/>
    <col min="1012" max="1012" width="9.85546875" style="1957" customWidth="1"/>
    <col min="1013" max="1013" width="13" style="1957" customWidth="1"/>
    <col min="1014" max="1014" width="5.28515625" style="1957" customWidth="1"/>
    <col min="1015" max="1015" width="12.85546875" style="1957" customWidth="1"/>
    <col min="1016" max="1016" width="13.85546875" style="1957" customWidth="1"/>
    <col min="1017" max="1017" width="13.140625" style="1957" bestFit="1" customWidth="1"/>
    <col min="1018" max="1018" width="12.28515625" style="1957" customWidth="1"/>
    <col min="1019" max="1019" width="1.85546875" style="1957" customWidth="1"/>
    <col min="1020" max="1020" width="11" style="1957" customWidth="1"/>
    <col min="1021" max="1021" width="4.5703125" style="1957" bestFit="1" customWidth="1"/>
    <col min="1022" max="1022" width="13.28515625" style="1957" bestFit="1" customWidth="1"/>
    <col min="1023" max="1023" width="12.42578125" style="1957" bestFit="1" customWidth="1"/>
    <col min="1024" max="1266" width="16.7109375" style="1957"/>
    <col min="1267" max="1267" width="50.140625" style="1957" customWidth="1"/>
    <col min="1268" max="1268" width="9.85546875" style="1957" customWidth="1"/>
    <col min="1269" max="1269" width="13" style="1957" customWidth="1"/>
    <col min="1270" max="1270" width="5.28515625" style="1957" customWidth="1"/>
    <col min="1271" max="1271" width="12.85546875" style="1957" customWidth="1"/>
    <col min="1272" max="1272" width="13.85546875" style="1957" customWidth="1"/>
    <col min="1273" max="1273" width="13.140625" style="1957" bestFit="1" customWidth="1"/>
    <col min="1274" max="1274" width="12.28515625" style="1957" customWidth="1"/>
    <col min="1275" max="1275" width="1.85546875" style="1957" customWidth="1"/>
    <col min="1276" max="1276" width="11" style="1957" customWidth="1"/>
    <col min="1277" max="1277" width="4.5703125" style="1957" bestFit="1" customWidth="1"/>
    <col min="1278" max="1278" width="13.28515625" style="1957" bestFit="1" customWidth="1"/>
    <col min="1279" max="1279" width="12.42578125" style="1957" bestFit="1" customWidth="1"/>
    <col min="1280" max="1522" width="16.7109375" style="1957"/>
    <col min="1523" max="1523" width="50.140625" style="1957" customWidth="1"/>
    <col min="1524" max="1524" width="9.85546875" style="1957" customWidth="1"/>
    <col min="1525" max="1525" width="13" style="1957" customWidth="1"/>
    <col min="1526" max="1526" width="5.28515625" style="1957" customWidth="1"/>
    <col min="1527" max="1527" width="12.85546875" style="1957" customWidth="1"/>
    <col min="1528" max="1528" width="13.85546875" style="1957" customWidth="1"/>
    <col min="1529" max="1529" width="13.140625" style="1957" bestFit="1" customWidth="1"/>
    <col min="1530" max="1530" width="12.28515625" style="1957" customWidth="1"/>
    <col min="1531" max="1531" width="1.85546875" style="1957" customWidth="1"/>
    <col min="1532" max="1532" width="11" style="1957" customWidth="1"/>
    <col min="1533" max="1533" width="4.5703125" style="1957" bestFit="1" customWidth="1"/>
    <col min="1534" max="1534" width="13.28515625" style="1957" bestFit="1" customWidth="1"/>
    <col min="1535" max="1535" width="12.42578125" style="1957" bestFit="1" customWidth="1"/>
    <col min="1536" max="1778" width="16.7109375" style="1957"/>
    <col min="1779" max="1779" width="50.140625" style="1957" customWidth="1"/>
    <col min="1780" max="1780" width="9.85546875" style="1957" customWidth="1"/>
    <col min="1781" max="1781" width="13" style="1957" customWidth="1"/>
    <col min="1782" max="1782" width="5.28515625" style="1957" customWidth="1"/>
    <col min="1783" max="1783" width="12.85546875" style="1957" customWidth="1"/>
    <col min="1784" max="1784" width="13.85546875" style="1957" customWidth="1"/>
    <col min="1785" max="1785" width="13.140625" style="1957" bestFit="1" customWidth="1"/>
    <col min="1786" max="1786" width="12.28515625" style="1957" customWidth="1"/>
    <col min="1787" max="1787" width="1.85546875" style="1957" customWidth="1"/>
    <col min="1788" max="1788" width="11" style="1957" customWidth="1"/>
    <col min="1789" max="1789" width="4.5703125" style="1957" bestFit="1" customWidth="1"/>
    <col min="1790" max="1790" width="13.28515625" style="1957" bestFit="1" customWidth="1"/>
    <col min="1791" max="1791" width="12.42578125" style="1957" bestFit="1" customWidth="1"/>
    <col min="1792" max="2034" width="16.7109375" style="1957"/>
    <col min="2035" max="2035" width="50.140625" style="1957" customWidth="1"/>
    <col min="2036" max="2036" width="9.85546875" style="1957" customWidth="1"/>
    <col min="2037" max="2037" width="13" style="1957" customWidth="1"/>
    <col min="2038" max="2038" width="5.28515625" style="1957" customWidth="1"/>
    <col min="2039" max="2039" width="12.85546875" style="1957" customWidth="1"/>
    <col min="2040" max="2040" width="13.85546875" style="1957" customWidth="1"/>
    <col min="2041" max="2041" width="13.140625" style="1957" bestFit="1" customWidth="1"/>
    <col min="2042" max="2042" width="12.28515625" style="1957" customWidth="1"/>
    <col min="2043" max="2043" width="1.85546875" style="1957" customWidth="1"/>
    <col min="2044" max="2044" width="11" style="1957" customWidth="1"/>
    <col min="2045" max="2045" width="4.5703125" style="1957" bestFit="1" customWidth="1"/>
    <col min="2046" max="2046" width="13.28515625" style="1957" bestFit="1" customWidth="1"/>
    <col min="2047" max="2047" width="12.42578125" style="1957" bestFit="1" customWidth="1"/>
    <col min="2048" max="2290" width="16.7109375" style="1957"/>
    <col min="2291" max="2291" width="50.140625" style="1957" customWidth="1"/>
    <col min="2292" max="2292" width="9.85546875" style="1957" customWidth="1"/>
    <col min="2293" max="2293" width="13" style="1957" customWidth="1"/>
    <col min="2294" max="2294" width="5.28515625" style="1957" customWidth="1"/>
    <col min="2295" max="2295" width="12.85546875" style="1957" customWidth="1"/>
    <col min="2296" max="2296" width="13.85546875" style="1957" customWidth="1"/>
    <col min="2297" max="2297" width="13.140625" style="1957" bestFit="1" customWidth="1"/>
    <col min="2298" max="2298" width="12.28515625" style="1957" customWidth="1"/>
    <col min="2299" max="2299" width="1.85546875" style="1957" customWidth="1"/>
    <col min="2300" max="2300" width="11" style="1957" customWidth="1"/>
    <col min="2301" max="2301" width="4.5703125" style="1957" bestFit="1" customWidth="1"/>
    <col min="2302" max="2302" width="13.28515625" style="1957" bestFit="1" customWidth="1"/>
    <col min="2303" max="2303" width="12.42578125" style="1957" bestFit="1" customWidth="1"/>
    <col min="2304" max="2546" width="16.7109375" style="1957"/>
    <col min="2547" max="2547" width="50.140625" style="1957" customWidth="1"/>
    <col min="2548" max="2548" width="9.85546875" style="1957" customWidth="1"/>
    <col min="2549" max="2549" width="13" style="1957" customWidth="1"/>
    <col min="2550" max="2550" width="5.28515625" style="1957" customWidth="1"/>
    <col min="2551" max="2551" width="12.85546875" style="1957" customWidth="1"/>
    <col min="2552" max="2552" width="13.85546875" style="1957" customWidth="1"/>
    <col min="2553" max="2553" width="13.140625" style="1957" bestFit="1" customWidth="1"/>
    <col min="2554" max="2554" width="12.28515625" style="1957" customWidth="1"/>
    <col min="2555" max="2555" width="1.85546875" style="1957" customWidth="1"/>
    <col min="2556" max="2556" width="11" style="1957" customWidth="1"/>
    <col min="2557" max="2557" width="4.5703125" style="1957" bestFit="1" customWidth="1"/>
    <col min="2558" max="2558" width="13.28515625" style="1957" bestFit="1" customWidth="1"/>
    <col min="2559" max="2559" width="12.42578125" style="1957" bestFit="1" customWidth="1"/>
    <col min="2560" max="2802" width="16.7109375" style="1957"/>
    <col min="2803" max="2803" width="50.140625" style="1957" customWidth="1"/>
    <col min="2804" max="2804" width="9.85546875" style="1957" customWidth="1"/>
    <col min="2805" max="2805" width="13" style="1957" customWidth="1"/>
    <col min="2806" max="2806" width="5.28515625" style="1957" customWidth="1"/>
    <col min="2807" max="2807" width="12.85546875" style="1957" customWidth="1"/>
    <col min="2808" max="2808" width="13.85546875" style="1957" customWidth="1"/>
    <col min="2809" max="2809" width="13.140625" style="1957" bestFit="1" customWidth="1"/>
    <col min="2810" max="2810" width="12.28515625" style="1957" customWidth="1"/>
    <col min="2811" max="2811" width="1.85546875" style="1957" customWidth="1"/>
    <col min="2812" max="2812" width="11" style="1957" customWidth="1"/>
    <col min="2813" max="2813" width="4.5703125" style="1957" bestFit="1" customWidth="1"/>
    <col min="2814" max="2814" width="13.28515625" style="1957" bestFit="1" customWidth="1"/>
    <col min="2815" max="2815" width="12.42578125" style="1957" bestFit="1" customWidth="1"/>
    <col min="2816" max="3058" width="16.7109375" style="1957"/>
    <col min="3059" max="3059" width="50.140625" style="1957" customWidth="1"/>
    <col min="3060" max="3060" width="9.85546875" style="1957" customWidth="1"/>
    <col min="3061" max="3061" width="13" style="1957" customWidth="1"/>
    <col min="3062" max="3062" width="5.28515625" style="1957" customWidth="1"/>
    <col min="3063" max="3063" width="12.85546875" style="1957" customWidth="1"/>
    <col min="3064" max="3064" width="13.85546875" style="1957" customWidth="1"/>
    <col min="3065" max="3065" width="13.140625" style="1957" bestFit="1" customWidth="1"/>
    <col min="3066" max="3066" width="12.28515625" style="1957" customWidth="1"/>
    <col min="3067" max="3067" width="1.85546875" style="1957" customWidth="1"/>
    <col min="3068" max="3068" width="11" style="1957" customWidth="1"/>
    <col min="3069" max="3069" width="4.5703125" style="1957" bestFit="1" customWidth="1"/>
    <col min="3070" max="3070" width="13.28515625" style="1957" bestFit="1" customWidth="1"/>
    <col min="3071" max="3071" width="12.42578125" style="1957" bestFit="1" customWidth="1"/>
    <col min="3072" max="3314" width="16.7109375" style="1957"/>
    <col min="3315" max="3315" width="50.140625" style="1957" customWidth="1"/>
    <col min="3316" max="3316" width="9.85546875" style="1957" customWidth="1"/>
    <col min="3317" max="3317" width="13" style="1957" customWidth="1"/>
    <col min="3318" max="3318" width="5.28515625" style="1957" customWidth="1"/>
    <col min="3319" max="3319" width="12.85546875" style="1957" customWidth="1"/>
    <col min="3320" max="3320" width="13.85546875" style="1957" customWidth="1"/>
    <col min="3321" max="3321" width="13.140625" style="1957" bestFit="1" customWidth="1"/>
    <col min="3322" max="3322" width="12.28515625" style="1957" customWidth="1"/>
    <col min="3323" max="3323" width="1.85546875" style="1957" customWidth="1"/>
    <col min="3324" max="3324" width="11" style="1957" customWidth="1"/>
    <col min="3325" max="3325" width="4.5703125" style="1957" bestFit="1" customWidth="1"/>
    <col min="3326" max="3326" width="13.28515625" style="1957" bestFit="1" customWidth="1"/>
    <col min="3327" max="3327" width="12.42578125" style="1957" bestFit="1" customWidth="1"/>
    <col min="3328" max="3570" width="16.7109375" style="1957"/>
    <col min="3571" max="3571" width="50.140625" style="1957" customWidth="1"/>
    <col min="3572" max="3572" width="9.85546875" style="1957" customWidth="1"/>
    <col min="3573" max="3573" width="13" style="1957" customWidth="1"/>
    <col min="3574" max="3574" width="5.28515625" style="1957" customWidth="1"/>
    <col min="3575" max="3575" width="12.85546875" style="1957" customWidth="1"/>
    <col min="3576" max="3576" width="13.85546875" style="1957" customWidth="1"/>
    <col min="3577" max="3577" width="13.140625" style="1957" bestFit="1" customWidth="1"/>
    <col min="3578" max="3578" width="12.28515625" style="1957" customWidth="1"/>
    <col min="3579" max="3579" width="1.85546875" style="1957" customWidth="1"/>
    <col min="3580" max="3580" width="11" style="1957" customWidth="1"/>
    <col min="3581" max="3581" width="4.5703125" style="1957" bestFit="1" customWidth="1"/>
    <col min="3582" max="3582" width="13.28515625" style="1957" bestFit="1" customWidth="1"/>
    <col min="3583" max="3583" width="12.42578125" style="1957" bestFit="1" customWidth="1"/>
    <col min="3584" max="3826" width="16.7109375" style="1957"/>
    <col min="3827" max="3827" width="50.140625" style="1957" customWidth="1"/>
    <col min="3828" max="3828" width="9.85546875" style="1957" customWidth="1"/>
    <col min="3829" max="3829" width="13" style="1957" customWidth="1"/>
    <col min="3830" max="3830" width="5.28515625" style="1957" customWidth="1"/>
    <col min="3831" max="3831" width="12.85546875" style="1957" customWidth="1"/>
    <col min="3832" max="3832" width="13.85546875" style="1957" customWidth="1"/>
    <col min="3833" max="3833" width="13.140625" style="1957" bestFit="1" customWidth="1"/>
    <col min="3834" max="3834" width="12.28515625" style="1957" customWidth="1"/>
    <col min="3835" max="3835" width="1.85546875" style="1957" customWidth="1"/>
    <col min="3836" max="3836" width="11" style="1957" customWidth="1"/>
    <col min="3837" max="3837" width="4.5703125" style="1957" bestFit="1" customWidth="1"/>
    <col min="3838" max="3838" width="13.28515625" style="1957" bestFit="1" customWidth="1"/>
    <col min="3839" max="3839" width="12.42578125" style="1957" bestFit="1" customWidth="1"/>
    <col min="3840" max="4082" width="16.7109375" style="1957"/>
    <col min="4083" max="4083" width="50.140625" style="1957" customWidth="1"/>
    <col min="4084" max="4084" width="9.85546875" style="1957" customWidth="1"/>
    <col min="4085" max="4085" width="13" style="1957" customWidth="1"/>
    <col min="4086" max="4086" width="5.28515625" style="1957" customWidth="1"/>
    <col min="4087" max="4087" width="12.85546875" style="1957" customWidth="1"/>
    <col min="4088" max="4088" width="13.85546875" style="1957" customWidth="1"/>
    <col min="4089" max="4089" width="13.140625" style="1957" bestFit="1" customWidth="1"/>
    <col min="4090" max="4090" width="12.28515625" style="1957" customWidth="1"/>
    <col min="4091" max="4091" width="1.85546875" style="1957" customWidth="1"/>
    <col min="4092" max="4092" width="11" style="1957" customWidth="1"/>
    <col min="4093" max="4093" width="4.5703125" style="1957" bestFit="1" customWidth="1"/>
    <col min="4094" max="4094" width="13.28515625" style="1957" bestFit="1" customWidth="1"/>
    <col min="4095" max="4095" width="12.42578125" style="1957" bestFit="1" customWidth="1"/>
    <col min="4096" max="4338" width="16.7109375" style="1957"/>
    <col min="4339" max="4339" width="50.140625" style="1957" customWidth="1"/>
    <col min="4340" max="4340" width="9.85546875" style="1957" customWidth="1"/>
    <col min="4341" max="4341" width="13" style="1957" customWidth="1"/>
    <col min="4342" max="4342" width="5.28515625" style="1957" customWidth="1"/>
    <col min="4343" max="4343" width="12.85546875" style="1957" customWidth="1"/>
    <col min="4344" max="4344" width="13.85546875" style="1957" customWidth="1"/>
    <col min="4345" max="4345" width="13.140625" style="1957" bestFit="1" customWidth="1"/>
    <col min="4346" max="4346" width="12.28515625" style="1957" customWidth="1"/>
    <col min="4347" max="4347" width="1.85546875" style="1957" customWidth="1"/>
    <col min="4348" max="4348" width="11" style="1957" customWidth="1"/>
    <col min="4349" max="4349" width="4.5703125" style="1957" bestFit="1" customWidth="1"/>
    <col min="4350" max="4350" width="13.28515625" style="1957" bestFit="1" customWidth="1"/>
    <col min="4351" max="4351" width="12.42578125" style="1957" bestFit="1" customWidth="1"/>
    <col min="4352" max="4594" width="16.7109375" style="1957"/>
    <col min="4595" max="4595" width="50.140625" style="1957" customWidth="1"/>
    <col min="4596" max="4596" width="9.85546875" style="1957" customWidth="1"/>
    <col min="4597" max="4597" width="13" style="1957" customWidth="1"/>
    <col min="4598" max="4598" width="5.28515625" style="1957" customWidth="1"/>
    <col min="4599" max="4599" width="12.85546875" style="1957" customWidth="1"/>
    <col min="4600" max="4600" width="13.85546875" style="1957" customWidth="1"/>
    <col min="4601" max="4601" width="13.140625" style="1957" bestFit="1" customWidth="1"/>
    <col min="4602" max="4602" width="12.28515625" style="1957" customWidth="1"/>
    <col min="4603" max="4603" width="1.85546875" style="1957" customWidth="1"/>
    <col min="4604" max="4604" width="11" style="1957" customWidth="1"/>
    <col min="4605" max="4605" width="4.5703125" style="1957" bestFit="1" customWidth="1"/>
    <col min="4606" max="4606" width="13.28515625" style="1957" bestFit="1" customWidth="1"/>
    <col min="4607" max="4607" width="12.42578125" style="1957" bestFit="1" customWidth="1"/>
    <col min="4608" max="4850" width="16.7109375" style="1957"/>
    <col min="4851" max="4851" width="50.140625" style="1957" customWidth="1"/>
    <col min="4852" max="4852" width="9.85546875" style="1957" customWidth="1"/>
    <col min="4853" max="4853" width="13" style="1957" customWidth="1"/>
    <col min="4854" max="4854" width="5.28515625" style="1957" customWidth="1"/>
    <col min="4855" max="4855" width="12.85546875" style="1957" customWidth="1"/>
    <col min="4856" max="4856" width="13.85546875" style="1957" customWidth="1"/>
    <col min="4857" max="4857" width="13.140625" style="1957" bestFit="1" customWidth="1"/>
    <col min="4858" max="4858" width="12.28515625" style="1957" customWidth="1"/>
    <col min="4859" max="4859" width="1.85546875" style="1957" customWidth="1"/>
    <col min="4860" max="4860" width="11" style="1957" customWidth="1"/>
    <col min="4861" max="4861" width="4.5703125" style="1957" bestFit="1" customWidth="1"/>
    <col min="4862" max="4862" width="13.28515625" style="1957" bestFit="1" customWidth="1"/>
    <col min="4863" max="4863" width="12.42578125" style="1957" bestFit="1" customWidth="1"/>
    <col min="4864" max="5106" width="16.7109375" style="1957"/>
    <col min="5107" max="5107" width="50.140625" style="1957" customWidth="1"/>
    <col min="5108" max="5108" width="9.85546875" style="1957" customWidth="1"/>
    <col min="5109" max="5109" width="13" style="1957" customWidth="1"/>
    <col min="5110" max="5110" width="5.28515625" style="1957" customWidth="1"/>
    <col min="5111" max="5111" width="12.85546875" style="1957" customWidth="1"/>
    <col min="5112" max="5112" width="13.85546875" style="1957" customWidth="1"/>
    <col min="5113" max="5113" width="13.140625" style="1957" bestFit="1" customWidth="1"/>
    <col min="5114" max="5114" width="12.28515625" style="1957" customWidth="1"/>
    <col min="5115" max="5115" width="1.85546875" style="1957" customWidth="1"/>
    <col min="5116" max="5116" width="11" style="1957" customWidth="1"/>
    <col min="5117" max="5117" width="4.5703125" style="1957" bestFit="1" customWidth="1"/>
    <col min="5118" max="5118" width="13.28515625" style="1957" bestFit="1" customWidth="1"/>
    <col min="5119" max="5119" width="12.42578125" style="1957" bestFit="1" customWidth="1"/>
    <col min="5120" max="5362" width="16.7109375" style="1957"/>
    <col min="5363" max="5363" width="50.140625" style="1957" customWidth="1"/>
    <col min="5364" max="5364" width="9.85546875" style="1957" customWidth="1"/>
    <col min="5365" max="5365" width="13" style="1957" customWidth="1"/>
    <col min="5366" max="5366" width="5.28515625" style="1957" customWidth="1"/>
    <col min="5367" max="5367" width="12.85546875" style="1957" customWidth="1"/>
    <col min="5368" max="5368" width="13.85546875" style="1957" customWidth="1"/>
    <col min="5369" max="5369" width="13.140625" style="1957" bestFit="1" customWidth="1"/>
    <col min="5370" max="5370" width="12.28515625" style="1957" customWidth="1"/>
    <col min="5371" max="5371" width="1.85546875" style="1957" customWidth="1"/>
    <col min="5372" max="5372" width="11" style="1957" customWidth="1"/>
    <col min="5373" max="5373" width="4.5703125" style="1957" bestFit="1" customWidth="1"/>
    <col min="5374" max="5374" width="13.28515625" style="1957" bestFit="1" customWidth="1"/>
    <col min="5375" max="5375" width="12.42578125" style="1957" bestFit="1" customWidth="1"/>
    <col min="5376" max="5618" width="16.7109375" style="1957"/>
    <col min="5619" max="5619" width="50.140625" style="1957" customWidth="1"/>
    <col min="5620" max="5620" width="9.85546875" style="1957" customWidth="1"/>
    <col min="5621" max="5621" width="13" style="1957" customWidth="1"/>
    <col min="5622" max="5622" width="5.28515625" style="1957" customWidth="1"/>
    <col min="5623" max="5623" width="12.85546875" style="1957" customWidth="1"/>
    <col min="5624" max="5624" width="13.85546875" style="1957" customWidth="1"/>
    <col min="5625" max="5625" width="13.140625" style="1957" bestFit="1" customWidth="1"/>
    <col min="5626" max="5626" width="12.28515625" style="1957" customWidth="1"/>
    <col min="5627" max="5627" width="1.85546875" style="1957" customWidth="1"/>
    <col min="5628" max="5628" width="11" style="1957" customWidth="1"/>
    <col min="5629" max="5629" width="4.5703125" style="1957" bestFit="1" customWidth="1"/>
    <col min="5630" max="5630" width="13.28515625" style="1957" bestFit="1" customWidth="1"/>
    <col min="5631" max="5631" width="12.42578125" style="1957" bestFit="1" customWidth="1"/>
    <col min="5632" max="5874" width="16.7109375" style="1957"/>
    <col min="5875" max="5875" width="50.140625" style="1957" customWidth="1"/>
    <col min="5876" max="5876" width="9.85546875" style="1957" customWidth="1"/>
    <col min="5877" max="5877" width="13" style="1957" customWidth="1"/>
    <col min="5878" max="5878" width="5.28515625" style="1957" customWidth="1"/>
    <col min="5879" max="5879" width="12.85546875" style="1957" customWidth="1"/>
    <col min="5880" max="5880" width="13.85546875" style="1957" customWidth="1"/>
    <col min="5881" max="5881" width="13.140625" style="1957" bestFit="1" customWidth="1"/>
    <col min="5882" max="5882" width="12.28515625" style="1957" customWidth="1"/>
    <col min="5883" max="5883" width="1.85546875" style="1957" customWidth="1"/>
    <col min="5884" max="5884" width="11" style="1957" customWidth="1"/>
    <col min="5885" max="5885" width="4.5703125" style="1957" bestFit="1" customWidth="1"/>
    <col min="5886" max="5886" width="13.28515625" style="1957" bestFit="1" customWidth="1"/>
    <col min="5887" max="5887" width="12.42578125" style="1957" bestFit="1" customWidth="1"/>
    <col min="5888" max="6130" width="16.7109375" style="1957"/>
    <col min="6131" max="6131" width="50.140625" style="1957" customWidth="1"/>
    <col min="6132" max="6132" width="9.85546875" style="1957" customWidth="1"/>
    <col min="6133" max="6133" width="13" style="1957" customWidth="1"/>
    <col min="6134" max="6134" width="5.28515625" style="1957" customWidth="1"/>
    <col min="6135" max="6135" width="12.85546875" style="1957" customWidth="1"/>
    <col min="6136" max="6136" width="13.85546875" style="1957" customWidth="1"/>
    <col min="6137" max="6137" width="13.140625" style="1957" bestFit="1" customWidth="1"/>
    <col min="6138" max="6138" width="12.28515625" style="1957" customWidth="1"/>
    <col min="6139" max="6139" width="1.85546875" style="1957" customWidth="1"/>
    <col min="6140" max="6140" width="11" style="1957" customWidth="1"/>
    <col min="6141" max="6141" width="4.5703125" style="1957" bestFit="1" customWidth="1"/>
    <col min="6142" max="6142" width="13.28515625" style="1957" bestFit="1" customWidth="1"/>
    <col min="6143" max="6143" width="12.42578125" style="1957" bestFit="1" customWidth="1"/>
    <col min="6144" max="6386" width="16.7109375" style="1957"/>
    <col min="6387" max="6387" width="50.140625" style="1957" customWidth="1"/>
    <col min="6388" max="6388" width="9.85546875" style="1957" customWidth="1"/>
    <col min="6389" max="6389" width="13" style="1957" customWidth="1"/>
    <col min="6390" max="6390" width="5.28515625" style="1957" customWidth="1"/>
    <col min="6391" max="6391" width="12.85546875" style="1957" customWidth="1"/>
    <col min="6392" max="6392" width="13.85546875" style="1957" customWidth="1"/>
    <col min="6393" max="6393" width="13.140625" style="1957" bestFit="1" customWidth="1"/>
    <col min="6394" max="6394" width="12.28515625" style="1957" customWidth="1"/>
    <col min="6395" max="6395" width="1.85546875" style="1957" customWidth="1"/>
    <col min="6396" max="6396" width="11" style="1957" customWidth="1"/>
    <col min="6397" max="6397" width="4.5703125" style="1957" bestFit="1" customWidth="1"/>
    <col min="6398" max="6398" width="13.28515625" style="1957" bestFit="1" customWidth="1"/>
    <col min="6399" max="6399" width="12.42578125" style="1957" bestFit="1" customWidth="1"/>
    <col min="6400" max="6642" width="16.7109375" style="1957"/>
    <col min="6643" max="6643" width="50.140625" style="1957" customWidth="1"/>
    <col min="6644" max="6644" width="9.85546875" style="1957" customWidth="1"/>
    <col min="6645" max="6645" width="13" style="1957" customWidth="1"/>
    <col min="6646" max="6646" width="5.28515625" style="1957" customWidth="1"/>
    <col min="6647" max="6647" width="12.85546875" style="1957" customWidth="1"/>
    <col min="6648" max="6648" width="13.85546875" style="1957" customWidth="1"/>
    <col min="6649" max="6649" width="13.140625" style="1957" bestFit="1" customWidth="1"/>
    <col min="6650" max="6650" width="12.28515625" style="1957" customWidth="1"/>
    <col min="6651" max="6651" width="1.85546875" style="1957" customWidth="1"/>
    <col min="6652" max="6652" width="11" style="1957" customWidth="1"/>
    <col min="6653" max="6653" width="4.5703125" style="1957" bestFit="1" customWidth="1"/>
    <col min="6654" max="6654" width="13.28515625" style="1957" bestFit="1" customWidth="1"/>
    <col min="6655" max="6655" width="12.42578125" style="1957" bestFit="1" customWidth="1"/>
    <col min="6656" max="6898" width="16.7109375" style="1957"/>
    <col min="6899" max="6899" width="50.140625" style="1957" customWidth="1"/>
    <col min="6900" max="6900" width="9.85546875" style="1957" customWidth="1"/>
    <col min="6901" max="6901" width="13" style="1957" customWidth="1"/>
    <col min="6902" max="6902" width="5.28515625" style="1957" customWidth="1"/>
    <col min="6903" max="6903" width="12.85546875" style="1957" customWidth="1"/>
    <col min="6904" max="6904" width="13.85546875" style="1957" customWidth="1"/>
    <col min="6905" max="6905" width="13.140625" style="1957" bestFit="1" customWidth="1"/>
    <col min="6906" max="6906" width="12.28515625" style="1957" customWidth="1"/>
    <col min="6907" max="6907" width="1.85546875" style="1957" customWidth="1"/>
    <col min="6908" max="6908" width="11" style="1957" customWidth="1"/>
    <col min="6909" max="6909" width="4.5703125" style="1957" bestFit="1" customWidth="1"/>
    <col min="6910" max="6910" width="13.28515625" style="1957" bestFit="1" customWidth="1"/>
    <col min="6911" max="6911" width="12.42578125" style="1957" bestFit="1" customWidth="1"/>
    <col min="6912" max="7154" width="16.7109375" style="1957"/>
    <col min="7155" max="7155" width="50.140625" style="1957" customWidth="1"/>
    <col min="7156" max="7156" width="9.85546875" style="1957" customWidth="1"/>
    <col min="7157" max="7157" width="13" style="1957" customWidth="1"/>
    <col min="7158" max="7158" width="5.28515625" style="1957" customWidth="1"/>
    <col min="7159" max="7159" width="12.85546875" style="1957" customWidth="1"/>
    <col min="7160" max="7160" width="13.85546875" style="1957" customWidth="1"/>
    <col min="7161" max="7161" width="13.140625" style="1957" bestFit="1" customWidth="1"/>
    <col min="7162" max="7162" width="12.28515625" style="1957" customWidth="1"/>
    <col min="7163" max="7163" width="1.85546875" style="1957" customWidth="1"/>
    <col min="7164" max="7164" width="11" style="1957" customWidth="1"/>
    <col min="7165" max="7165" width="4.5703125" style="1957" bestFit="1" customWidth="1"/>
    <col min="7166" max="7166" width="13.28515625" style="1957" bestFit="1" customWidth="1"/>
    <col min="7167" max="7167" width="12.42578125" style="1957" bestFit="1" customWidth="1"/>
    <col min="7168" max="7410" width="16.7109375" style="1957"/>
    <col min="7411" max="7411" width="50.140625" style="1957" customWidth="1"/>
    <col min="7412" max="7412" width="9.85546875" style="1957" customWidth="1"/>
    <col min="7413" max="7413" width="13" style="1957" customWidth="1"/>
    <col min="7414" max="7414" width="5.28515625" style="1957" customWidth="1"/>
    <col min="7415" max="7415" width="12.85546875" style="1957" customWidth="1"/>
    <col min="7416" max="7416" width="13.85546875" style="1957" customWidth="1"/>
    <col min="7417" max="7417" width="13.140625" style="1957" bestFit="1" customWidth="1"/>
    <col min="7418" max="7418" width="12.28515625" style="1957" customWidth="1"/>
    <col min="7419" max="7419" width="1.85546875" style="1957" customWidth="1"/>
    <col min="7420" max="7420" width="11" style="1957" customWidth="1"/>
    <col min="7421" max="7421" width="4.5703125" style="1957" bestFit="1" customWidth="1"/>
    <col min="7422" max="7422" width="13.28515625" style="1957" bestFit="1" customWidth="1"/>
    <col min="7423" max="7423" width="12.42578125" style="1957" bestFit="1" customWidth="1"/>
    <col min="7424" max="7666" width="16.7109375" style="1957"/>
    <col min="7667" max="7667" width="50.140625" style="1957" customWidth="1"/>
    <col min="7668" max="7668" width="9.85546875" style="1957" customWidth="1"/>
    <col min="7669" max="7669" width="13" style="1957" customWidth="1"/>
    <col min="7670" max="7670" width="5.28515625" style="1957" customWidth="1"/>
    <col min="7671" max="7671" width="12.85546875" style="1957" customWidth="1"/>
    <col min="7672" max="7672" width="13.85546875" style="1957" customWidth="1"/>
    <col min="7673" max="7673" width="13.140625" style="1957" bestFit="1" customWidth="1"/>
    <col min="7674" max="7674" width="12.28515625" style="1957" customWidth="1"/>
    <col min="7675" max="7675" width="1.85546875" style="1957" customWidth="1"/>
    <col min="7676" max="7676" width="11" style="1957" customWidth="1"/>
    <col min="7677" max="7677" width="4.5703125" style="1957" bestFit="1" customWidth="1"/>
    <col min="7678" max="7678" width="13.28515625" style="1957" bestFit="1" customWidth="1"/>
    <col min="7679" max="7679" width="12.42578125" style="1957" bestFit="1" customWidth="1"/>
    <col min="7680" max="7922" width="16.7109375" style="1957"/>
    <col min="7923" max="7923" width="50.140625" style="1957" customWidth="1"/>
    <col min="7924" max="7924" width="9.85546875" style="1957" customWidth="1"/>
    <col min="7925" max="7925" width="13" style="1957" customWidth="1"/>
    <col min="7926" max="7926" width="5.28515625" style="1957" customWidth="1"/>
    <col min="7927" max="7927" width="12.85546875" style="1957" customWidth="1"/>
    <col min="7928" max="7928" width="13.85546875" style="1957" customWidth="1"/>
    <col min="7929" max="7929" width="13.140625" style="1957" bestFit="1" customWidth="1"/>
    <col min="7930" max="7930" width="12.28515625" style="1957" customWidth="1"/>
    <col min="7931" max="7931" width="1.85546875" style="1957" customWidth="1"/>
    <col min="7932" max="7932" width="11" style="1957" customWidth="1"/>
    <col min="7933" max="7933" width="4.5703125" style="1957" bestFit="1" customWidth="1"/>
    <col min="7934" max="7934" width="13.28515625" style="1957" bestFit="1" customWidth="1"/>
    <col min="7935" max="7935" width="12.42578125" style="1957" bestFit="1" customWidth="1"/>
    <col min="7936" max="8178" width="16.7109375" style="1957"/>
    <col min="8179" max="8179" width="50.140625" style="1957" customWidth="1"/>
    <col min="8180" max="8180" width="9.85546875" style="1957" customWidth="1"/>
    <col min="8181" max="8181" width="13" style="1957" customWidth="1"/>
    <col min="8182" max="8182" width="5.28515625" style="1957" customWidth="1"/>
    <col min="8183" max="8183" width="12.85546875" style="1957" customWidth="1"/>
    <col min="8184" max="8184" width="13.85546875" style="1957" customWidth="1"/>
    <col min="8185" max="8185" width="13.140625" style="1957" bestFit="1" customWidth="1"/>
    <col min="8186" max="8186" width="12.28515625" style="1957" customWidth="1"/>
    <col min="8187" max="8187" width="1.85546875" style="1957" customWidth="1"/>
    <col min="8188" max="8188" width="11" style="1957" customWidth="1"/>
    <col min="8189" max="8189" width="4.5703125" style="1957" bestFit="1" customWidth="1"/>
    <col min="8190" max="8190" width="13.28515625" style="1957" bestFit="1" customWidth="1"/>
    <col min="8191" max="8191" width="12.42578125" style="1957" bestFit="1" customWidth="1"/>
    <col min="8192" max="8434" width="16.7109375" style="1957"/>
    <col min="8435" max="8435" width="50.140625" style="1957" customWidth="1"/>
    <col min="8436" max="8436" width="9.85546875" style="1957" customWidth="1"/>
    <col min="8437" max="8437" width="13" style="1957" customWidth="1"/>
    <col min="8438" max="8438" width="5.28515625" style="1957" customWidth="1"/>
    <col min="8439" max="8439" width="12.85546875" style="1957" customWidth="1"/>
    <col min="8440" max="8440" width="13.85546875" style="1957" customWidth="1"/>
    <col min="8441" max="8441" width="13.140625" style="1957" bestFit="1" customWidth="1"/>
    <col min="8442" max="8442" width="12.28515625" style="1957" customWidth="1"/>
    <col min="8443" max="8443" width="1.85546875" style="1957" customWidth="1"/>
    <col min="8444" max="8444" width="11" style="1957" customWidth="1"/>
    <col min="8445" max="8445" width="4.5703125" style="1957" bestFit="1" customWidth="1"/>
    <col min="8446" max="8446" width="13.28515625" style="1957" bestFit="1" customWidth="1"/>
    <col min="8447" max="8447" width="12.42578125" style="1957" bestFit="1" customWidth="1"/>
    <col min="8448" max="8690" width="16.7109375" style="1957"/>
    <col min="8691" max="8691" width="50.140625" style="1957" customWidth="1"/>
    <col min="8692" max="8692" width="9.85546875" style="1957" customWidth="1"/>
    <col min="8693" max="8693" width="13" style="1957" customWidth="1"/>
    <col min="8694" max="8694" width="5.28515625" style="1957" customWidth="1"/>
    <col min="8695" max="8695" width="12.85546875" style="1957" customWidth="1"/>
    <col min="8696" max="8696" width="13.85546875" style="1957" customWidth="1"/>
    <col min="8697" max="8697" width="13.140625" style="1957" bestFit="1" customWidth="1"/>
    <col min="8698" max="8698" width="12.28515625" style="1957" customWidth="1"/>
    <col min="8699" max="8699" width="1.85546875" style="1957" customWidth="1"/>
    <col min="8700" max="8700" width="11" style="1957" customWidth="1"/>
    <col min="8701" max="8701" width="4.5703125" style="1957" bestFit="1" customWidth="1"/>
    <col min="8702" max="8702" width="13.28515625" style="1957" bestFit="1" customWidth="1"/>
    <col min="8703" max="8703" width="12.42578125" style="1957" bestFit="1" customWidth="1"/>
    <col min="8704" max="8946" width="16.7109375" style="1957"/>
    <col min="8947" max="8947" width="50.140625" style="1957" customWidth="1"/>
    <col min="8948" max="8948" width="9.85546875" style="1957" customWidth="1"/>
    <col min="8949" max="8949" width="13" style="1957" customWidth="1"/>
    <col min="8950" max="8950" width="5.28515625" style="1957" customWidth="1"/>
    <col min="8951" max="8951" width="12.85546875" style="1957" customWidth="1"/>
    <col min="8952" max="8952" width="13.85546875" style="1957" customWidth="1"/>
    <col min="8953" max="8953" width="13.140625" style="1957" bestFit="1" customWidth="1"/>
    <col min="8954" max="8954" width="12.28515625" style="1957" customWidth="1"/>
    <col min="8955" max="8955" width="1.85546875" style="1957" customWidth="1"/>
    <col min="8956" max="8956" width="11" style="1957" customWidth="1"/>
    <col min="8957" max="8957" width="4.5703125" style="1957" bestFit="1" customWidth="1"/>
    <col min="8958" max="8958" width="13.28515625" style="1957" bestFit="1" customWidth="1"/>
    <col min="8959" max="8959" width="12.42578125" style="1957" bestFit="1" customWidth="1"/>
    <col min="8960" max="9202" width="16.7109375" style="1957"/>
    <col min="9203" max="9203" width="50.140625" style="1957" customWidth="1"/>
    <col min="9204" max="9204" width="9.85546875" style="1957" customWidth="1"/>
    <col min="9205" max="9205" width="13" style="1957" customWidth="1"/>
    <col min="9206" max="9206" width="5.28515625" style="1957" customWidth="1"/>
    <col min="9207" max="9207" width="12.85546875" style="1957" customWidth="1"/>
    <col min="9208" max="9208" width="13.85546875" style="1957" customWidth="1"/>
    <col min="9209" max="9209" width="13.140625" style="1957" bestFit="1" customWidth="1"/>
    <col min="9210" max="9210" width="12.28515625" style="1957" customWidth="1"/>
    <col min="9211" max="9211" width="1.85546875" style="1957" customWidth="1"/>
    <col min="9212" max="9212" width="11" style="1957" customWidth="1"/>
    <col min="9213" max="9213" width="4.5703125" style="1957" bestFit="1" customWidth="1"/>
    <col min="9214" max="9214" width="13.28515625" style="1957" bestFit="1" customWidth="1"/>
    <col min="9215" max="9215" width="12.42578125" style="1957" bestFit="1" customWidth="1"/>
    <col min="9216" max="9458" width="16.7109375" style="1957"/>
    <col min="9459" max="9459" width="50.140625" style="1957" customWidth="1"/>
    <col min="9460" max="9460" width="9.85546875" style="1957" customWidth="1"/>
    <col min="9461" max="9461" width="13" style="1957" customWidth="1"/>
    <col min="9462" max="9462" width="5.28515625" style="1957" customWidth="1"/>
    <col min="9463" max="9463" width="12.85546875" style="1957" customWidth="1"/>
    <col min="9464" max="9464" width="13.85546875" style="1957" customWidth="1"/>
    <col min="9465" max="9465" width="13.140625" style="1957" bestFit="1" customWidth="1"/>
    <col min="9466" max="9466" width="12.28515625" style="1957" customWidth="1"/>
    <col min="9467" max="9467" width="1.85546875" style="1957" customWidth="1"/>
    <col min="9468" max="9468" width="11" style="1957" customWidth="1"/>
    <col min="9469" max="9469" width="4.5703125" style="1957" bestFit="1" customWidth="1"/>
    <col min="9470" max="9470" width="13.28515625" style="1957" bestFit="1" customWidth="1"/>
    <col min="9471" max="9471" width="12.42578125" style="1957" bestFit="1" customWidth="1"/>
    <col min="9472" max="9714" width="16.7109375" style="1957"/>
    <col min="9715" max="9715" width="50.140625" style="1957" customWidth="1"/>
    <col min="9716" max="9716" width="9.85546875" style="1957" customWidth="1"/>
    <col min="9717" max="9717" width="13" style="1957" customWidth="1"/>
    <col min="9718" max="9718" width="5.28515625" style="1957" customWidth="1"/>
    <col min="9719" max="9719" width="12.85546875" style="1957" customWidth="1"/>
    <col min="9720" max="9720" width="13.85546875" style="1957" customWidth="1"/>
    <col min="9721" max="9721" width="13.140625" style="1957" bestFit="1" customWidth="1"/>
    <col min="9722" max="9722" width="12.28515625" style="1957" customWidth="1"/>
    <col min="9723" max="9723" width="1.85546875" style="1957" customWidth="1"/>
    <col min="9724" max="9724" width="11" style="1957" customWidth="1"/>
    <col min="9725" max="9725" width="4.5703125" style="1957" bestFit="1" customWidth="1"/>
    <col min="9726" max="9726" width="13.28515625" style="1957" bestFit="1" customWidth="1"/>
    <col min="9727" max="9727" width="12.42578125" style="1957" bestFit="1" customWidth="1"/>
    <col min="9728" max="9970" width="16.7109375" style="1957"/>
    <col min="9971" max="9971" width="50.140625" style="1957" customWidth="1"/>
    <col min="9972" max="9972" width="9.85546875" style="1957" customWidth="1"/>
    <col min="9973" max="9973" width="13" style="1957" customWidth="1"/>
    <col min="9974" max="9974" width="5.28515625" style="1957" customWidth="1"/>
    <col min="9975" max="9975" width="12.85546875" style="1957" customWidth="1"/>
    <col min="9976" max="9976" width="13.85546875" style="1957" customWidth="1"/>
    <col min="9977" max="9977" width="13.140625" style="1957" bestFit="1" customWidth="1"/>
    <col min="9978" max="9978" width="12.28515625" style="1957" customWidth="1"/>
    <col min="9979" max="9979" width="1.85546875" style="1957" customWidth="1"/>
    <col min="9980" max="9980" width="11" style="1957" customWidth="1"/>
    <col min="9981" max="9981" width="4.5703125" style="1957" bestFit="1" customWidth="1"/>
    <col min="9982" max="9982" width="13.28515625" style="1957" bestFit="1" customWidth="1"/>
    <col min="9983" max="9983" width="12.42578125" style="1957" bestFit="1" customWidth="1"/>
    <col min="9984" max="10226" width="16.7109375" style="1957"/>
    <col min="10227" max="10227" width="50.140625" style="1957" customWidth="1"/>
    <col min="10228" max="10228" width="9.85546875" style="1957" customWidth="1"/>
    <col min="10229" max="10229" width="13" style="1957" customWidth="1"/>
    <col min="10230" max="10230" width="5.28515625" style="1957" customWidth="1"/>
    <col min="10231" max="10231" width="12.85546875" style="1957" customWidth="1"/>
    <col min="10232" max="10232" width="13.85546875" style="1957" customWidth="1"/>
    <col min="10233" max="10233" width="13.140625" style="1957" bestFit="1" customWidth="1"/>
    <col min="10234" max="10234" width="12.28515625" style="1957" customWidth="1"/>
    <col min="10235" max="10235" width="1.85546875" style="1957" customWidth="1"/>
    <col min="10236" max="10236" width="11" style="1957" customWidth="1"/>
    <col min="10237" max="10237" width="4.5703125" style="1957" bestFit="1" customWidth="1"/>
    <col min="10238" max="10238" width="13.28515625" style="1957" bestFit="1" customWidth="1"/>
    <col min="10239" max="10239" width="12.42578125" style="1957" bestFit="1" customWidth="1"/>
    <col min="10240" max="10482" width="16.7109375" style="1957"/>
    <col min="10483" max="10483" width="50.140625" style="1957" customWidth="1"/>
    <col min="10484" max="10484" width="9.85546875" style="1957" customWidth="1"/>
    <col min="10485" max="10485" width="13" style="1957" customWidth="1"/>
    <col min="10486" max="10486" width="5.28515625" style="1957" customWidth="1"/>
    <col min="10487" max="10487" width="12.85546875" style="1957" customWidth="1"/>
    <col min="10488" max="10488" width="13.85546875" style="1957" customWidth="1"/>
    <col min="10489" max="10489" width="13.140625" style="1957" bestFit="1" customWidth="1"/>
    <col min="10490" max="10490" width="12.28515625" style="1957" customWidth="1"/>
    <col min="10491" max="10491" width="1.85546875" style="1957" customWidth="1"/>
    <col min="10492" max="10492" width="11" style="1957" customWidth="1"/>
    <col min="10493" max="10493" width="4.5703125" style="1957" bestFit="1" customWidth="1"/>
    <col min="10494" max="10494" width="13.28515625" style="1957" bestFit="1" customWidth="1"/>
    <col min="10495" max="10495" width="12.42578125" style="1957" bestFit="1" customWidth="1"/>
    <col min="10496" max="10738" width="16.7109375" style="1957"/>
    <col min="10739" max="10739" width="50.140625" style="1957" customWidth="1"/>
    <col min="10740" max="10740" width="9.85546875" style="1957" customWidth="1"/>
    <col min="10741" max="10741" width="13" style="1957" customWidth="1"/>
    <col min="10742" max="10742" width="5.28515625" style="1957" customWidth="1"/>
    <col min="10743" max="10743" width="12.85546875" style="1957" customWidth="1"/>
    <col min="10744" max="10744" width="13.85546875" style="1957" customWidth="1"/>
    <col min="10745" max="10745" width="13.140625" style="1957" bestFit="1" customWidth="1"/>
    <col min="10746" max="10746" width="12.28515625" style="1957" customWidth="1"/>
    <col min="10747" max="10747" width="1.85546875" style="1957" customWidth="1"/>
    <col min="10748" max="10748" width="11" style="1957" customWidth="1"/>
    <col min="10749" max="10749" width="4.5703125" style="1957" bestFit="1" customWidth="1"/>
    <col min="10750" max="10750" width="13.28515625" style="1957" bestFit="1" customWidth="1"/>
    <col min="10751" max="10751" width="12.42578125" style="1957" bestFit="1" customWidth="1"/>
    <col min="10752" max="10994" width="16.7109375" style="1957"/>
    <col min="10995" max="10995" width="50.140625" style="1957" customWidth="1"/>
    <col min="10996" max="10996" width="9.85546875" style="1957" customWidth="1"/>
    <col min="10997" max="10997" width="13" style="1957" customWidth="1"/>
    <col min="10998" max="10998" width="5.28515625" style="1957" customWidth="1"/>
    <col min="10999" max="10999" width="12.85546875" style="1957" customWidth="1"/>
    <col min="11000" max="11000" width="13.85546875" style="1957" customWidth="1"/>
    <col min="11001" max="11001" width="13.140625" style="1957" bestFit="1" customWidth="1"/>
    <col min="11002" max="11002" width="12.28515625" style="1957" customWidth="1"/>
    <col min="11003" max="11003" width="1.85546875" style="1957" customWidth="1"/>
    <col min="11004" max="11004" width="11" style="1957" customWidth="1"/>
    <col min="11005" max="11005" width="4.5703125" style="1957" bestFit="1" customWidth="1"/>
    <col min="11006" max="11006" width="13.28515625" style="1957" bestFit="1" customWidth="1"/>
    <col min="11007" max="11007" width="12.42578125" style="1957" bestFit="1" customWidth="1"/>
    <col min="11008" max="11250" width="16.7109375" style="1957"/>
    <col min="11251" max="11251" width="50.140625" style="1957" customWidth="1"/>
    <col min="11252" max="11252" width="9.85546875" style="1957" customWidth="1"/>
    <col min="11253" max="11253" width="13" style="1957" customWidth="1"/>
    <col min="11254" max="11254" width="5.28515625" style="1957" customWidth="1"/>
    <col min="11255" max="11255" width="12.85546875" style="1957" customWidth="1"/>
    <col min="11256" max="11256" width="13.85546875" style="1957" customWidth="1"/>
    <col min="11257" max="11257" width="13.140625" style="1957" bestFit="1" customWidth="1"/>
    <col min="11258" max="11258" width="12.28515625" style="1957" customWidth="1"/>
    <col min="11259" max="11259" width="1.85546875" style="1957" customWidth="1"/>
    <col min="11260" max="11260" width="11" style="1957" customWidth="1"/>
    <col min="11261" max="11261" width="4.5703125" style="1957" bestFit="1" customWidth="1"/>
    <col min="11262" max="11262" width="13.28515625" style="1957" bestFit="1" customWidth="1"/>
    <col min="11263" max="11263" width="12.42578125" style="1957" bestFit="1" customWidth="1"/>
    <col min="11264" max="11506" width="16.7109375" style="1957"/>
    <col min="11507" max="11507" width="50.140625" style="1957" customWidth="1"/>
    <col min="11508" max="11508" width="9.85546875" style="1957" customWidth="1"/>
    <col min="11509" max="11509" width="13" style="1957" customWidth="1"/>
    <col min="11510" max="11510" width="5.28515625" style="1957" customWidth="1"/>
    <col min="11511" max="11511" width="12.85546875" style="1957" customWidth="1"/>
    <col min="11512" max="11512" width="13.85546875" style="1957" customWidth="1"/>
    <col min="11513" max="11513" width="13.140625" style="1957" bestFit="1" customWidth="1"/>
    <col min="11514" max="11514" width="12.28515625" style="1957" customWidth="1"/>
    <col min="11515" max="11515" width="1.85546875" style="1957" customWidth="1"/>
    <col min="11516" max="11516" width="11" style="1957" customWidth="1"/>
    <col min="11517" max="11517" width="4.5703125" style="1957" bestFit="1" customWidth="1"/>
    <col min="11518" max="11518" width="13.28515625" style="1957" bestFit="1" customWidth="1"/>
    <col min="11519" max="11519" width="12.42578125" style="1957" bestFit="1" customWidth="1"/>
    <col min="11520" max="11762" width="16.7109375" style="1957"/>
    <col min="11763" max="11763" width="50.140625" style="1957" customWidth="1"/>
    <col min="11764" max="11764" width="9.85546875" style="1957" customWidth="1"/>
    <col min="11765" max="11765" width="13" style="1957" customWidth="1"/>
    <col min="11766" max="11766" width="5.28515625" style="1957" customWidth="1"/>
    <col min="11767" max="11767" width="12.85546875" style="1957" customWidth="1"/>
    <col min="11768" max="11768" width="13.85546875" style="1957" customWidth="1"/>
    <col min="11769" max="11769" width="13.140625" style="1957" bestFit="1" customWidth="1"/>
    <col min="11770" max="11770" width="12.28515625" style="1957" customWidth="1"/>
    <col min="11771" max="11771" width="1.85546875" style="1957" customWidth="1"/>
    <col min="11772" max="11772" width="11" style="1957" customWidth="1"/>
    <col min="11773" max="11773" width="4.5703125" style="1957" bestFit="1" customWidth="1"/>
    <col min="11774" max="11774" width="13.28515625" style="1957" bestFit="1" customWidth="1"/>
    <col min="11775" max="11775" width="12.42578125" style="1957" bestFit="1" customWidth="1"/>
    <col min="11776" max="12018" width="16.7109375" style="1957"/>
    <col min="12019" max="12019" width="50.140625" style="1957" customWidth="1"/>
    <col min="12020" max="12020" width="9.85546875" style="1957" customWidth="1"/>
    <col min="12021" max="12021" width="13" style="1957" customWidth="1"/>
    <col min="12022" max="12022" width="5.28515625" style="1957" customWidth="1"/>
    <col min="12023" max="12023" width="12.85546875" style="1957" customWidth="1"/>
    <col min="12024" max="12024" width="13.85546875" style="1957" customWidth="1"/>
    <col min="12025" max="12025" width="13.140625" style="1957" bestFit="1" customWidth="1"/>
    <col min="12026" max="12026" width="12.28515625" style="1957" customWidth="1"/>
    <col min="12027" max="12027" width="1.85546875" style="1957" customWidth="1"/>
    <col min="12028" max="12028" width="11" style="1957" customWidth="1"/>
    <col min="12029" max="12029" width="4.5703125" style="1957" bestFit="1" customWidth="1"/>
    <col min="12030" max="12030" width="13.28515625" style="1957" bestFit="1" customWidth="1"/>
    <col min="12031" max="12031" width="12.42578125" style="1957" bestFit="1" customWidth="1"/>
    <col min="12032" max="12274" width="16.7109375" style="1957"/>
    <col min="12275" max="12275" width="50.140625" style="1957" customWidth="1"/>
    <col min="12276" max="12276" width="9.85546875" style="1957" customWidth="1"/>
    <col min="12277" max="12277" width="13" style="1957" customWidth="1"/>
    <col min="12278" max="12278" width="5.28515625" style="1957" customWidth="1"/>
    <col min="12279" max="12279" width="12.85546875" style="1957" customWidth="1"/>
    <col min="12280" max="12280" width="13.85546875" style="1957" customWidth="1"/>
    <col min="12281" max="12281" width="13.140625" style="1957" bestFit="1" customWidth="1"/>
    <col min="12282" max="12282" width="12.28515625" style="1957" customWidth="1"/>
    <col min="12283" max="12283" width="1.85546875" style="1957" customWidth="1"/>
    <col min="12284" max="12284" width="11" style="1957" customWidth="1"/>
    <col min="12285" max="12285" width="4.5703125" style="1957" bestFit="1" customWidth="1"/>
    <col min="12286" max="12286" width="13.28515625" style="1957" bestFit="1" customWidth="1"/>
    <col min="12287" max="12287" width="12.42578125" style="1957" bestFit="1" customWidth="1"/>
    <col min="12288" max="12530" width="16.7109375" style="1957"/>
    <col min="12531" max="12531" width="50.140625" style="1957" customWidth="1"/>
    <col min="12532" max="12532" width="9.85546875" style="1957" customWidth="1"/>
    <col min="12533" max="12533" width="13" style="1957" customWidth="1"/>
    <col min="12534" max="12534" width="5.28515625" style="1957" customWidth="1"/>
    <col min="12535" max="12535" width="12.85546875" style="1957" customWidth="1"/>
    <col min="12536" max="12536" width="13.85546875" style="1957" customWidth="1"/>
    <col min="12537" max="12537" width="13.140625" style="1957" bestFit="1" customWidth="1"/>
    <col min="12538" max="12538" width="12.28515625" style="1957" customWidth="1"/>
    <col min="12539" max="12539" width="1.85546875" style="1957" customWidth="1"/>
    <col min="12540" max="12540" width="11" style="1957" customWidth="1"/>
    <col min="12541" max="12541" width="4.5703125" style="1957" bestFit="1" customWidth="1"/>
    <col min="12542" max="12542" width="13.28515625" style="1957" bestFit="1" customWidth="1"/>
    <col min="12543" max="12543" width="12.42578125" style="1957" bestFit="1" customWidth="1"/>
    <col min="12544" max="12786" width="16.7109375" style="1957"/>
    <col min="12787" max="12787" width="50.140625" style="1957" customWidth="1"/>
    <col min="12788" max="12788" width="9.85546875" style="1957" customWidth="1"/>
    <col min="12789" max="12789" width="13" style="1957" customWidth="1"/>
    <col min="12790" max="12790" width="5.28515625" style="1957" customWidth="1"/>
    <col min="12791" max="12791" width="12.85546875" style="1957" customWidth="1"/>
    <col min="12792" max="12792" width="13.85546875" style="1957" customWidth="1"/>
    <col min="12793" max="12793" width="13.140625" style="1957" bestFit="1" customWidth="1"/>
    <col min="12794" max="12794" width="12.28515625" style="1957" customWidth="1"/>
    <col min="12795" max="12795" width="1.85546875" style="1957" customWidth="1"/>
    <col min="12796" max="12796" width="11" style="1957" customWidth="1"/>
    <col min="12797" max="12797" width="4.5703125" style="1957" bestFit="1" customWidth="1"/>
    <col min="12798" max="12798" width="13.28515625" style="1957" bestFit="1" customWidth="1"/>
    <col min="12799" max="12799" width="12.42578125" style="1957" bestFit="1" customWidth="1"/>
    <col min="12800" max="13042" width="16.7109375" style="1957"/>
    <col min="13043" max="13043" width="50.140625" style="1957" customWidth="1"/>
    <col min="13044" max="13044" width="9.85546875" style="1957" customWidth="1"/>
    <col min="13045" max="13045" width="13" style="1957" customWidth="1"/>
    <col min="13046" max="13046" width="5.28515625" style="1957" customWidth="1"/>
    <col min="13047" max="13047" width="12.85546875" style="1957" customWidth="1"/>
    <col min="13048" max="13048" width="13.85546875" style="1957" customWidth="1"/>
    <col min="13049" max="13049" width="13.140625" style="1957" bestFit="1" customWidth="1"/>
    <col min="13050" max="13050" width="12.28515625" style="1957" customWidth="1"/>
    <col min="13051" max="13051" width="1.85546875" style="1957" customWidth="1"/>
    <col min="13052" max="13052" width="11" style="1957" customWidth="1"/>
    <col min="13053" max="13053" width="4.5703125" style="1957" bestFit="1" customWidth="1"/>
    <col min="13054" max="13054" width="13.28515625" style="1957" bestFit="1" customWidth="1"/>
    <col min="13055" max="13055" width="12.42578125" style="1957" bestFit="1" customWidth="1"/>
    <col min="13056" max="13298" width="16.7109375" style="1957"/>
    <col min="13299" max="13299" width="50.140625" style="1957" customWidth="1"/>
    <col min="13300" max="13300" width="9.85546875" style="1957" customWidth="1"/>
    <col min="13301" max="13301" width="13" style="1957" customWidth="1"/>
    <col min="13302" max="13302" width="5.28515625" style="1957" customWidth="1"/>
    <col min="13303" max="13303" width="12.85546875" style="1957" customWidth="1"/>
    <col min="13304" max="13304" width="13.85546875" style="1957" customWidth="1"/>
    <col min="13305" max="13305" width="13.140625" style="1957" bestFit="1" customWidth="1"/>
    <col min="13306" max="13306" width="12.28515625" style="1957" customWidth="1"/>
    <col min="13307" max="13307" width="1.85546875" style="1957" customWidth="1"/>
    <col min="13308" max="13308" width="11" style="1957" customWidth="1"/>
    <col min="13309" max="13309" width="4.5703125" style="1957" bestFit="1" customWidth="1"/>
    <col min="13310" max="13310" width="13.28515625" style="1957" bestFit="1" customWidth="1"/>
    <col min="13311" max="13311" width="12.42578125" style="1957" bestFit="1" customWidth="1"/>
    <col min="13312" max="13554" width="16.7109375" style="1957"/>
    <col min="13555" max="13555" width="50.140625" style="1957" customWidth="1"/>
    <col min="13556" max="13556" width="9.85546875" style="1957" customWidth="1"/>
    <col min="13557" max="13557" width="13" style="1957" customWidth="1"/>
    <col min="13558" max="13558" width="5.28515625" style="1957" customWidth="1"/>
    <col min="13559" max="13559" width="12.85546875" style="1957" customWidth="1"/>
    <col min="13560" max="13560" width="13.85546875" style="1957" customWidth="1"/>
    <col min="13561" max="13561" width="13.140625" style="1957" bestFit="1" customWidth="1"/>
    <col min="13562" max="13562" width="12.28515625" style="1957" customWidth="1"/>
    <col min="13563" max="13563" width="1.85546875" style="1957" customWidth="1"/>
    <col min="13564" max="13564" width="11" style="1957" customWidth="1"/>
    <col min="13565" max="13565" width="4.5703125" style="1957" bestFit="1" customWidth="1"/>
    <col min="13566" max="13566" width="13.28515625" style="1957" bestFit="1" customWidth="1"/>
    <col min="13567" max="13567" width="12.42578125" style="1957" bestFit="1" customWidth="1"/>
    <col min="13568" max="13810" width="16.7109375" style="1957"/>
    <col min="13811" max="13811" width="50.140625" style="1957" customWidth="1"/>
    <col min="13812" max="13812" width="9.85546875" style="1957" customWidth="1"/>
    <col min="13813" max="13813" width="13" style="1957" customWidth="1"/>
    <col min="13814" max="13814" width="5.28515625" style="1957" customWidth="1"/>
    <col min="13815" max="13815" width="12.85546875" style="1957" customWidth="1"/>
    <col min="13816" max="13816" width="13.85546875" style="1957" customWidth="1"/>
    <col min="13817" max="13817" width="13.140625" style="1957" bestFit="1" customWidth="1"/>
    <col min="13818" max="13818" width="12.28515625" style="1957" customWidth="1"/>
    <col min="13819" max="13819" width="1.85546875" style="1957" customWidth="1"/>
    <col min="13820" max="13820" width="11" style="1957" customWidth="1"/>
    <col min="13821" max="13821" width="4.5703125" style="1957" bestFit="1" customWidth="1"/>
    <col min="13822" max="13822" width="13.28515625" style="1957" bestFit="1" customWidth="1"/>
    <col min="13823" max="13823" width="12.42578125" style="1957" bestFit="1" customWidth="1"/>
    <col min="13824" max="14066" width="16.7109375" style="1957"/>
    <col min="14067" max="14067" width="50.140625" style="1957" customWidth="1"/>
    <col min="14068" max="14068" width="9.85546875" style="1957" customWidth="1"/>
    <col min="14069" max="14069" width="13" style="1957" customWidth="1"/>
    <col min="14070" max="14070" width="5.28515625" style="1957" customWidth="1"/>
    <col min="14071" max="14071" width="12.85546875" style="1957" customWidth="1"/>
    <col min="14072" max="14072" width="13.85546875" style="1957" customWidth="1"/>
    <col min="14073" max="14073" width="13.140625" style="1957" bestFit="1" customWidth="1"/>
    <col min="14074" max="14074" width="12.28515625" style="1957" customWidth="1"/>
    <col min="14075" max="14075" width="1.85546875" style="1957" customWidth="1"/>
    <col min="14076" max="14076" width="11" style="1957" customWidth="1"/>
    <col min="14077" max="14077" width="4.5703125" style="1957" bestFit="1" customWidth="1"/>
    <col min="14078" max="14078" width="13.28515625" style="1957" bestFit="1" customWidth="1"/>
    <col min="14079" max="14079" width="12.42578125" style="1957" bestFit="1" customWidth="1"/>
    <col min="14080" max="14322" width="16.7109375" style="1957"/>
    <col min="14323" max="14323" width="50.140625" style="1957" customWidth="1"/>
    <col min="14324" max="14324" width="9.85546875" style="1957" customWidth="1"/>
    <col min="14325" max="14325" width="13" style="1957" customWidth="1"/>
    <col min="14326" max="14326" width="5.28515625" style="1957" customWidth="1"/>
    <col min="14327" max="14327" width="12.85546875" style="1957" customWidth="1"/>
    <col min="14328" max="14328" width="13.85546875" style="1957" customWidth="1"/>
    <col min="14329" max="14329" width="13.140625" style="1957" bestFit="1" customWidth="1"/>
    <col min="14330" max="14330" width="12.28515625" style="1957" customWidth="1"/>
    <col min="14331" max="14331" width="1.85546875" style="1957" customWidth="1"/>
    <col min="14332" max="14332" width="11" style="1957" customWidth="1"/>
    <col min="14333" max="14333" width="4.5703125" style="1957" bestFit="1" customWidth="1"/>
    <col min="14334" max="14334" width="13.28515625" style="1957" bestFit="1" customWidth="1"/>
    <col min="14335" max="14335" width="12.42578125" style="1957" bestFit="1" customWidth="1"/>
    <col min="14336" max="14578" width="16.7109375" style="1957"/>
    <col min="14579" max="14579" width="50.140625" style="1957" customWidth="1"/>
    <col min="14580" max="14580" width="9.85546875" style="1957" customWidth="1"/>
    <col min="14581" max="14581" width="13" style="1957" customWidth="1"/>
    <col min="14582" max="14582" width="5.28515625" style="1957" customWidth="1"/>
    <col min="14583" max="14583" width="12.85546875" style="1957" customWidth="1"/>
    <col min="14584" max="14584" width="13.85546875" style="1957" customWidth="1"/>
    <col min="14585" max="14585" width="13.140625" style="1957" bestFit="1" customWidth="1"/>
    <col min="14586" max="14586" width="12.28515625" style="1957" customWidth="1"/>
    <col min="14587" max="14587" width="1.85546875" style="1957" customWidth="1"/>
    <col min="14588" max="14588" width="11" style="1957" customWidth="1"/>
    <col min="14589" max="14589" width="4.5703125" style="1957" bestFit="1" customWidth="1"/>
    <col min="14590" max="14590" width="13.28515625" style="1957" bestFit="1" customWidth="1"/>
    <col min="14591" max="14591" width="12.42578125" style="1957" bestFit="1" customWidth="1"/>
    <col min="14592" max="14834" width="16.7109375" style="1957"/>
    <col min="14835" max="14835" width="50.140625" style="1957" customWidth="1"/>
    <col min="14836" max="14836" width="9.85546875" style="1957" customWidth="1"/>
    <col min="14837" max="14837" width="13" style="1957" customWidth="1"/>
    <col min="14838" max="14838" width="5.28515625" style="1957" customWidth="1"/>
    <col min="14839" max="14839" width="12.85546875" style="1957" customWidth="1"/>
    <col min="14840" max="14840" width="13.85546875" style="1957" customWidth="1"/>
    <col min="14841" max="14841" width="13.140625" style="1957" bestFit="1" customWidth="1"/>
    <col min="14842" max="14842" width="12.28515625" style="1957" customWidth="1"/>
    <col min="14843" max="14843" width="1.85546875" style="1957" customWidth="1"/>
    <col min="14844" max="14844" width="11" style="1957" customWidth="1"/>
    <col min="14845" max="14845" width="4.5703125" style="1957" bestFit="1" customWidth="1"/>
    <col min="14846" max="14846" width="13.28515625" style="1957" bestFit="1" customWidth="1"/>
    <col min="14847" max="14847" width="12.42578125" style="1957" bestFit="1" customWidth="1"/>
    <col min="14848" max="15090" width="16.7109375" style="1957"/>
    <col min="15091" max="15091" width="50.140625" style="1957" customWidth="1"/>
    <col min="15092" max="15092" width="9.85546875" style="1957" customWidth="1"/>
    <col min="15093" max="15093" width="13" style="1957" customWidth="1"/>
    <col min="15094" max="15094" width="5.28515625" style="1957" customWidth="1"/>
    <col min="15095" max="15095" width="12.85546875" style="1957" customWidth="1"/>
    <col min="15096" max="15096" width="13.85546875" style="1957" customWidth="1"/>
    <col min="15097" max="15097" width="13.140625" style="1957" bestFit="1" customWidth="1"/>
    <col min="15098" max="15098" width="12.28515625" style="1957" customWidth="1"/>
    <col min="15099" max="15099" width="1.85546875" style="1957" customWidth="1"/>
    <col min="15100" max="15100" width="11" style="1957" customWidth="1"/>
    <col min="15101" max="15101" width="4.5703125" style="1957" bestFit="1" customWidth="1"/>
    <col min="15102" max="15102" width="13.28515625" style="1957" bestFit="1" customWidth="1"/>
    <col min="15103" max="15103" width="12.42578125" style="1957" bestFit="1" customWidth="1"/>
    <col min="15104" max="15346" width="16.7109375" style="1957"/>
    <col min="15347" max="15347" width="50.140625" style="1957" customWidth="1"/>
    <col min="15348" max="15348" width="9.85546875" style="1957" customWidth="1"/>
    <col min="15349" max="15349" width="13" style="1957" customWidth="1"/>
    <col min="15350" max="15350" width="5.28515625" style="1957" customWidth="1"/>
    <col min="15351" max="15351" width="12.85546875" style="1957" customWidth="1"/>
    <col min="15352" max="15352" width="13.85546875" style="1957" customWidth="1"/>
    <col min="15353" max="15353" width="13.140625" style="1957" bestFit="1" customWidth="1"/>
    <col min="15354" max="15354" width="12.28515625" style="1957" customWidth="1"/>
    <col min="15355" max="15355" width="1.85546875" style="1957" customWidth="1"/>
    <col min="15356" max="15356" width="11" style="1957" customWidth="1"/>
    <col min="15357" max="15357" width="4.5703125" style="1957" bestFit="1" customWidth="1"/>
    <col min="15358" max="15358" width="13.28515625" style="1957" bestFit="1" customWidth="1"/>
    <col min="15359" max="15359" width="12.42578125" style="1957" bestFit="1" customWidth="1"/>
    <col min="15360" max="15602" width="16.7109375" style="1957"/>
    <col min="15603" max="15603" width="50.140625" style="1957" customWidth="1"/>
    <col min="15604" max="15604" width="9.85546875" style="1957" customWidth="1"/>
    <col min="15605" max="15605" width="13" style="1957" customWidth="1"/>
    <col min="15606" max="15606" width="5.28515625" style="1957" customWidth="1"/>
    <col min="15607" max="15607" width="12.85546875" style="1957" customWidth="1"/>
    <col min="15608" max="15608" width="13.85546875" style="1957" customWidth="1"/>
    <col min="15609" max="15609" width="13.140625" style="1957" bestFit="1" customWidth="1"/>
    <col min="15610" max="15610" width="12.28515625" style="1957" customWidth="1"/>
    <col min="15611" max="15611" width="1.85546875" style="1957" customWidth="1"/>
    <col min="15612" max="15612" width="11" style="1957" customWidth="1"/>
    <col min="15613" max="15613" width="4.5703125" style="1957" bestFit="1" customWidth="1"/>
    <col min="15614" max="15614" width="13.28515625" style="1957" bestFit="1" customWidth="1"/>
    <col min="15615" max="15615" width="12.42578125" style="1957" bestFit="1" customWidth="1"/>
    <col min="15616" max="15858" width="16.7109375" style="1957"/>
    <col min="15859" max="15859" width="50.140625" style="1957" customWidth="1"/>
    <col min="15860" max="15860" width="9.85546875" style="1957" customWidth="1"/>
    <col min="15861" max="15861" width="13" style="1957" customWidth="1"/>
    <col min="15862" max="15862" width="5.28515625" style="1957" customWidth="1"/>
    <col min="15863" max="15863" width="12.85546875" style="1957" customWidth="1"/>
    <col min="15864" max="15864" width="13.85546875" style="1957" customWidth="1"/>
    <col min="15865" max="15865" width="13.140625" style="1957" bestFit="1" customWidth="1"/>
    <col min="15866" max="15866" width="12.28515625" style="1957" customWidth="1"/>
    <col min="15867" max="15867" width="1.85546875" style="1957" customWidth="1"/>
    <col min="15868" max="15868" width="11" style="1957" customWidth="1"/>
    <col min="15869" max="15869" width="4.5703125" style="1957" bestFit="1" customWidth="1"/>
    <col min="15870" max="15870" width="13.28515625" style="1957" bestFit="1" customWidth="1"/>
    <col min="15871" max="15871" width="12.42578125" style="1957" bestFit="1" customWidth="1"/>
    <col min="15872" max="16114" width="16.7109375" style="1957"/>
    <col min="16115" max="16115" width="50.140625" style="1957" customWidth="1"/>
    <col min="16116" max="16116" width="9.85546875" style="1957" customWidth="1"/>
    <col min="16117" max="16117" width="13" style="1957" customWidth="1"/>
    <col min="16118" max="16118" width="5.28515625" style="1957" customWidth="1"/>
    <col min="16119" max="16119" width="12.85546875" style="1957" customWidth="1"/>
    <col min="16120" max="16120" width="13.85546875" style="1957" customWidth="1"/>
    <col min="16121" max="16121" width="13.140625" style="1957" bestFit="1" customWidth="1"/>
    <col min="16122" max="16122" width="12.28515625" style="1957" customWidth="1"/>
    <col min="16123" max="16123" width="1.85546875" style="1957" customWidth="1"/>
    <col min="16124" max="16124" width="11" style="1957" customWidth="1"/>
    <col min="16125" max="16125" width="4.5703125" style="1957" bestFit="1" customWidth="1"/>
    <col min="16126" max="16126" width="13.28515625" style="1957" bestFit="1" customWidth="1"/>
    <col min="16127" max="16127" width="12.42578125" style="1957" bestFit="1" customWidth="1"/>
    <col min="16128" max="16384" width="16.7109375" style="1957"/>
  </cols>
  <sheetData>
    <row r="1" spans="1:13" s="1956" customFormat="1" ht="15.75" x14ac:dyDescent="0.25">
      <c r="A1" s="2556" t="s">
        <v>2099</v>
      </c>
      <c r="B1" s="2556"/>
      <c r="C1" s="2556"/>
      <c r="D1" s="2556"/>
      <c r="E1" s="2556"/>
      <c r="F1" s="2556"/>
      <c r="G1" s="2556"/>
      <c r="H1" s="2556"/>
      <c r="I1" s="2556"/>
      <c r="J1" s="2556"/>
      <c r="K1" s="2556"/>
      <c r="L1" s="2556"/>
      <c r="M1" s="2556"/>
    </row>
    <row r="2" spans="1:13" ht="17.25" customHeight="1" x14ac:dyDescent="0.25">
      <c r="A2" s="2557" t="s">
        <v>2084</v>
      </c>
      <c r="B2" s="2557"/>
      <c r="C2" s="2557"/>
      <c r="D2" s="2557"/>
      <c r="E2" s="2557"/>
      <c r="F2" s="2557"/>
      <c r="G2" s="2557"/>
      <c r="H2" s="2557"/>
      <c r="I2" s="2557"/>
      <c r="J2" s="2557"/>
      <c r="K2" s="2557"/>
      <c r="L2" s="2557"/>
      <c r="M2" s="2557"/>
    </row>
    <row r="3" spans="1:13" ht="17.25" customHeight="1" x14ac:dyDescent="0.25">
      <c r="A3" s="2557" t="s">
        <v>1281</v>
      </c>
      <c r="B3" s="2557"/>
      <c r="C3" s="2557"/>
      <c r="D3" s="2557"/>
      <c r="E3" s="2557"/>
      <c r="F3" s="2557"/>
      <c r="G3" s="2557"/>
      <c r="H3" s="2557"/>
      <c r="I3" s="2557"/>
      <c r="J3" s="2557"/>
      <c r="K3" s="2557"/>
      <c r="L3" s="2557"/>
      <c r="M3" s="2557"/>
    </row>
    <row r="4" spans="1:13" ht="14.25" x14ac:dyDescent="0.2">
      <c r="A4" s="2554" t="s">
        <v>2106</v>
      </c>
      <c r="B4" s="2554"/>
      <c r="C4" s="2554"/>
      <c r="D4" s="2554"/>
      <c r="E4" s="2554"/>
      <c r="F4" s="2554"/>
      <c r="G4" s="2554"/>
      <c r="H4" s="2554"/>
      <c r="I4" s="2554"/>
      <c r="J4" s="2554"/>
      <c r="K4" s="2554"/>
      <c r="L4" s="2554"/>
      <c r="M4" s="2554"/>
    </row>
    <row r="5" spans="1:13" s="1963" customFormat="1" ht="12.75" x14ac:dyDescent="0.2">
      <c r="A5" s="1959"/>
      <c r="B5" s="1959"/>
      <c r="C5" s="1959"/>
      <c r="D5" s="1959"/>
      <c r="E5" s="1960"/>
      <c r="F5" s="1960"/>
      <c r="G5" s="1960"/>
      <c r="H5" s="1961"/>
      <c r="I5" s="1961"/>
      <c r="J5" s="1961"/>
      <c r="K5" s="1962"/>
      <c r="L5" s="1961"/>
      <c r="M5" s="1961"/>
    </row>
    <row r="6" spans="1:13" ht="12.75" x14ac:dyDescent="0.2">
      <c r="A6" s="1959"/>
      <c r="B6" s="1959"/>
      <c r="C6" s="1959"/>
      <c r="D6" s="1959"/>
      <c r="E6" s="1960"/>
      <c r="F6" s="1960"/>
      <c r="G6" s="1960"/>
      <c r="H6" s="1961"/>
      <c r="I6" s="1961"/>
      <c r="J6" s="1961"/>
      <c r="K6" s="1962"/>
      <c r="L6" s="1961"/>
      <c r="M6" s="1961"/>
    </row>
    <row r="7" spans="1:13" ht="18" customHeight="1" x14ac:dyDescent="0.35">
      <c r="A7" s="1960"/>
      <c r="B7" s="1961"/>
      <c r="C7" s="1962" t="s">
        <v>2107</v>
      </c>
      <c r="D7" s="1962"/>
      <c r="E7" s="2555" t="s">
        <v>548</v>
      </c>
      <c r="F7" s="2555"/>
      <c r="G7" s="2555" t="s">
        <v>2108</v>
      </c>
      <c r="H7" s="2555"/>
      <c r="I7" s="1961"/>
      <c r="J7" s="1961"/>
      <c r="K7" s="1962"/>
      <c r="L7" s="1961"/>
      <c r="M7" s="1961"/>
    </row>
    <row r="8" spans="1:13" ht="12.75" x14ac:dyDescent="0.2">
      <c r="A8" s="1964"/>
      <c r="B8" s="1965" t="s">
        <v>1326</v>
      </c>
      <c r="C8" s="1965" t="s">
        <v>2109</v>
      </c>
      <c r="D8" s="1965"/>
      <c r="E8" s="1965" t="s">
        <v>2110</v>
      </c>
      <c r="F8" s="1966" t="s">
        <v>2111</v>
      </c>
      <c r="G8" s="1965" t="s">
        <v>2112</v>
      </c>
      <c r="H8" s="1966" t="str">
        <f>+F8</f>
        <v>7/01/2017</v>
      </c>
      <c r="I8" s="1967"/>
      <c r="J8" s="1965" t="s">
        <v>1323</v>
      </c>
      <c r="K8" s="1965"/>
      <c r="L8" s="1965" t="s">
        <v>2113</v>
      </c>
      <c r="M8" s="1964" t="s">
        <v>1231</v>
      </c>
    </row>
    <row r="9" spans="1:13" ht="12.75" x14ac:dyDescent="0.2">
      <c r="A9" s="1968" t="s">
        <v>2114</v>
      </c>
      <c r="B9" s="1969" t="s">
        <v>2115</v>
      </c>
      <c r="C9" s="1969" t="s">
        <v>2115</v>
      </c>
      <c r="D9" s="1969"/>
      <c r="E9" s="1970">
        <v>42917</v>
      </c>
      <c r="F9" s="1970">
        <v>43281</v>
      </c>
      <c r="G9" s="1970">
        <f>+E9</f>
        <v>42917</v>
      </c>
      <c r="H9" s="1970">
        <f>+F9</f>
        <v>43281</v>
      </c>
      <c r="I9" s="1958"/>
      <c r="J9" s="1969" t="s">
        <v>2116</v>
      </c>
      <c r="K9" s="1969"/>
      <c r="L9" s="1969" t="s">
        <v>1319</v>
      </c>
      <c r="M9" s="1969" t="s">
        <v>30</v>
      </c>
    </row>
    <row r="10" spans="1:13" ht="15" x14ac:dyDescent="0.2">
      <c r="A10" s="1971" t="s">
        <v>2117</v>
      </c>
      <c r="B10" s="1972" t="s">
        <v>1317</v>
      </c>
      <c r="C10" s="1972" t="s">
        <v>1316</v>
      </c>
      <c r="D10" s="1965"/>
      <c r="E10" s="1972" t="s">
        <v>1315</v>
      </c>
      <c r="F10" s="1972" t="s">
        <v>1314</v>
      </c>
      <c r="G10" s="1972" t="s">
        <v>1313</v>
      </c>
      <c r="H10" s="1972" t="s">
        <v>1312</v>
      </c>
      <c r="I10" s="1973"/>
      <c r="J10" s="1972" t="s">
        <v>1311</v>
      </c>
      <c r="K10" s="1974"/>
      <c r="L10" s="1972" t="s">
        <v>1310</v>
      </c>
      <c r="M10" s="1972" t="s">
        <v>1309</v>
      </c>
    </row>
    <row r="11" spans="1:13" ht="12.75" x14ac:dyDescent="0.2">
      <c r="A11" s="1958"/>
      <c r="B11" s="1975"/>
      <c r="C11" s="1975"/>
      <c r="D11" s="1969"/>
      <c r="E11" s="1976"/>
      <c r="F11" s="1976"/>
      <c r="G11" s="1976"/>
      <c r="H11" s="1976"/>
      <c r="I11" s="1977"/>
      <c r="J11" s="1976"/>
      <c r="K11" s="1978"/>
      <c r="L11" s="1976"/>
      <c r="M11" s="1976"/>
    </row>
    <row r="12" spans="1:13" ht="12.75" x14ac:dyDescent="0.2">
      <c r="A12" s="1979" t="s">
        <v>2118</v>
      </c>
      <c r="B12" s="1975"/>
      <c r="C12" s="1975"/>
      <c r="D12" s="1969"/>
      <c r="E12" s="1976"/>
      <c r="F12" s="1976"/>
      <c r="G12" s="1976"/>
      <c r="H12" s="1976"/>
      <c r="I12" s="1977"/>
      <c r="J12" s="1976"/>
      <c r="K12" s="1978"/>
      <c r="L12" s="1976"/>
      <c r="M12" s="1976"/>
    </row>
    <row r="13" spans="1:13" ht="12.75" x14ac:dyDescent="0.2">
      <c r="A13" s="1980" t="s">
        <v>2119</v>
      </c>
      <c r="B13" s="1975"/>
      <c r="C13" s="1975"/>
      <c r="D13" s="1969"/>
      <c r="E13" s="1976"/>
      <c r="F13" s="1976"/>
      <c r="G13" s="1976"/>
      <c r="H13" s="1976"/>
      <c r="I13" s="1977"/>
      <c r="J13" s="1976"/>
      <c r="K13" s="1978"/>
      <c r="L13" s="1976"/>
      <c r="M13" s="1976"/>
    </row>
    <row r="14" spans="1:13" ht="12.75" x14ac:dyDescent="0.2">
      <c r="A14" s="1980" t="s">
        <v>2120</v>
      </c>
      <c r="B14" s="1975"/>
      <c r="C14" s="1975"/>
      <c r="D14" s="1969"/>
      <c r="E14" s="1976"/>
      <c r="F14" s="1976"/>
      <c r="G14" s="1976"/>
      <c r="H14" s="1976"/>
      <c r="I14" s="1977"/>
      <c r="J14" s="1976"/>
      <c r="K14" s="1978"/>
      <c r="L14" s="1976"/>
      <c r="M14" s="1976"/>
    </row>
    <row r="15" spans="1:13" ht="12.75" x14ac:dyDescent="0.2">
      <c r="A15" s="1958"/>
      <c r="B15" s="1958"/>
      <c r="C15" s="1958"/>
      <c r="D15" s="1969"/>
      <c r="E15" s="1958"/>
      <c r="F15" s="1958"/>
      <c r="G15" s="1958"/>
      <c r="H15" s="1958"/>
      <c r="I15" s="1958"/>
      <c r="J15" s="1958"/>
      <c r="K15" s="1969"/>
      <c r="L15" s="1958"/>
      <c r="M15" s="1981"/>
    </row>
    <row r="16" spans="1:13" ht="12.75" x14ac:dyDescent="0.2">
      <c r="A16" s="1982" t="s">
        <v>2123</v>
      </c>
      <c r="B16" s="1983">
        <v>10.555</v>
      </c>
      <c r="C16" s="1969" t="s">
        <v>2121</v>
      </c>
      <c r="D16" s="1969"/>
      <c r="E16" s="1984">
        <v>218979</v>
      </c>
      <c r="F16" s="1984">
        <f>283179.4-218978.64</f>
        <v>64200.760000000009</v>
      </c>
      <c r="G16" s="1984">
        <v>218979</v>
      </c>
      <c r="H16" s="1984">
        <v>64201</v>
      </c>
      <c r="I16" s="1984"/>
      <c r="J16" s="1984"/>
      <c r="L16" s="1986">
        <f>G16+H16+J16</f>
        <v>283180</v>
      </c>
      <c r="M16" s="1987" t="s">
        <v>2122</v>
      </c>
    </row>
    <row r="17" spans="1:13" ht="12.75" x14ac:dyDescent="0.2">
      <c r="A17" s="1982" t="s">
        <v>2123</v>
      </c>
      <c r="B17" s="1983">
        <v>10.555</v>
      </c>
      <c r="C17" s="1969" t="s">
        <v>2124</v>
      </c>
      <c r="D17" s="1969"/>
      <c r="E17" s="1984"/>
      <c r="F17" s="1984">
        <v>221394</v>
      </c>
      <c r="G17" s="1984"/>
      <c r="H17" s="1984">
        <f>221394+193</f>
        <v>221587</v>
      </c>
      <c r="I17" s="1984"/>
      <c r="J17" s="1984"/>
      <c r="K17" s="1988" t="s">
        <v>2125</v>
      </c>
      <c r="L17" s="1986">
        <f>G17+H17+J17</f>
        <v>221587</v>
      </c>
      <c r="M17" s="1987" t="s">
        <v>2122</v>
      </c>
    </row>
    <row r="18" spans="1:13" ht="12.75" x14ac:dyDescent="0.2">
      <c r="A18" s="1982"/>
      <c r="B18" s="1983"/>
      <c r="C18" s="1969"/>
      <c r="D18" s="1969"/>
      <c r="E18" s="1984"/>
      <c r="F18" s="1984"/>
      <c r="G18" s="1984"/>
      <c r="H18" s="1984"/>
      <c r="I18" s="1984"/>
      <c r="J18" s="1958"/>
      <c r="K18" s="1989"/>
      <c r="L18" s="1986"/>
      <c r="M18" s="1987"/>
    </row>
    <row r="19" spans="1:13" ht="12.75" hidden="1" x14ac:dyDescent="0.2">
      <c r="A19" s="1982" t="s">
        <v>1119</v>
      </c>
      <c r="B19" s="1983">
        <v>10.553000000000001</v>
      </c>
      <c r="C19" s="1969" t="s">
        <v>2126</v>
      </c>
      <c r="D19" s="1969"/>
      <c r="E19" s="1984"/>
      <c r="F19" s="1990"/>
      <c r="G19" s="1984"/>
      <c r="H19" s="1984"/>
      <c r="I19" s="1984"/>
      <c r="J19" s="1984"/>
      <c r="K19" s="1969"/>
      <c r="L19" s="1986">
        <f>G19+H19+J19</f>
        <v>0</v>
      </c>
      <c r="M19" s="1987"/>
    </row>
    <row r="20" spans="1:13" ht="12.75" hidden="1" x14ac:dyDescent="0.2">
      <c r="A20" s="1982" t="s">
        <v>1119</v>
      </c>
      <c r="B20" s="1983">
        <v>10.553000000000001</v>
      </c>
      <c r="C20" s="1969" t="s">
        <v>2127</v>
      </c>
      <c r="D20" s="1969"/>
      <c r="E20" s="1984"/>
      <c r="F20" s="1990"/>
      <c r="G20" s="1984"/>
      <c r="H20" s="1984"/>
      <c r="I20" s="1984"/>
      <c r="J20" s="1984"/>
      <c r="K20" s="1969"/>
      <c r="L20" s="1986">
        <f>G20+H20+J20</f>
        <v>0</v>
      </c>
      <c r="M20" s="1987"/>
    </row>
    <row r="21" spans="1:13" ht="12.75" hidden="1" x14ac:dyDescent="0.2">
      <c r="A21" s="1982"/>
      <c r="B21" s="1983"/>
      <c r="C21" s="1969"/>
      <c r="D21" s="1969"/>
      <c r="E21" s="1984"/>
      <c r="F21" s="1984"/>
      <c r="G21" s="1984"/>
      <c r="H21" s="1984"/>
      <c r="I21" s="1984"/>
      <c r="J21" s="1984"/>
      <c r="K21" s="1989"/>
      <c r="L21" s="1986"/>
      <c r="M21" s="1987"/>
    </row>
    <row r="22" spans="1:13" ht="12.75" hidden="1" x14ac:dyDescent="0.2">
      <c r="A22" s="1982" t="s">
        <v>2128</v>
      </c>
      <c r="B22" s="1983">
        <v>10.55</v>
      </c>
      <c r="C22" s="1969" t="s">
        <v>2129</v>
      </c>
      <c r="D22" s="1969"/>
      <c r="E22" s="1984"/>
      <c r="F22" s="1991"/>
      <c r="G22" s="1984"/>
      <c r="H22" s="1984"/>
      <c r="I22" s="1984"/>
      <c r="J22" s="1984"/>
      <c r="K22" s="1969"/>
      <c r="L22" s="1986">
        <f>G22+H22+J22</f>
        <v>0</v>
      </c>
      <c r="M22" s="1987"/>
    </row>
    <row r="23" spans="1:13" ht="12.75" hidden="1" x14ac:dyDescent="0.2">
      <c r="A23" s="1982" t="s">
        <v>2128</v>
      </c>
      <c r="B23" s="1983">
        <v>10.55</v>
      </c>
      <c r="C23" s="1969" t="s">
        <v>2129</v>
      </c>
      <c r="D23" s="1969"/>
      <c r="E23" s="1991"/>
      <c r="F23" s="1991"/>
      <c r="G23" s="1984"/>
      <c r="H23" s="1984"/>
      <c r="I23" s="1984"/>
      <c r="J23" s="1984"/>
      <c r="K23" s="1969"/>
      <c r="L23" s="1986">
        <f>G23+H23+J23</f>
        <v>0</v>
      </c>
      <c r="M23" s="1987"/>
    </row>
    <row r="24" spans="1:13" ht="12.75" hidden="1" x14ac:dyDescent="0.2">
      <c r="A24" s="1968"/>
      <c r="B24" s="1983"/>
      <c r="C24" s="1969"/>
      <c r="D24" s="1969"/>
      <c r="E24" s="1984"/>
      <c r="F24" s="1984"/>
      <c r="G24" s="1984"/>
      <c r="H24" s="1984"/>
      <c r="I24" s="1984"/>
      <c r="J24" s="1984"/>
      <c r="K24" s="1989"/>
      <c r="L24" s="1986"/>
      <c r="M24" s="1987"/>
    </row>
    <row r="25" spans="1:13" ht="12.75" x14ac:dyDescent="0.2">
      <c r="A25" s="1982" t="s">
        <v>2130</v>
      </c>
      <c r="B25" s="1983">
        <v>10.553000000000001</v>
      </c>
      <c r="C25" s="1969" t="s">
        <v>2131</v>
      </c>
      <c r="D25" s="1969"/>
      <c r="E25" s="1984">
        <v>72530</v>
      </c>
      <c r="F25" s="1984">
        <f>94611-72530</f>
        <v>22081</v>
      </c>
      <c r="G25" s="1984">
        <v>72530</v>
      </c>
      <c r="H25" s="1984">
        <v>22081</v>
      </c>
      <c r="I25" s="1984"/>
      <c r="J25" s="1984"/>
      <c r="K25" s="1989"/>
      <c r="L25" s="1986">
        <f>G25+H25+J25</f>
        <v>94611</v>
      </c>
      <c r="M25" s="1987" t="s">
        <v>2122</v>
      </c>
    </row>
    <row r="26" spans="1:13" ht="12.75" x14ac:dyDescent="0.2">
      <c r="A26" s="1982" t="s">
        <v>2130</v>
      </c>
      <c r="B26" s="1983">
        <v>10.553000000000001</v>
      </c>
      <c r="C26" s="1969" t="s">
        <v>2132</v>
      </c>
      <c r="D26" s="1969"/>
      <c r="E26" s="1984"/>
      <c r="F26" s="1984">
        <v>75476</v>
      </c>
      <c r="G26" s="1984"/>
      <c r="H26" s="1984">
        <v>75903</v>
      </c>
      <c r="I26" s="1984"/>
      <c r="J26" s="1984"/>
      <c r="K26" s="1988" t="s">
        <v>2125</v>
      </c>
      <c r="L26" s="1986">
        <f>G26+H26+J26</f>
        <v>75903</v>
      </c>
      <c r="M26" s="1987" t="s">
        <v>2122</v>
      </c>
    </row>
    <row r="27" spans="1:13" ht="12.75" x14ac:dyDescent="0.2">
      <c r="A27" s="1968"/>
      <c r="B27" s="1983"/>
      <c r="C27" s="1969"/>
      <c r="D27" s="1969"/>
      <c r="E27" s="1984"/>
      <c r="F27" s="1984"/>
      <c r="G27" s="1984"/>
      <c r="H27" s="1984"/>
      <c r="I27" s="1984"/>
      <c r="J27" s="1984"/>
      <c r="K27" s="1989"/>
      <c r="L27" s="1986"/>
      <c r="M27" s="1987"/>
    </row>
    <row r="28" spans="1:13" ht="12.75" x14ac:dyDescent="0.2">
      <c r="A28" s="1982" t="s">
        <v>2133</v>
      </c>
      <c r="B28" s="1983">
        <v>10.582000000000001</v>
      </c>
      <c r="C28" s="1969" t="s">
        <v>2134</v>
      </c>
      <c r="D28" s="1969"/>
      <c r="E28" s="1984">
        <v>11379</v>
      </c>
      <c r="F28" s="1984">
        <v>5461.4</v>
      </c>
      <c r="G28" s="1984">
        <v>16840</v>
      </c>
      <c r="H28" s="1984">
        <v>0</v>
      </c>
      <c r="I28" s="1984"/>
      <c r="J28" s="1984"/>
      <c r="K28" s="1988"/>
      <c r="L28" s="1986">
        <f>G28+H28+J28</f>
        <v>16840</v>
      </c>
      <c r="M28" s="1987" t="s">
        <v>2122</v>
      </c>
    </row>
    <row r="29" spans="1:13" ht="12.75" x14ac:dyDescent="0.2">
      <c r="A29" s="1982" t="s">
        <v>2133</v>
      </c>
      <c r="B29" s="1983">
        <v>10.582000000000001</v>
      </c>
      <c r="C29" s="1969" t="s">
        <v>2211</v>
      </c>
      <c r="D29" s="1969"/>
      <c r="E29" s="1984"/>
      <c r="F29" s="1984">
        <v>4407</v>
      </c>
      <c r="G29" s="1984"/>
      <c r="H29" s="1984">
        <v>4407</v>
      </c>
      <c r="I29" s="1984"/>
      <c r="J29" s="1984"/>
      <c r="K29" s="1988"/>
      <c r="L29" s="1986">
        <v>4407</v>
      </c>
      <c r="M29" s="1987" t="s">
        <v>2122</v>
      </c>
    </row>
    <row r="30" spans="1:13" ht="12.75" customHeight="1" x14ac:dyDescent="0.2">
      <c r="A30" s="1982" t="s">
        <v>2133</v>
      </c>
      <c r="B30" s="1983">
        <v>10.582000000000001</v>
      </c>
      <c r="C30" s="1969" t="s">
        <v>2135</v>
      </c>
      <c r="D30" s="1969"/>
      <c r="E30" s="1984"/>
      <c r="F30" s="1984">
        <v>18226</v>
      </c>
      <c r="G30" s="1984"/>
      <c r="H30" s="1984">
        <v>18226</v>
      </c>
      <c r="I30" s="1984"/>
      <c r="J30" s="1984"/>
      <c r="K30" s="1988" t="s">
        <v>2125</v>
      </c>
      <c r="L30" s="1986">
        <f>G30+H30+J30</f>
        <v>18226</v>
      </c>
      <c r="M30" s="1987" t="s">
        <v>2122</v>
      </c>
    </row>
    <row r="31" spans="1:13" ht="9.1999999999999993" customHeight="1" x14ac:dyDescent="0.2">
      <c r="A31" s="1968"/>
      <c r="B31" s="1983"/>
      <c r="C31" s="1969"/>
      <c r="D31" s="1969"/>
      <c r="E31" s="1984"/>
      <c r="F31" s="1984"/>
      <c r="G31" s="1984"/>
      <c r="H31" s="1984"/>
      <c r="I31" s="1984"/>
      <c r="J31" s="1984"/>
      <c r="K31" s="1989"/>
      <c r="L31" s="1986"/>
      <c r="M31" s="1987"/>
    </row>
    <row r="32" spans="1:13" ht="15" customHeight="1" x14ac:dyDescent="0.2">
      <c r="A32" s="1982" t="s">
        <v>2136</v>
      </c>
      <c r="B32" s="1983"/>
      <c r="C32" s="1969"/>
      <c r="D32" s="1969"/>
      <c r="E32" s="1984"/>
      <c r="F32" s="1984"/>
      <c r="G32" s="1984"/>
      <c r="H32" s="1984"/>
      <c r="I32" s="1984"/>
      <c r="J32" s="1984"/>
      <c r="K32" s="1989"/>
      <c r="L32" s="1986"/>
      <c r="M32" s="1987"/>
    </row>
    <row r="33" spans="1:13" ht="12.75" x14ac:dyDescent="0.2">
      <c r="A33" s="1992" t="s">
        <v>2137</v>
      </c>
      <c r="B33" s="1983">
        <v>10.555</v>
      </c>
      <c r="C33" s="1969" t="s">
        <v>2138</v>
      </c>
      <c r="D33" s="1969"/>
      <c r="E33" s="1984"/>
      <c r="F33" s="1984"/>
      <c r="G33" s="1984">
        <v>1919</v>
      </c>
      <c r="H33" s="1984"/>
      <c r="I33" s="1984"/>
      <c r="J33" s="1984"/>
      <c r="K33" s="1989"/>
      <c r="L33" s="1986">
        <f>G33+H33+J33</f>
        <v>1919</v>
      </c>
      <c r="M33" s="1987" t="s">
        <v>2122</v>
      </c>
    </row>
    <row r="34" spans="1:13" ht="12.75" x14ac:dyDescent="0.2">
      <c r="A34" s="1992" t="s">
        <v>2139</v>
      </c>
      <c r="B34" s="1983">
        <v>10.555</v>
      </c>
      <c r="C34" s="1969" t="s">
        <v>2140</v>
      </c>
      <c r="D34" s="1969"/>
      <c r="E34" s="1984"/>
      <c r="F34" s="1984"/>
      <c r="G34" s="1984"/>
      <c r="H34" s="1984">
        <v>12385</v>
      </c>
      <c r="I34" s="1984"/>
      <c r="J34" s="1984"/>
      <c r="K34" s="1989"/>
      <c r="L34" s="1986">
        <f>G34+H34+J34</f>
        <v>12385</v>
      </c>
      <c r="M34" s="1987" t="s">
        <v>2122</v>
      </c>
    </row>
    <row r="35" spans="1:13" ht="12.75" x14ac:dyDescent="0.2">
      <c r="A35" s="1982"/>
      <c r="B35" s="1983"/>
      <c r="C35" s="1969"/>
      <c r="D35" s="1969"/>
      <c r="E35" s="1984"/>
      <c r="F35" s="1984"/>
      <c r="G35" s="1984"/>
      <c r="H35" s="1984"/>
      <c r="I35" s="1984"/>
      <c r="J35" s="1984"/>
      <c r="K35" s="1989"/>
      <c r="L35" s="1986"/>
      <c r="M35" s="1987"/>
    </row>
    <row r="36" spans="1:13" ht="15" x14ac:dyDescent="0.2">
      <c r="A36" s="1993" t="s">
        <v>2141</v>
      </c>
      <c r="B36" s="1994">
        <v>10.555</v>
      </c>
      <c r="C36" s="1965" t="s">
        <v>2138</v>
      </c>
      <c r="D36" s="1969"/>
      <c r="E36" s="1984"/>
      <c r="F36" s="1984"/>
      <c r="G36" s="1995">
        <v>33387</v>
      </c>
      <c r="H36" s="1995"/>
      <c r="I36" s="1996"/>
      <c r="J36" s="1995"/>
      <c r="K36" s="1996"/>
      <c r="L36" s="1995">
        <f>G36+H36+J36</f>
        <v>33387</v>
      </c>
      <c r="M36" s="1997" t="s">
        <v>2122</v>
      </c>
    </row>
    <row r="37" spans="1:13" ht="15" x14ac:dyDescent="0.35">
      <c r="A37" s="1993" t="s">
        <v>2142</v>
      </c>
      <c r="B37" s="1994">
        <v>10.555</v>
      </c>
      <c r="C37" s="1965" t="s">
        <v>2140</v>
      </c>
      <c r="D37" s="1969"/>
      <c r="E37" s="1998">
        <v>0</v>
      </c>
      <c r="F37" s="1998">
        <v>0</v>
      </c>
      <c r="G37" s="1996">
        <v>0</v>
      </c>
      <c r="H37" s="1996">
        <v>22596</v>
      </c>
      <c r="I37" s="1996"/>
      <c r="J37" s="1996">
        <v>0</v>
      </c>
      <c r="K37" s="1996"/>
      <c r="L37" s="1996">
        <f>G37+H37+J37</f>
        <v>22596</v>
      </c>
      <c r="M37" s="1997" t="s">
        <v>2122</v>
      </c>
    </row>
    <row r="38" spans="1:13" ht="15" x14ac:dyDescent="0.35">
      <c r="A38" s="1979" t="s">
        <v>2143</v>
      </c>
      <c r="B38" s="1983"/>
      <c r="C38" s="1969"/>
      <c r="D38" s="1969"/>
      <c r="E38" s="1998">
        <f>SUM(E16:E37)</f>
        <v>302888</v>
      </c>
      <c r="F38" s="1998">
        <f>SUM(F16:F37)</f>
        <v>411246.16000000003</v>
      </c>
      <c r="G38" s="1998">
        <f>SUM(G16:G37)</f>
        <v>343655</v>
      </c>
      <c r="H38" s="1998">
        <f>SUM(H16:H37)</f>
        <v>441386</v>
      </c>
      <c r="I38" s="1998"/>
      <c r="J38" s="1998">
        <f>SUM(J16:J37)</f>
        <v>0</v>
      </c>
      <c r="K38" s="1998"/>
      <c r="L38" s="1998">
        <f>SUM(L16:L37)</f>
        <v>785041</v>
      </c>
      <c r="M38" s="1987"/>
    </row>
    <row r="39" spans="1:13" ht="12.75" x14ac:dyDescent="0.2">
      <c r="A39" s="1968"/>
      <c r="B39" s="1983"/>
      <c r="C39" s="1969"/>
      <c r="D39" s="1969"/>
      <c r="E39" s="1984"/>
      <c r="F39" s="1984"/>
      <c r="G39" s="1984"/>
      <c r="H39" s="1984"/>
      <c r="I39" s="1984"/>
      <c r="J39" s="1984"/>
      <c r="K39" s="1989"/>
      <c r="L39" s="1986"/>
      <c r="M39" s="1987"/>
    </row>
    <row r="40" spans="1:13" ht="12.75" x14ac:dyDescent="0.2">
      <c r="A40" s="1979" t="s">
        <v>2144</v>
      </c>
      <c r="B40" s="1983"/>
      <c r="C40" s="1969"/>
      <c r="D40" s="1969"/>
      <c r="E40" s="1984"/>
      <c r="F40" s="1984"/>
      <c r="G40" s="1984"/>
      <c r="H40" s="1984"/>
      <c r="I40" s="1984"/>
      <c r="J40" s="1984"/>
      <c r="K40" s="1989"/>
      <c r="L40" s="1986"/>
      <c r="M40" s="1987"/>
    </row>
    <row r="41" spans="1:13" ht="12.75" x14ac:dyDescent="0.2">
      <c r="A41" s="1980" t="s">
        <v>2119</v>
      </c>
      <c r="B41" s="1983"/>
      <c r="C41" s="1969"/>
      <c r="D41" s="1969"/>
      <c r="E41" s="1984"/>
      <c r="F41" s="1984"/>
      <c r="G41" s="1984"/>
      <c r="H41" s="1984"/>
      <c r="I41" s="1984"/>
      <c r="J41" s="1984"/>
      <c r="K41" s="1989"/>
      <c r="L41" s="1986"/>
      <c r="M41" s="1987"/>
    </row>
    <row r="42" spans="1:13" ht="12.75" x14ac:dyDescent="0.2">
      <c r="A42" s="1980" t="s">
        <v>2120</v>
      </c>
      <c r="B42" s="1983"/>
      <c r="C42" s="1969"/>
      <c r="D42" s="1969"/>
      <c r="E42" s="1984"/>
      <c r="F42" s="1984"/>
      <c r="G42" s="1984"/>
      <c r="H42" s="1984"/>
      <c r="I42" s="1984"/>
      <c r="J42" s="1984"/>
      <c r="K42" s="1989"/>
      <c r="L42" s="1986"/>
      <c r="M42" s="1987"/>
    </row>
    <row r="43" spans="1:13" ht="12.75" x14ac:dyDescent="0.2">
      <c r="A43" s="1980"/>
      <c r="B43" s="1983"/>
      <c r="C43" s="1969"/>
      <c r="D43" s="1969"/>
      <c r="E43" s="1984"/>
      <c r="F43" s="1984"/>
      <c r="G43" s="1984"/>
      <c r="H43" s="1984"/>
      <c r="I43" s="1984"/>
      <c r="J43" s="1984"/>
      <c r="K43" s="1989"/>
      <c r="L43" s="1986"/>
      <c r="M43" s="1987"/>
    </row>
    <row r="44" spans="1:13" ht="12.75" x14ac:dyDescent="0.2">
      <c r="A44" s="1982" t="s">
        <v>974</v>
      </c>
      <c r="B44" s="1983" t="s">
        <v>2145</v>
      </c>
      <c r="C44" s="1969" t="s">
        <v>2146</v>
      </c>
      <c r="D44" s="1999"/>
      <c r="E44" s="1984">
        <v>167871</v>
      </c>
      <c r="F44" s="1984">
        <f>177303-167871</f>
        <v>9432</v>
      </c>
      <c r="G44" s="1984">
        <v>167871</v>
      </c>
      <c r="H44" s="1984">
        <v>9432</v>
      </c>
      <c r="I44" s="1984"/>
      <c r="J44" s="1984"/>
      <c r="K44" s="1957"/>
      <c r="L44" s="1984">
        <f t="shared" ref="L44:L52" si="0">J44+H44+G44</f>
        <v>177303</v>
      </c>
      <c r="M44" s="1984">
        <v>189621</v>
      </c>
    </row>
    <row r="45" spans="1:13" ht="12.75" x14ac:dyDescent="0.2">
      <c r="A45" s="1982" t="s">
        <v>974</v>
      </c>
      <c r="B45" s="1983" t="s">
        <v>2145</v>
      </c>
      <c r="C45" s="1969" t="s">
        <v>2147</v>
      </c>
      <c r="D45" s="1988"/>
      <c r="E45" s="1984"/>
      <c r="F45" s="1984">
        <v>149127</v>
      </c>
      <c r="G45" s="1984"/>
      <c r="H45" s="1984">
        <v>170599</v>
      </c>
      <c r="I45" s="1984"/>
      <c r="J45" s="1984">
        <v>0</v>
      </c>
      <c r="K45" s="1989"/>
      <c r="L45" s="1984">
        <f t="shared" si="0"/>
        <v>170599</v>
      </c>
      <c r="M45" s="1984">
        <v>189852</v>
      </c>
    </row>
    <row r="46" spans="1:13" ht="12.75" x14ac:dyDescent="0.2">
      <c r="A46" s="2000"/>
      <c r="B46" s="1983"/>
      <c r="C46" s="1969"/>
      <c r="D46" s="1981"/>
      <c r="E46" s="1984"/>
      <c r="F46" s="1984"/>
      <c r="G46" s="1984"/>
      <c r="H46" s="1984"/>
      <c r="I46" s="1984"/>
      <c r="J46" s="1984"/>
      <c r="K46" s="1989"/>
      <c r="L46" s="1984"/>
      <c r="M46" s="1984"/>
    </row>
    <row r="47" spans="1:13" ht="12.75" hidden="1" x14ac:dyDescent="0.2">
      <c r="A47" s="1982" t="s">
        <v>2148</v>
      </c>
      <c r="B47" s="1983">
        <v>84.388999999999996</v>
      </c>
      <c r="C47" s="1969" t="s">
        <v>2149</v>
      </c>
      <c r="D47" s="1981"/>
      <c r="E47" s="1984"/>
      <c r="F47" s="1984"/>
      <c r="G47" s="1984"/>
      <c r="H47" s="1984" t="s">
        <v>1231</v>
      </c>
      <c r="I47" s="1984"/>
      <c r="J47" s="1984">
        <v>0</v>
      </c>
      <c r="K47" s="1989"/>
      <c r="L47" s="1984">
        <f>J47+H47+G47</f>
        <v>0</v>
      </c>
      <c r="M47" s="1987"/>
    </row>
    <row r="48" spans="1:13" ht="12.75" hidden="1" x14ac:dyDescent="0.2">
      <c r="A48" s="2000"/>
      <c r="B48" s="1983"/>
      <c r="C48" s="1969"/>
      <c r="D48" s="1981"/>
      <c r="E48" s="1984"/>
      <c r="F48" s="1984"/>
      <c r="G48" s="1984"/>
      <c r="H48" s="1984"/>
      <c r="I48" s="1984"/>
      <c r="J48" s="1984"/>
      <c r="K48" s="1989"/>
      <c r="L48" s="1984"/>
      <c r="M48" s="1984"/>
    </row>
    <row r="49" spans="1:13" ht="12.75" hidden="1" x14ac:dyDescent="0.2">
      <c r="A49" s="1982" t="s">
        <v>2150</v>
      </c>
      <c r="B49" s="1983">
        <v>84.01</v>
      </c>
      <c r="C49" s="1969"/>
      <c r="D49" s="1981"/>
      <c r="E49" s="1984"/>
      <c r="F49" s="1984"/>
      <c r="G49" s="1984"/>
      <c r="H49" s="1984"/>
      <c r="I49" s="1984"/>
      <c r="J49" s="1984"/>
      <c r="K49" s="1989"/>
      <c r="L49" s="1984">
        <f t="shared" si="0"/>
        <v>0</v>
      </c>
      <c r="M49" s="2001" t="s">
        <v>2122</v>
      </c>
    </row>
    <row r="50" spans="1:13" ht="12.75" hidden="1" x14ac:dyDescent="0.2">
      <c r="A50" s="2000"/>
      <c r="B50" s="1983"/>
      <c r="C50" s="1969"/>
      <c r="D50" s="1981"/>
      <c r="E50" s="1984"/>
      <c r="F50" s="1984"/>
      <c r="G50" s="1984"/>
      <c r="H50" s="1984"/>
      <c r="I50" s="1984"/>
      <c r="J50" s="1984"/>
      <c r="K50" s="1989"/>
      <c r="L50" s="1986"/>
      <c r="M50" s="1984"/>
    </row>
    <row r="51" spans="1:13" ht="12.75" hidden="1" x14ac:dyDescent="0.2">
      <c r="A51" s="1982" t="s">
        <v>2151</v>
      </c>
      <c r="B51" s="1983">
        <v>84.027000000000001</v>
      </c>
      <c r="C51" s="1969" t="s">
        <v>2152</v>
      </c>
      <c r="D51" s="1981"/>
      <c r="E51" s="1984"/>
      <c r="F51" s="1984"/>
      <c r="G51" s="1984"/>
      <c r="H51" s="1984"/>
      <c r="I51" s="1984"/>
      <c r="J51" s="1984"/>
      <c r="K51" s="1989"/>
      <c r="L51" s="1984">
        <f t="shared" si="0"/>
        <v>0</v>
      </c>
      <c r="M51" s="1987"/>
    </row>
    <row r="52" spans="1:13" ht="12.75" hidden="1" x14ac:dyDescent="0.2">
      <c r="A52" s="1982" t="s">
        <v>2151</v>
      </c>
      <c r="B52" s="1983">
        <v>84.027000000000001</v>
      </c>
      <c r="C52" s="1969" t="s">
        <v>2153</v>
      </c>
      <c r="D52" s="1981"/>
      <c r="E52" s="1984"/>
      <c r="F52" s="1984"/>
      <c r="G52" s="1984"/>
      <c r="H52" s="1984"/>
      <c r="I52" s="1984"/>
      <c r="J52" s="1984"/>
      <c r="K52" s="1989"/>
      <c r="L52" s="1984">
        <f t="shared" si="0"/>
        <v>0</v>
      </c>
      <c r="M52" s="1987"/>
    </row>
    <row r="53" spans="1:13" ht="12.75" hidden="1" x14ac:dyDescent="0.2">
      <c r="A53" s="1982" t="s">
        <v>2151</v>
      </c>
      <c r="B53" s="1983" t="s">
        <v>2154</v>
      </c>
      <c r="C53" s="1969" t="s">
        <v>2155</v>
      </c>
      <c r="D53" s="1981"/>
      <c r="E53" s="1984"/>
      <c r="F53" s="1984"/>
      <c r="G53" s="1984"/>
      <c r="H53" s="1984"/>
      <c r="I53" s="1984"/>
      <c r="J53" s="1984"/>
      <c r="K53" s="1989"/>
      <c r="L53" s="1984"/>
      <c r="M53" s="1987" t="s">
        <v>2122</v>
      </c>
    </row>
    <row r="54" spans="1:13" ht="12.75" hidden="1" x14ac:dyDescent="0.2">
      <c r="A54" s="1982" t="s">
        <v>2151</v>
      </c>
      <c r="B54" s="1983" t="s">
        <v>2154</v>
      </c>
      <c r="C54" s="1969" t="s">
        <v>2155</v>
      </c>
      <c r="D54" s="1981"/>
      <c r="E54" s="1984"/>
      <c r="F54" s="1984"/>
      <c r="G54" s="1984"/>
      <c r="H54" s="1984"/>
      <c r="I54" s="1984"/>
      <c r="J54" s="1984"/>
      <c r="K54" s="1989"/>
      <c r="L54" s="1984">
        <f>J54+H54+G54</f>
        <v>0</v>
      </c>
      <c r="M54" s="1987" t="s">
        <v>2122</v>
      </c>
    </row>
    <row r="55" spans="1:13" ht="12.75" hidden="1" x14ac:dyDescent="0.2">
      <c r="A55" s="1982"/>
      <c r="B55" s="1983"/>
      <c r="C55" s="1969"/>
      <c r="D55" s="1981"/>
      <c r="E55" s="1984"/>
      <c r="F55" s="1984"/>
      <c r="G55" s="1984"/>
      <c r="H55" s="1984"/>
      <c r="I55" s="1984"/>
      <c r="J55" s="1984"/>
      <c r="K55" s="1989"/>
      <c r="L55" s="1986"/>
      <c r="M55" s="1987"/>
    </row>
    <row r="56" spans="1:13" ht="12.75" hidden="1" x14ac:dyDescent="0.2">
      <c r="A56" s="1982" t="s">
        <v>2156</v>
      </c>
      <c r="B56" s="1983" t="s">
        <v>2157</v>
      </c>
      <c r="C56" s="1969" t="s">
        <v>2158</v>
      </c>
      <c r="D56" s="1981"/>
      <c r="E56" s="1984"/>
      <c r="F56" s="1984"/>
      <c r="G56" s="1984"/>
      <c r="H56" s="1984"/>
      <c r="I56" s="1984"/>
      <c r="J56" s="1984"/>
      <c r="K56" s="1989"/>
      <c r="L56" s="1984">
        <f>J56+H56+G56</f>
        <v>0</v>
      </c>
      <c r="M56" s="1987" t="s">
        <v>2122</v>
      </c>
    </row>
    <row r="57" spans="1:13" ht="12.75" hidden="1" x14ac:dyDescent="0.2">
      <c r="A57" s="1982" t="s">
        <v>2156</v>
      </c>
      <c r="B57" s="1983" t="s">
        <v>2157</v>
      </c>
      <c r="C57" s="1969" t="s">
        <v>2159</v>
      </c>
      <c r="D57" s="1981"/>
      <c r="E57" s="1984"/>
      <c r="F57" s="1984"/>
      <c r="G57" s="1984"/>
      <c r="H57" s="1984"/>
      <c r="I57" s="1984"/>
      <c r="J57" s="1984"/>
      <c r="K57" s="1989"/>
      <c r="L57" s="1984">
        <f>J57+H57+G57</f>
        <v>0</v>
      </c>
      <c r="M57" s="1987" t="s">
        <v>2122</v>
      </c>
    </row>
    <row r="58" spans="1:13" ht="12.75" hidden="1" x14ac:dyDescent="0.2">
      <c r="A58" s="1982"/>
      <c r="B58" s="1983"/>
      <c r="C58" s="1969"/>
      <c r="D58" s="1981"/>
      <c r="E58" s="1984"/>
      <c r="F58" s="1984"/>
      <c r="G58" s="1984"/>
      <c r="H58" s="1984"/>
      <c r="I58" s="1984"/>
      <c r="J58" s="1984"/>
      <c r="K58" s="1989"/>
      <c r="L58" s="1984"/>
      <c r="M58" s="1987"/>
    </row>
    <row r="59" spans="1:13" ht="12.75" x14ac:dyDescent="0.2">
      <c r="A59" s="2000" t="s">
        <v>782</v>
      </c>
      <c r="B59" s="1983">
        <v>84.367000000000004</v>
      </c>
      <c r="C59" s="1969" t="s">
        <v>2160</v>
      </c>
      <c r="D59" s="1999"/>
      <c r="E59" s="1984">
        <v>32684</v>
      </c>
      <c r="F59" s="1984">
        <f>34753-32684</f>
        <v>2069</v>
      </c>
      <c r="G59" s="1984">
        <v>32684</v>
      </c>
      <c r="H59" s="1984">
        <v>2069</v>
      </c>
      <c r="I59" s="1984"/>
      <c r="J59" s="1984"/>
      <c r="K59" s="1989"/>
      <c r="L59" s="1984">
        <f>J59+H59+G59</f>
        <v>34753</v>
      </c>
      <c r="M59" s="1984">
        <v>34753</v>
      </c>
    </row>
    <row r="60" spans="1:13" ht="12.75" x14ac:dyDescent="0.2">
      <c r="A60" s="2000" t="s">
        <v>782</v>
      </c>
      <c r="B60" s="1983">
        <v>84.367000000000004</v>
      </c>
      <c r="C60" s="1969" t="s">
        <v>2161</v>
      </c>
      <c r="D60" s="1981"/>
      <c r="E60" s="1984"/>
      <c r="F60" s="1984">
        <v>24124</v>
      </c>
      <c r="G60" s="1984"/>
      <c r="H60" s="1984">
        <v>24896</v>
      </c>
      <c r="I60" s="1984"/>
      <c r="J60" s="1984">
        <v>0</v>
      </c>
      <c r="K60" s="1989"/>
      <c r="L60" s="1984">
        <f>J60+H60+G60</f>
        <v>24896</v>
      </c>
      <c r="M60" s="1984">
        <v>27974</v>
      </c>
    </row>
    <row r="61" spans="1:13" ht="12.75" x14ac:dyDescent="0.2">
      <c r="A61" s="2000"/>
      <c r="B61" s="1983"/>
      <c r="C61" s="1969"/>
      <c r="D61" s="1981"/>
      <c r="E61" s="1984"/>
      <c r="F61" s="1984"/>
      <c r="G61" s="1984"/>
      <c r="H61" s="1984"/>
      <c r="I61" s="1984"/>
      <c r="J61" s="1984"/>
      <c r="K61" s="1989"/>
      <c r="L61" s="1984"/>
      <c r="M61" s="1984"/>
    </row>
    <row r="62" spans="1:13" ht="12.75" x14ac:dyDescent="0.2">
      <c r="A62" s="2000"/>
      <c r="B62" s="1983"/>
      <c r="C62" s="1969"/>
      <c r="D62" s="1981"/>
      <c r="E62" s="1984"/>
      <c r="F62" s="1984"/>
      <c r="G62" s="1984"/>
      <c r="H62" s="1984"/>
      <c r="I62" s="1984"/>
      <c r="J62" s="1984"/>
      <c r="K62" s="1989"/>
      <c r="L62" s="1984"/>
      <c r="M62" s="1984"/>
    </row>
    <row r="63" spans="1:13" ht="12.75" hidden="1" x14ac:dyDescent="0.2">
      <c r="A63" s="2000" t="s">
        <v>2162</v>
      </c>
      <c r="B63" s="1983"/>
      <c r="C63" s="1969" t="s">
        <v>2163</v>
      </c>
      <c r="D63" s="1981"/>
      <c r="E63" s="1984"/>
      <c r="F63" s="1984"/>
      <c r="G63" s="1984"/>
      <c r="H63" s="1984"/>
      <c r="I63" s="1984"/>
      <c r="J63" s="1984"/>
      <c r="K63" s="1988"/>
      <c r="L63" s="1984"/>
      <c r="M63" s="1984"/>
    </row>
    <row r="64" spans="1:13" ht="12.75" hidden="1" x14ac:dyDescent="0.2">
      <c r="A64" s="2000"/>
      <c r="B64" s="1983"/>
      <c r="C64" s="1969"/>
      <c r="D64" s="1981"/>
      <c r="E64" s="1984"/>
      <c r="F64" s="1984"/>
      <c r="G64" s="1984"/>
      <c r="H64" s="1984"/>
      <c r="I64" s="1984"/>
      <c r="J64" s="1984"/>
      <c r="K64" s="1989"/>
      <c r="L64" s="1984"/>
      <c r="M64" s="1984"/>
    </row>
    <row r="65" spans="1:13" ht="12.75" x14ac:dyDescent="0.2">
      <c r="A65" s="2002" t="s">
        <v>2164</v>
      </c>
      <c r="B65" s="1983"/>
      <c r="C65" s="1969"/>
      <c r="D65" s="1981"/>
      <c r="E65" s="1984"/>
      <c r="F65" s="1984"/>
      <c r="G65" s="1984"/>
      <c r="H65" s="1984"/>
      <c r="I65" s="1984"/>
      <c r="J65" s="1984"/>
      <c r="K65" s="1989"/>
      <c r="L65" s="1984"/>
      <c r="M65" s="1984"/>
    </row>
    <row r="66" spans="1:13" ht="12.75" x14ac:dyDescent="0.2">
      <c r="A66" s="2002" t="s">
        <v>2165</v>
      </c>
      <c r="B66" s="1983"/>
      <c r="C66" s="1969"/>
      <c r="D66" s="1981"/>
      <c r="E66" s="1984"/>
      <c r="F66" s="1984"/>
      <c r="G66" s="1984"/>
      <c r="H66" s="1984"/>
      <c r="I66" s="1984"/>
      <c r="J66" s="1984"/>
      <c r="K66" s="1989"/>
      <c r="L66" s="1984"/>
      <c r="M66" s="1984"/>
    </row>
    <row r="67" spans="1:13" ht="12.75" x14ac:dyDescent="0.2">
      <c r="A67" s="2002" t="s">
        <v>2166</v>
      </c>
      <c r="B67" s="1983"/>
      <c r="C67" s="1969"/>
      <c r="D67" s="1981"/>
      <c r="E67" s="1984"/>
      <c r="F67" s="1984"/>
      <c r="G67" s="1984"/>
      <c r="H67" s="1984"/>
      <c r="I67" s="1984"/>
      <c r="J67" s="1984"/>
      <c r="K67" s="1989"/>
      <c r="L67" s="1984"/>
      <c r="M67" s="1984"/>
    </row>
    <row r="68" spans="1:13" ht="12.75" x14ac:dyDescent="0.2">
      <c r="A68" s="2000" t="s">
        <v>2167</v>
      </c>
      <c r="B68" s="1983">
        <v>84.364999999999995</v>
      </c>
      <c r="C68" s="1969" t="s">
        <v>2168</v>
      </c>
      <c r="D68" s="1981"/>
      <c r="E68" s="1984">
        <v>4913</v>
      </c>
      <c r="F68" s="1984">
        <v>0</v>
      </c>
      <c r="G68" s="1984">
        <v>4913</v>
      </c>
      <c r="H68" s="1984"/>
      <c r="I68" s="1984"/>
      <c r="J68" s="1984"/>
      <c r="L68" s="1984">
        <f>J68+H68+G68</f>
        <v>4913</v>
      </c>
      <c r="M68" s="2001">
        <v>6756</v>
      </c>
    </row>
    <row r="69" spans="1:13" ht="12.75" x14ac:dyDescent="0.2">
      <c r="A69" s="2000" t="s">
        <v>2167</v>
      </c>
      <c r="B69" s="1983">
        <v>84.364999999999995</v>
      </c>
      <c r="C69" s="1969" t="s">
        <v>2169</v>
      </c>
      <c r="D69" s="1981"/>
      <c r="E69" s="1984"/>
      <c r="F69" s="1984">
        <v>10202</v>
      </c>
      <c r="G69" s="1984"/>
      <c r="H69" s="1984">
        <v>10202</v>
      </c>
      <c r="I69" s="1984"/>
      <c r="J69" s="1984"/>
      <c r="K69" s="1988"/>
      <c r="L69" s="1984">
        <f>J69+H69+G69</f>
        <v>10202</v>
      </c>
      <c r="M69" s="2001">
        <v>11693</v>
      </c>
    </row>
    <row r="70" spans="1:13" ht="12.75" x14ac:dyDescent="0.2">
      <c r="A70" s="2000"/>
      <c r="B70" s="1983"/>
      <c r="C70" s="1969"/>
      <c r="D70" s="1981"/>
      <c r="E70" s="1984"/>
      <c r="F70" s="1984"/>
      <c r="G70" s="1984"/>
      <c r="H70" s="1984"/>
      <c r="I70" s="1984"/>
      <c r="J70" s="1984"/>
      <c r="K70" s="1989"/>
      <c r="L70" s="1984"/>
      <c r="M70" s="1984"/>
    </row>
    <row r="71" spans="1:13" ht="12.75" x14ac:dyDescent="0.2">
      <c r="A71" s="2002" t="s">
        <v>2164</v>
      </c>
      <c r="B71" s="1983"/>
      <c r="C71" s="1969"/>
      <c r="D71" s="1981"/>
      <c r="E71" s="1984"/>
      <c r="F71" s="1984"/>
      <c r="G71" s="1984"/>
      <c r="H71" s="1984"/>
      <c r="I71" s="1984"/>
      <c r="J71" s="1984"/>
      <c r="K71" s="1989"/>
      <c r="L71" s="1986"/>
      <c r="M71" s="1984"/>
    </row>
    <row r="72" spans="1:13" ht="12.75" x14ac:dyDescent="0.2">
      <c r="A72" s="2002" t="s">
        <v>2170</v>
      </c>
      <c r="B72" s="1983"/>
      <c r="C72" s="1969"/>
      <c r="D72" s="1981"/>
      <c r="E72" s="1984"/>
      <c r="F72" s="1984"/>
      <c r="G72" s="1984"/>
      <c r="H72" s="1984"/>
      <c r="I72" s="1984"/>
      <c r="J72" s="1984"/>
      <c r="K72" s="1989"/>
      <c r="L72" s="1986"/>
      <c r="M72" s="1984"/>
    </row>
    <row r="73" spans="1:13" ht="12.75" x14ac:dyDescent="0.2">
      <c r="A73" s="2002" t="s">
        <v>2171</v>
      </c>
      <c r="B73" s="1983"/>
      <c r="C73" s="1969"/>
      <c r="D73" s="1981"/>
      <c r="E73" s="1984"/>
      <c r="F73" s="1984"/>
      <c r="G73" s="1984"/>
      <c r="H73" s="1984"/>
      <c r="I73" s="1984"/>
      <c r="J73" s="1984"/>
      <c r="K73" s="1989"/>
      <c r="L73" s="1986"/>
      <c r="M73" s="1984"/>
    </row>
    <row r="74" spans="1:13" ht="19.7" customHeight="1" x14ac:dyDescent="0.2">
      <c r="A74" s="2000" t="s">
        <v>2172</v>
      </c>
      <c r="B74" s="1983">
        <v>84.027000000000001</v>
      </c>
      <c r="C74" s="1969" t="s">
        <v>2173</v>
      </c>
      <c r="D74" s="1981"/>
      <c r="E74" s="1984">
        <v>154159</v>
      </c>
      <c r="F74" s="1984"/>
      <c r="G74" s="1984">
        <v>154159</v>
      </c>
      <c r="H74" s="1984"/>
      <c r="I74" s="1984"/>
      <c r="J74" s="1984">
        <v>0</v>
      </c>
      <c r="K74" s="1989"/>
      <c r="L74" s="1986">
        <f>+G74+H74+J74</f>
        <v>154159</v>
      </c>
      <c r="M74" s="1984">
        <v>154159</v>
      </c>
    </row>
    <row r="75" spans="1:13" ht="15" customHeight="1" x14ac:dyDescent="0.35">
      <c r="A75" s="2000" t="s">
        <v>2172</v>
      </c>
      <c r="B75" s="1983">
        <v>84.027000000000001</v>
      </c>
      <c r="C75" s="1969" t="s">
        <v>2174</v>
      </c>
      <c r="D75" s="1981"/>
      <c r="E75" s="1998">
        <v>0</v>
      </c>
      <c r="F75" s="1998">
        <v>158790</v>
      </c>
      <c r="G75" s="1998">
        <v>0</v>
      </c>
      <c r="H75" s="1998">
        <v>158790</v>
      </c>
      <c r="I75" s="1984"/>
      <c r="J75" s="1998">
        <v>0</v>
      </c>
      <c r="K75" s="1989"/>
      <c r="L75" s="2003">
        <f>+G75+H75+J75</f>
        <v>158790</v>
      </c>
      <c r="M75" s="1984">
        <v>158790</v>
      </c>
    </row>
    <row r="76" spans="1:13" ht="19.7" customHeight="1" x14ac:dyDescent="0.35">
      <c r="A76" s="2000"/>
      <c r="B76" s="1983"/>
      <c r="C76" s="1969"/>
      <c r="D76" s="1981"/>
      <c r="E76" s="1998"/>
      <c r="F76" s="1998"/>
      <c r="G76" s="1998"/>
      <c r="H76" s="1998"/>
      <c r="I76" s="1984"/>
      <c r="J76" s="1998"/>
      <c r="K76" s="1989"/>
      <c r="L76" s="2003"/>
      <c r="M76" s="1984"/>
    </row>
    <row r="77" spans="1:13" ht="12.75" x14ac:dyDescent="0.2">
      <c r="A77" s="2000"/>
      <c r="B77" s="1983"/>
      <c r="C77" s="1969"/>
      <c r="D77" s="1981"/>
      <c r="E77" s="1984"/>
      <c r="F77" s="1984"/>
      <c r="G77" s="1984"/>
      <c r="H77" s="1984"/>
      <c r="I77" s="1984"/>
      <c r="J77" s="1984"/>
      <c r="K77" s="1989"/>
      <c r="L77" s="1986"/>
      <c r="M77" s="1984"/>
    </row>
    <row r="78" spans="1:13" ht="15.95" customHeight="1" x14ac:dyDescent="0.2">
      <c r="A78" s="2004" t="s">
        <v>2175</v>
      </c>
      <c r="B78" s="2005"/>
      <c r="C78" s="1967"/>
      <c r="D78" s="1965"/>
      <c r="E78" s="2006">
        <f>SUM(E44:E77)</f>
        <v>359627</v>
      </c>
      <c r="F78" s="2006">
        <f>SUM(F44:F77)</f>
        <v>353744</v>
      </c>
      <c r="G78" s="2006">
        <f>SUM(G44:G77)</f>
        <v>359627</v>
      </c>
      <c r="H78" s="2006">
        <f>SUM(H44:H77)</f>
        <v>375988</v>
      </c>
      <c r="I78" s="2006"/>
      <c r="J78" s="2006">
        <f>SUM(J44:J77)</f>
        <v>0</v>
      </c>
      <c r="K78" s="2006"/>
      <c r="L78" s="2006">
        <f>SUM(L44:L77)</f>
        <v>735615</v>
      </c>
      <c r="M78" s="2007"/>
    </row>
    <row r="79" spans="1:13" ht="12.75" x14ac:dyDescent="0.2">
      <c r="A79" s="1967"/>
      <c r="B79" s="1994"/>
      <c r="C79" s="1966"/>
      <c r="D79" s="1965"/>
      <c r="E79" s="1995"/>
      <c r="F79" s="1995"/>
      <c r="G79" s="1995"/>
      <c r="H79" s="1995"/>
      <c r="I79" s="1995"/>
      <c r="J79" s="1995"/>
      <c r="K79" s="2008"/>
      <c r="L79" s="2009"/>
      <c r="M79" s="1995"/>
    </row>
    <row r="80" spans="1:13" ht="12.75" hidden="1" x14ac:dyDescent="0.2">
      <c r="A80" s="2010" t="s">
        <v>2176</v>
      </c>
      <c r="B80" s="1994"/>
      <c r="C80" s="1966"/>
      <c r="D80" s="1965"/>
      <c r="E80" s="1995"/>
      <c r="F80" s="1995"/>
      <c r="G80" s="1995"/>
      <c r="H80" s="1995"/>
      <c r="I80" s="1995"/>
      <c r="J80" s="1995"/>
      <c r="K80" s="2008"/>
      <c r="L80" s="2009"/>
      <c r="M80" s="1995"/>
    </row>
    <row r="81" spans="1:13" ht="12.75" hidden="1" x14ac:dyDescent="0.2">
      <c r="A81" s="2011" t="s">
        <v>2119</v>
      </c>
      <c r="B81" s="1994"/>
      <c r="C81" s="1966"/>
      <c r="D81" s="1965"/>
      <c r="E81" s="1995"/>
      <c r="F81" s="1995"/>
      <c r="G81" s="1995"/>
      <c r="H81" s="1995"/>
      <c r="I81" s="1995"/>
      <c r="J81" s="1995"/>
      <c r="K81" s="2008"/>
      <c r="L81" s="2009"/>
      <c r="M81" s="1995"/>
    </row>
    <row r="82" spans="1:13" ht="12.75" hidden="1" x14ac:dyDescent="0.2">
      <c r="A82" s="2011" t="s">
        <v>2177</v>
      </c>
      <c r="B82" s="1994"/>
      <c r="C82" s="1966"/>
      <c r="D82" s="1965"/>
      <c r="E82" s="1995"/>
      <c r="F82" s="1995"/>
      <c r="G82" s="1995"/>
      <c r="H82" s="1995"/>
      <c r="I82" s="1995"/>
      <c r="J82" s="1995"/>
      <c r="K82" s="2008"/>
      <c r="L82" s="2009"/>
      <c r="M82" s="1995"/>
    </row>
    <row r="83" spans="1:13" ht="12.75" hidden="1" x14ac:dyDescent="0.2">
      <c r="A83" s="1967"/>
      <c r="B83" s="1994"/>
      <c r="C83" s="1966"/>
      <c r="D83" s="1965"/>
      <c r="E83" s="1995"/>
      <c r="F83" s="1995"/>
      <c r="G83" s="1995"/>
      <c r="H83" s="1995"/>
      <c r="I83" s="1995"/>
      <c r="J83" s="1995"/>
      <c r="K83" s="2008"/>
      <c r="L83" s="2009"/>
      <c r="M83" s="1995"/>
    </row>
    <row r="84" spans="1:13" ht="16.5" hidden="1" customHeight="1" x14ac:dyDescent="0.2">
      <c r="A84" s="1993" t="s">
        <v>2178</v>
      </c>
      <c r="B84" s="1994">
        <v>93.778000000000006</v>
      </c>
      <c r="C84" s="1965" t="s">
        <v>2179</v>
      </c>
      <c r="D84" s="1965"/>
      <c r="E84" s="2006">
        <v>0</v>
      </c>
      <c r="F84" s="2006">
        <v>0</v>
      </c>
      <c r="G84" s="2006">
        <v>0</v>
      </c>
      <c r="H84" s="2006">
        <v>0</v>
      </c>
      <c r="I84" s="2007"/>
      <c r="J84" s="2006">
        <v>0</v>
      </c>
      <c r="K84" s="2012"/>
      <c r="L84" s="2006">
        <f>G84+J84+H84</f>
        <v>0</v>
      </c>
      <c r="M84" s="2008"/>
    </row>
    <row r="85" spans="1:13" ht="15" hidden="1" x14ac:dyDescent="0.2">
      <c r="A85" s="2010" t="s">
        <v>2180</v>
      </c>
      <c r="B85" s="1994"/>
      <c r="C85" s="1967"/>
      <c r="D85" s="1965"/>
      <c r="E85" s="2006">
        <f>SUM(E83:E84)</f>
        <v>0</v>
      </c>
      <c r="F85" s="2006">
        <f>SUM(F81:F84)</f>
        <v>0</v>
      </c>
      <c r="G85" s="2006">
        <f>SUM(G84:G84)</f>
        <v>0</v>
      </c>
      <c r="H85" s="2006">
        <f>SUM(H81:H84)</f>
        <v>0</v>
      </c>
      <c r="I85" s="2006"/>
      <c r="J85" s="2006">
        <f>SUM(J81:J83)</f>
        <v>0</v>
      </c>
      <c r="K85" s="2006"/>
      <c r="L85" s="2006">
        <f>SUM(L81:L84)</f>
        <v>0</v>
      </c>
      <c r="M85" s="1995"/>
    </row>
    <row r="86" spans="1:13" ht="12.75" x14ac:dyDescent="0.2">
      <c r="A86" s="1967"/>
      <c r="B86" s="1994"/>
      <c r="C86" s="1966"/>
      <c r="D86" s="1965"/>
      <c r="E86" s="1995"/>
      <c r="F86" s="1995"/>
      <c r="G86" s="1995"/>
      <c r="H86" s="1995"/>
      <c r="I86" s="1995"/>
      <c r="J86" s="1995"/>
      <c r="K86" s="2008"/>
      <c r="L86" s="2009"/>
      <c r="M86" s="1995"/>
    </row>
    <row r="87" spans="1:13" ht="12.75" x14ac:dyDescent="0.2">
      <c r="A87" s="2010" t="s">
        <v>2181</v>
      </c>
      <c r="B87" s="1994"/>
      <c r="C87" s="1966"/>
      <c r="D87" s="1965"/>
      <c r="E87" s="1995"/>
      <c r="F87" s="1995"/>
      <c r="G87" s="1995"/>
      <c r="H87" s="1995"/>
      <c r="I87" s="1995"/>
      <c r="J87" s="1995"/>
      <c r="K87" s="2008"/>
      <c r="L87" s="2009"/>
      <c r="M87" s="1995"/>
    </row>
    <row r="88" spans="1:13" ht="12.75" x14ac:dyDescent="0.2">
      <c r="A88" s="2011" t="s">
        <v>2119</v>
      </c>
      <c r="B88" s="1994"/>
      <c r="C88" s="1966"/>
      <c r="D88" s="1965"/>
      <c r="E88" s="1995"/>
      <c r="F88" s="1995"/>
      <c r="G88" s="1995"/>
      <c r="H88" s="1995"/>
      <c r="I88" s="1995"/>
      <c r="J88" s="1995"/>
      <c r="K88" s="2008"/>
      <c r="L88" s="2009"/>
      <c r="M88" s="1995"/>
    </row>
    <row r="89" spans="1:13" ht="12.75" x14ac:dyDescent="0.2">
      <c r="A89" s="2011" t="s">
        <v>2182</v>
      </c>
      <c r="B89" s="1994"/>
      <c r="C89" s="1966"/>
      <c r="D89" s="1965"/>
      <c r="E89" s="1995"/>
      <c r="F89" s="1995"/>
      <c r="G89" s="1995"/>
      <c r="H89" s="1995"/>
      <c r="I89" s="1995"/>
      <c r="J89" s="1995"/>
      <c r="K89" s="2008"/>
      <c r="L89" s="2009"/>
      <c r="M89" s="1995"/>
    </row>
    <row r="90" spans="1:13" ht="12.75" x14ac:dyDescent="0.2">
      <c r="A90" s="1993" t="s">
        <v>2183</v>
      </c>
      <c r="B90" s="1994">
        <v>93.778000000000006</v>
      </c>
      <c r="C90" s="1965" t="s">
        <v>2184</v>
      </c>
      <c r="D90" s="1965"/>
      <c r="E90" s="2009">
        <v>9250</v>
      </c>
      <c r="F90" s="2009">
        <v>3184</v>
      </c>
      <c r="G90" s="2009">
        <v>12952</v>
      </c>
      <c r="H90" s="2009"/>
      <c r="I90" s="2007"/>
      <c r="J90" s="2009">
        <v>0</v>
      </c>
      <c r="K90" s="2012"/>
      <c r="L90" s="2009">
        <f>G90+J90+H90</f>
        <v>12952</v>
      </c>
      <c r="M90" s="2008" t="s">
        <v>2122</v>
      </c>
    </row>
    <row r="91" spans="1:13" ht="15" x14ac:dyDescent="0.2">
      <c r="A91" s="1993" t="s">
        <v>2183</v>
      </c>
      <c r="B91" s="1994">
        <v>93.778000000000006</v>
      </c>
      <c r="C91" s="1965" t="s">
        <v>2185</v>
      </c>
      <c r="D91" s="1965"/>
      <c r="E91" s="2006">
        <v>0</v>
      </c>
      <c r="F91" s="2006">
        <f>11951-3184</f>
        <v>8767</v>
      </c>
      <c r="G91" s="2006">
        <v>0</v>
      </c>
      <c r="H91" s="2006">
        <v>12451</v>
      </c>
      <c r="I91" s="2007"/>
      <c r="J91" s="2006">
        <v>0</v>
      </c>
      <c r="K91" s="2012"/>
      <c r="L91" s="2006">
        <f>G91+J91+H91</f>
        <v>12451</v>
      </c>
      <c r="M91" s="2008" t="s">
        <v>2122</v>
      </c>
    </row>
    <row r="92" spans="1:13" ht="12.75" x14ac:dyDescent="0.2">
      <c r="A92" s="2011"/>
      <c r="B92" s="1994"/>
      <c r="C92" s="1966"/>
      <c r="D92" s="1965"/>
      <c r="E92" s="1995"/>
      <c r="F92" s="1995"/>
      <c r="G92" s="1995"/>
      <c r="H92" s="1995"/>
      <c r="I92" s="1995"/>
      <c r="J92" s="1995">
        <v>0</v>
      </c>
      <c r="K92" s="2008"/>
      <c r="L92" s="2009"/>
      <c r="M92" s="1995"/>
    </row>
    <row r="93" spans="1:13" ht="18" customHeight="1" x14ac:dyDescent="0.2">
      <c r="A93" s="2010" t="s">
        <v>2186</v>
      </c>
      <c r="B93" s="1994"/>
      <c r="C93" s="1967"/>
      <c r="D93" s="1965"/>
      <c r="E93" s="2006">
        <f>SUM(E90:E92)</f>
        <v>9250</v>
      </c>
      <c r="F93" s="2006">
        <f>SUM(F90:F92)</f>
        <v>11951</v>
      </c>
      <c r="G93" s="2006">
        <f>SUM(G90:G92)</f>
        <v>12952</v>
      </c>
      <c r="H93" s="2006">
        <f>SUM(H90:H92)</f>
        <v>12451</v>
      </c>
      <c r="I93" s="2006"/>
      <c r="J93" s="2006">
        <f>SUM(J88:J92)</f>
        <v>0</v>
      </c>
      <c r="K93" s="2006"/>
      <c r="L93" s="2006">
        <f>SUM(L90:L92)</f>
        <v>25403</v>
      </c>
      <c r="M93" s="1995"/>
    </row>
    <row r="94" spans="1:13" ht="12.75" x14ac:dyDescent="0.2">
      <c r="A94" s="1958"/>
      <c r="B94" s="1958"/>
      <c r="C94" s="1958"/>
      <c r="D94" s="1969"/>
      <c r="E94" s="1984"/>
      <c r="F94" s="1984"/>
      <c r="G94" s="1984"/>
      <c r="H94" s="1984"/>
      <c r="I94" s="1984"/>
      <c r="J94" s="1984"/>
      <c r="K94" s="1989"/>
      <c r="L94" s="1984"/>
      <c r="M94" s="1984"/>
    </row>
    <row r="95" spans="1:13" ht="15.95" customHeight="1" x14ac:dyDescent="0.2">
      <c r="A95" s="2010" t="s">
        <v>2187</v>
      </c>
      <c r="B95" s="1967"/>
      <c r="C95" s="1967"/>
      <c r="D95" s="1965"/>
      <c r="E95" s="2013">
        <f>+E93+E78+E38</f>
        <v>671765</v>
      </c>
      <c r="F95" s="2013">
        <f>+F93+F78+F38</f>
        <v>776941.16</v>
      </c>
      <c r="G95" s="2013">
        <f>+G93+G78+G38</f>
        <v>716234</v>
      </c>
      <c r="H95" s="2013">
        <f>+H93+H78+H38</f>
        <v>829825</v>
      </c>
      <c r="I95" s="2013"/>
      <c r="J95" s="2013">
        <f>+J93+J78+J38</f>
        <v>0</v>
      </c>
      <c r="K95" s="2013"/>
      <c r="L95" s="2013">
        <f>+L93+L78+L38</f>
        <v>1546059</v>
      </c>
      <c r="M95" s="1995"/>
    </row>
    <row r="96" spans="1:13" s="1967" customFormat="1" ht="15" x14ac:dyDescent="0.35">
      <c r="A96" s="1958"/>
      <c r="B96" s="1958"/>
      <c r="C96" s="1958"/>
      <c r="D96" s="1969"/>
      <c r="E96" s="2014"/>
      <c r="F96" s="2014"/>
      <c r="G96" s="2014"/>
      <c r="H96" s="2014"/>
      <c r="I96" s="2014"/>
      <c r="J96" s="2014"/>
      <c r="K96" s="2014"/>
      <c r="L96" s="2014"/>
      <c r="M96" s="1984"/>
    </row>
    <row r="97" spans="1:13" ht="15" hidden="1" x14ac:dyDescent="0.35">
      <c r="A97" s="1958"/>
      <c r="B97" s="1958"/>
      <c r="C97" s="1958"/>
      <c r="D97" s="1969"/>
      <c r="E97" s="2014"/>
      <c r="F97" s="2014"/>
      <c r="G97" s="2014"/>
      <c r="H97" s="2014"/>
      <c r="I97" s="2014"/>
      <c r="J97" s="2014"/>
      <c r="K97" s="2014"/>
      <c r="L97" s="2014"/>
      <c r="M97" s="1984"/>
    </row>
    <row r="98" spans="1:13" ht="15" x14ac:dyDescent="0.35">
      <c r="A98" s="1958"/>
      <c r="B98" s="1958"/>
      <c r="C98" s="1958"/>
      <c r="D98" s="1969"/>
      <c r="E98" s="2014"/>
      <c r="F98" s="2014"/>
      <c r="G98" s="2014"/>
      <c r="H98" s="2014"/>
      <c r="I98" s="2014"/>
      <c r="J98" s="2014"/>
      <c r="K98" s="2014"/>
      <c r="L98" s="2014"/>
      <c r="M98" s="1984"/>
    </row>
    <row r="99" spans="1:13" ht="12.75" x14ac:dyDescent="0.2">
      <c r="A99" s="1979" t="s">
        <v>2188</v>
      </c>
      <c r="B99" s="1958"/>
      <c r="C99" s="1958"/>
      <c r="D99" s="1969"/>
      <c r="E99" s="1984">
        <f>+E60+E59+E57+E56+E54+E53+E47+E45+E44+E38</f>
        <v>503443</v>
      </c>
      <c r="F99" s="1984">
        <f>F60+F59+F57+F56+F54+F53+F47+F45+F44+F38</f>
        <v>595998.16</v>
      </c>
      <c r="G99" s="1984">
        <f>+G60+G59+G57+G56+G54+G53+G47+G45+G44+G38</f>
        <v>544210</v>
      </c>
      <c r="H99" s="1984">
        <f>+H60+H59+H57+H56+H54+H53+H47+H45+H44+H38</f>
        <v>648382</v>
      </c>
      <c r="I99" s="1984">
        <f>+I60+I59+I56+I53+I47+I45+I44+I38</f>
        <v>0</v>
      </c>
      <c r="J99" s="1984">
        <f>+J60+J59+J57+J56+J54+J53+J47+J45+J44+J38</f>
        <v>0</v>
      </c>
      <c r="K99" s="1984"/>
      <c r="L99" s="1984">
        <f>+L60+L59+L57+L56+L54+L53+L47+L45+L44+L38</f>
        <v>1192592</v>
      </c>
      <c r="M99" s="1984"/>
    </row>
    <row r="100" spans="1:13" ht="12.75" x14ac:dyDescent="0.2">
      <c r="A100" s="1979"/>
      <c r="B100" s="1958"/>
      <c r="C100" s="1958"/>
      <c r="D100" s="1969"/>
      <c r="E100" s="1984"/>
      <c r="F100" s="1984"/>
      <c r="G100" s="1984"/>
      <c r="H100" s="1984"/>
      <c r="I100" s="1984"/>
      <c r="J100" s="1984"/>
      <c r="K100" s="1984"/>
      <c r="L100" s="1984"/>
      <c r="M100" s="1984"/>
    </row>
    <row r="101" spans="1:13" ht="15" x14ac:dyDescent="0.35">
      <c r="A101" s="1979" t="s">
        <v>2189</v>
      </c>
      <c r="B101" s="1958"/>
      <c r="C101" s="1958"/>
      <c r="D101" s="1969"/>
      <c r="E101" s="1998">
        <f>+E93+E74+E68</f>
        <v>168322</v>
      </c>
      <c r="F101" s="1998">
        <f>+F93+F74+F75+F68+F69</f>
        <v>180943</v>
      </c>
      <c r="G101" s="1998">
        <f>+G93+G74+G68</f>
        <v>172024</v>
      </c>
      <c r="H101" s="1998">
        <f>+H93+H74+H75+H68+H69</f>
        <v>181443</v>
      </c>
      <c r="I101" s="1998">
        <f>+I93</f>
        <v>0</v>
      </c>
      <c r="J101" s="1998">
        <f>+J93+J74</f>
        <v>0</v>
      </c>
      <c r="K101" s="1998"/>
      <c r="L101" s="1998">
        <f>+G101+H101+J101</f>
        <v>353467</v>
      </c>
      <c r="M101" s="1984"/>
    </row>
    <row r="102" spans="1:13" ht="15" x14ac:dyDescent="0.35">
      <c r="A102" s="1979"/>
      <c r="B102" s="1958"/>
      <c r="C102" s="1958"/>
      <c r="D102" s="1969"/>
      <c r="E102" s="1998"/>
      <c r="F102" s="1998"/>
      <c r="G102" s="1998"/>
      <c r="H102" s="1998"/>
      <c r="I102" s="1998"/>
      <c r="J102" s="1998"/>
      <c r="K102" s="1998"/>
      <c r="L102" s="1998"/>
      <c r="M102" s="1984"/>
    </row>
    <row r="103" spans="1:13" ht="15" x14ac:dyDescent="0.35">
      <c r="A103" s="1979" t="s">
        <v>2187</v>
      </c>
      <c r="B103" s="1958"/>
      <c r="C103" s="1958"/>
      <c r="D103" s="1969"/>
      <c r="E103" s="2014">
        <f>E99+E101</f>
        <v>671765</v>
      </c>
      <c r="F103" s="2014">
        <f>F99+F101</f>
        <v>776941.16</v>
      </c>
      <c r="G103" s="2014">
        <f>G99+G101</f>
        <v>716234</v>
      </c>
      <c r="H103" s="2014">
        <f>H99+H101</f>
        <v>829825</v>
      </c>
      <c r="I103" s="2014"/>
      <c r="J103" s="2014">
        <f>J99+J101</f>
        <v>0</v>
      </c>
      <c r="K103" s="2014"/>
      <c r="L103" s="2014">
        <f>L99+L101</f>
        <v>1546059</v>
      </c>
      <c r="M103" s="1984"/>
    </row>
    <row r="104" spans="1:13" ht="9.75" customHeight="1" x14ac:dyDescent="0.35">
      <c r="A104" s="1979"/>
      <c r="B104" s="1958"/>
      <c r="C104" s="1958"/>
      <c r="D104" s="1969"/>
      <c r="E104" s="2014"/>
      <c r="F104" s="2014"/>
      <c r="G104" s="2014"/>
      <c r="H104" s="2014"/>
      <c r="I104" s="2014"/>
      <c r="J104" s="2014"/>
      <c r="K104" s="2014"/>
      <c r="L104" s="2014"/>
      <c r="M104" s="1984"/>
    </row>
    <row r="105" spans="1:13" ht="12.75" x14ac:dyDescent="0.2">
      <c r="A105" s="2015" t="s">
        <v>2190</v>
      </c>
      <c r="B105" s="2016"/>
      <c r="C105" s="1958"/>
      <c r="D105" s="1969"/>
      <c r="E105" s="1984"/>
      <c r="F105" s="1984"/>
      <c r="G105" s="1984"/>
      <c r="H105" s="2017"/>
      <c r="I105" s="1984"/>
      <c r="J105" s="1984"/>
      <c r="K105" s="1989"/>
      <c r="L105" s="1984"/>
      <c r="M105" s="1984"/>
    </row>
    <row r="106" spans="1:13" ht="12.75" x14ac:dyDescent="0.2">
      <c r="A106" s="2018" t="s">
        <v>2191</v>
      </c>
      <c r="B106" s="1958"/>
      <c r="C106" s="1958"/>
      <c r="D106" s="1969"/>
      <c r="E106" s="1984"/>
      <c r="F106" s="1984"/>
      <c r="G106" s="1984"/>
      <c r="H106" s="2019"/>
      <c r="I106" s="1984"/>
      <c r="J106" s="1984"/>
      <c r="K106" s="1989"/>
      <c r="L106" s="1984"/>
      <c r="M106" s="1984"/>
    </row>
    <row r="107" spans="1:13" ht="12.75" x14ac:dyDescent="0.2">
      <c r="A107" s="1968" t="s">
        <v>2192</v>
      </c>
      <c r="B107" s="1956"/>
      <c r="C107" s="1956"/>
      <c r="D107" s="2020"/>
      <c r="E107" s="2021"/>
      <c r="F107" s="2021"/>
      <c r="G107" s="2021" t="s">
        <v>1231</v>
      </c>
      <c r="H107" s="2021" t="s">
        <v>1231</v>
      </c>
      <c r="I107" s="2022"/>
      <c r="J107" s="2021" t="s">
        <v>1231</v>
      </c>
      <c r="K107" s="2023"/>
      <c r="L107" s="2021" t="s">
        <v>1231</v>
      </c>
      <c r="M107" s="2021" t="s">
        <v>1231</v>
      </c>
    </row>
    <row r="108" spans="1:13" ht="12.75" x14ac:dyDescent="0.2">
      <c r="A108" s="1964" t="s">
        <v>2193</v>
      </c>
      <c r="B108" s="2024"/>
      <c r="E108" s="2025"/>
      <c r="F108" s="2025"/>
      <c r="G108" s="2025"/>
      <c r="H108" s="2025"/>
      <c r="I108" s="2025"/>
      <c r="J108" s="2025"/>
      <c r="K108" s="2026"/>
      <c r="L108" s="2025"/>
      <c r="M108" s="2025"/>
    </row>
    <row r="109" spans="1:13" s="2029" customFormat="1" ht="13.5" customHeight="1" x14ac:dyDescent="0.2">
      <c r="A109" s="2027" t="s">
        <v>2194</v>
      </c>
      <c r="B109" s="2028"/>
      <c r="C109" s="2028"/>
      <c r="D109" s="2028"/>
      <c r="E109" s="2028"/>
      <c r="F109" s="2028"/>
      <c r="G109" s="2028"/>
      <c r="H109" s="2028"/>
    </row>
    <row r="110" spans="1:13" s="2029" customFormat="1" ht="13.5" customHeight="1" x14ac:dyDescent="0.2">
      <c r="A110" s="2030" t="s">
        <v>2195</v>
      </c>
      <c r="B110" s="2031"/>
      <c r="C110" s="2031"/>
      <c r="D110" s="2031"/>
      <c r="E110" s="2031"/>
      <c r="F110" s="2031"/>
      <c r="G110" s="2031"/>
      <c r="H110" s="2031"/>
    </row>
    <row r="111" spans="1:13" s="2029" customFormat="1" ht="13.5" customHeight="1" x14ac:dyDescent="0.2">
      <c r="A111" s="2027" t="s">
        <v>2196</v>
      </c>
      <c r="B111" s="2028"/>
      <c r="C111" s="2028"/>
      <c r="D111" s="2028"/>
      <c r="E111" s="2028"/>
      <c r="F111" s="2028"/>
      <c r="G111" s="2028"/>
      <c r="H111" s="2028"/>
    </row>
    <row r="112" spans="1:13" s="2029" customFormat="1" ht="13.5" customHeight="1" x14ac:dyDescent="0.2">
      <c r="A112" s="2030" t="s">
        <v>2197</v>
      </c>
      <c r="B112" s="2032"/>
      <c r="C112" s="2032"/>
      <c r="D112" s="2032"/>
      <c r="E112" s="2032"/>
      <c r="F112" s="2032"/>
      <c r="G112" s="2032"/>
      <c r="H112" s="2032"/>
    </row>
    <row r="113" spans="1:6" s="2029" customFormat="1" ht="13.5" customHeight="1" x14ac:dyDescent="0.2">
      <c r="A113" s="2027" t="s">
        <v>2198</v>
      </c>
      <c r="B113" s="2033"/>
      <c r="C113" s="2034"/>
      <c r="D113" s="2034"/>
      <c r="E113" s="2034"/>
      <c r="F113" s="2034"/>
    </row>
    <row r="114" spans="1:6" s="2029" customFormat="1" ht="13.5" customHeight="1" x14ac:dyDescent="0.2">
      <c r="A114" s="2027" t="s">
        <v>2199</v>
      </c>
      <c r="B114" s="2033"/>
      <c r="C114" s="2034"/>
      <c r="D114" s="2034"/>
      <c r="E114" s="2034"/>
      <c r="F114" s="2034"/>
    </row>
    <row r="115" spans="1:6" s="2029" customFormat="1" ht="12" customHeight="1" x14ac:dyDescent="0.2">
      <c r="A115" s="2034" t="s">
        <v>2200</v>
      </c>
      <c r="B115" s="2035"/>
    </row>
    <row r="116" spans="1:6" s="2029" customFormat="1" ht="12" customHeight="1" x14ac:dyDescent="0.2">
      <c r="A116" s="2034" t="s">
        <v>2201</v>
      </c>
      <c r="B116" s="2035"/>
    </row>
    <row r="117" spans="1:6" s="2029" customFormat="1" ht="12" customHeight="1" x14ac:dyDescent="0.2">
      <c r="A117" s="2034" t="s">
        <v>2202</v>
      </c>
      <c r="B117" s="2035"/>
    </row>
    <row r="118" spans="1:6" s="2038" customFormat="1" ht="13.5" customHeight="1" x14ac:dyDescent="0.15">
      <c r="A118" s="2036"/>
      <c r="B118" s="2037"/>
      <c r="D118" s="2039"/>
      <c r="E118" s="2039"/>
      <c r="F118" s="2039"/>
    </row>
  </sheetData>
  <mergeCells count="6">
    <mergeCell ref="A4:M4"/>
    <mergeCell ref="E7:F7"/>
    <mergeCell ref="G7:H7"/>
    <mergeCell ref="A1:M1"/>
    <mergeCell ref="A2:M2"/>
    <mergeCell ref="A3:M3"/>
  </mergeCells>
  <printOptions gridLinesSet="0"/>
  <pageMargins left="0.45" right="0.25" top="0.51" bottom="0" header="0.5" footer="0"/>
  <pageSetup scale="76" fitToHeight="0" orientation="landscape" horizontalDpi="1200" verticalDpi="1200" r:id="rId1"/>
  <headerFooter alignWithMargins="0">
    <oddFooter>&amp;L&amp;"Garamond,Regular"&amp;11See Notes to the Schedule of Federal Awards</oddFooter>
  </headerFooter>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62" t="str">
        <f>'Single Audit Cover'!A7</f>
        <v>Silvis GSD 34</v>
      </c>
      <c r="C1" s="2563"/>
      <c r="D1" s="2563"/>
      <c r="E1" s="2563"/>
      <c r="F1" s="2563"/>
      <c r="G1" s="2563"/>
      <c r="H1" s="2563"/>
      <c r="I1" s="2563"/>
      <c r="J1" s="1420"/>
    </row>
    <row r="2" spans="2:10" s="317" customFormat="1" ht="12.75" customHeight="1" x14ac:dyDescent="0.2">
      <c r="B2" s="2564">
        <f>'Single Audit Cover'!E7</f>
        <v>49081034002</v>
      </c>
      <c r="C2" s="2565"/>
      <c r="D2" s="2565"/>
      <c r="E2" s="2565"/>
      <c r="F2" s="2565"/>
      <c r="G2" s="2565"/>
      <c r="H2" s="2565"/>
      <c r="I2" s="2565"/>
      <c r="J2" s="1420"/>
    </row>
    <row r="3" spans="2:10" s="317" customFormat="1" ht="12.75" customHeight="1" x14ac:dyDescent="0.2">
      <c r="B3" s="2566" t="s">
        <v>1347</v>
      </c>
      <c r="C3" s="2567"/>
      <c r="D3" s="2567"/>
      <c r="E3" s="2567"/>
      <c r="F3" s="2567"/>
      <c r="G3" s="2567"/>
      <c r="H3" s="2567"/>
      <c r="I3" s="2567"/>
      <c r="J3" s="1421"/>
    </row>
    <row r="4" spans="2:10" s="317" customFormat="1" ht="12.75" customHeight="1" x14ac:dyDescent="0.2">
      <c r="B4" s="2566" t="str">
        <f>'Single Audit Cover'!A4</f>
        <v>Year Ending June 30, 2018</v>
      </c>
      <c r="C4" s="2567"/>
      <c r="D4" s="2567"/>
      <c r="E4" s="2567"/>
      <c r="F4" s="2567"/>
      <c r="G4" s="2567"/>
      <c r="H4" s="2567"/>
      <c r="I4" s="2567"/>
    </row>
    <row r="5" spans="2:10" s="317" customFormat="1" ht="6.4" customHeight="1" x14ac:dyDescent="0.2">
      <c r="B5" s="1422" t="s">
        <v>1231</v>
      </c>
      <c r="C5" s="1292"/>
      <c r="D5" s="1292"/>
      <c r="E5" s="1381"/>
      <c r="F5" s="322"/>
      <c r="G5" s="322"/>
      <c r="H5" s="322"/>
      <c r="I5" s="322"/>
    </row>
    <row r="6" spans="2:10" s="317" customFormat="1" ht="6.4" customHeight="1" x14ac:dyDescent="0.2">
      <c r="B6" s="1423"/>
      <c r="C6" s="1377"/>
      <c r="D6" s="1377"/>
      <c r="E6" s="1378"/>
      <c r="F6" s="1377"/>
      <c r="G6" s="1377"/>
      <c r="H6" s="1377"/>
      <c r="I6" s="1377"/>
    </row>
    <row r="7" spans="2:10" s="317" customFormat="1" ht="13.5" customHeight="1" x14ac:dyDescent="0.2">
      <c r="B7" s="2566" t="s">
        <v>1346</v>
      </c>
      <c r="C7" s="2567"/>
      <c r="D7" s="2567"/>
      <c r="E7" s="2567"/>
      <c r="F7" s="2567"/>
      <c r="G7" s="2567"/>
      <c r="H7" s="2567"/>
      <c r="I7" s="2567"/>
    </row>
    <row r="8" spans="2:10" s="317" customFormat="1" ht="6.4" customHeight="1" x14ac:dyDescent="0.2">
      <c r="B8" s="1424" t="s">
        <v>1231</v>
      </c>
      <c r="C8" s="1425"/>
      <c r="D8" s="1425"/>
      <c r="E8" s="1426"/>
      <c r="F8" s="1425"/>
      <c r="G8" s="1425"/>
      <c r="H8" s="1425"/>
      <c r="I8" s="1425"/>
    </row>
    <row r="9" spans="2:10" s="317" customFormat="1" ht="9.1999999999999993"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568" t="s">
        <v>1226</v>
      </c>
      <c r="D11" s="2568"/>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t="s">
        <v>2074</v>
      </c>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t="s">
        <v>2074</v>
      </c>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t="s">
        <v>2074</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t="s">
        <v>2074</v>
      </c>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t="s">
        <v>2074</v>
      </c>
      <c r="H27" s="1298" t="s">
        <v>1338</v>
      </c>
      <c r="I27" s="1298"/>
    </row>
    <row r="28" spans="2:9" s="317" customFormat="1" ht="12.75" customHeight="1" x14ac:dyDescent="0.2">
      <c r="B28" s="1366"/>
      <c r="C28" s="1280"/>
      <c r="E28" s="1256"/>
    </row>
    <row r="29" spans="2:9" s="317" customFormat="1" ht="12.75" customHeight="1" x14ac:dyDescent="0.2">
      <c r="B29" s="1366" t="s">
        <v>1337</v>
      </c>
      <c r="C29" s="1280"/>
      <c r="D29" s="2569" t="s">
        <v>2207</v>
      </c>
      <c r="E29" s="2569"/>
      <c r="F29" s="2569"/>
      <c r="G29" s="2569"/>
      <c r="H29" s="2569"/>
      <c r="I29" s="2569"/>
    </row>
    <row r="30" spans="2:9" s="317" customFormat="1" x14ac:dyDescent="0.2">
      <c r="B30" s="1366"/>
      <c r="C30" s="322"/>
      <c r="D30" s="1431" t="s">
        <v>1849</v>
      </c>
      <c r="E30" s="1432"/>
      <c r="F30" s="1432"/>
      <c r="G30" s="1432"/>
      <c r="H30" s="1432"/>
      <c r="I30" s="1432"/>
    </row>
    <row r="31" spans="2:9" s="317" customFormat="1" ht="10.15"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t="s">
        <v>2074</v>
      </c>
      <c r="H33" s="1298" t="s">
        <v>101</v>
      </c>
    </row>
    <row r="35" spans="2:9" x14ac:dyDescent="0.2">
      <c r="B35" s="1439" t="s">
        <v>1850</v>
      </c>
      <c r="C35" s="1440"/>
      <c r="D35" s="1265"/>
    </row>
    <row r="36" spans="2:9" ht="6" customHeight="1" x14ac:dyDescent="0.2">
      <c r="B36" s="1439"/>
      <c r="C36" s="1440"/>
      <c r="D36" s="1265"/>
    </row>
    <row r="37" spans="2:9" ht="17.25" customHeight="1" x14ac:dyDescent="0.2">
      <c r="B37" s="1441" t="s">
        <v>1851</v>
      </c>
      <c r="C37" s="2570" t="s">
        <v>1852</v>
      </c>
      <c r="D37" s="2571"/>
      <c r="E37" s="2571"/>
      <c r="F37" s="2572"/>
      <c r="G37" s="2570" t="s">
        <v>1674</v>
      </c>
      <c r="H37" s="2571"/>
      <c r="I37" s="2572"/>
    </row>
    <row r="38" spans="2:9" ht="16.5" customHeight="1" x14ac:dyDescent="0.2">
      <c r="B38" s="1442" t="s">
        <v>2208</v>
      </c>
      <c r="C38" s="2558" t="s">
        <v>2209</v>
      </c>
      <c r="D38" s="2559"/>
      <c r="E38" s="2559"/>
      <c r="F38" s="2560"/>
      <c r="G38" s="2573">
        <v>441386</v>
      </c>
      <c r="H38" s="2574"/>
      <c r="I38" s="2575"/>
    </row>
    <row r="39" spans="2:9" ht="16.5" hidden="1" customHeight="1" x14ac:dyDescent="0.2">
      <c r="B39" s="1442"/>
      <c r="C39" s="2558"/>
      <c r="D39" s="2559"/>
      <c r="E39" s="2559"/>
      <c r="F39" s="2560"/>
      <c r="G39" s="2561"/>
      <c r="H39" s="2561"/>
      <c r="I39" s="2561"/>
    </row>
    <row r="40" spans="2:9" ht="16.5" hidden="1" customHeight="1" x14ac:dyDescent="0.2">
      <c r="B40" s="1442"/>
      <c r="C40" s="2558"/>
      <c r="D40" s="2559"/>
      <c r="E40" s="2559"/>
      <c r="F40" s="2560"/>
      <c r="G40" s="2561"/>
      <c r="H40" s="2561"/>
      <c r="I40" s="2561"/>
    </row>
    <row r="41" spans="2:9" ht="16.5" hidden="1" customHeight="1" x14ac:dyDescent="0.2">
      <c r="B41" s="1442"/>
      <c r="C41" s="2558"/>
      <c r="D41" s="2559"/>
      <c r="E41" s="2559"/>
      <c r="F41" s="2560"/>
      <c r="G41" s="2561"/>
      <c r="H41" s="2561"/>
      <c r="I41" s="2561"/>
    </row>
    <row r="42" spans="2:9" ht="16.5" hidden="1" customHeight="1" x14ac:dyDescent="0.2">
      <c r="B42" s="1442"/>
      <c r="C42" s="2558"/>
      <c r="D42" s="2559"/>
      <c r="E42" s="2559"/>
      <c r="F42" s="2560"/>
      <c r="G42" s="2561"/>
      <c r="H42" s="2561"/>
      <c r="I42" s="2561"/>
    </row>
    <row r="43" spans="2:9" ht="16.5" customHeight="1" x14ac:dyDescent="0.2">
      <c r="B43" s="1442"/>
      <c r="C43" s="2576" t="s">
        <v>1675</v>
      </c>
      <c r="D43" s="2577"/>
      <c r="E43" s="2577"/>
      <c r="F43" s="2578"/>
      <c r="G43" s="2579">
        <f>SUM(G38:I42)</f>
        <v>441386</v>
      </c>
      <c r="H43" s="2579"/>
      <c r="I43" s="2579"/>
    </row>
    <row r="44" spans="2:9" ht="12.75" customHeight="1" x14ac:dyDescent="0.2"/>
    <row r="45" spans="2:9" ht="12.75" customHeight="1" x14ac:dyDescent="0.2">
      <c r="B45" s="1433" t="s">
        <v>1950</v>
      </c>
      <c r="D45" s="2580">
        <v>829825</v>
      </c>
      <c r="E45" s="2581"/>
    </row>
    <row r="46" spans="2:9" ht="5.45" customHeight="1" x14ac:dyDescent="0.2">
      <c r="B46" s="1443"/>
      <c r="D46" s="1444"/>
      <c r="E46" s="1445"/>
    </row>
    <row r="47" spans="2:9" ht="12.75" customHeight="1" x14ac:dyDescent="0.2">
      <c r="B47" s="1298" t="s">
        <v>1676</v>
      </c>
      <c r="C47" s="1298"/>
      <c r="D47" s="1446">
        <f>+G43/D45</f>
        <v>0.53190250956526974</v>
      </c>
      <c r="E47" s="1447"/>
      <c r="F47" s="1448"/>
      <c r="I47" s="1449"/>
    </row>
    <row r="48" spans="2:9" ht="10.15" customHeight="1" x14ac:dyDescent="0.2"/>
    <row r="49" spans="1:9" x14ac:dyDescent="0.2">
      <c r="B49" s="1366" t="s">
        <v>1335</v>
      </c>
      <c r="C49" s="1280"/>
      <c r="D49" s="1280"/>
      <c r="E49" s="2582">
        <v>750000</v>
      </c>
      <c r="F49" s="2582"/>
      <c r="G49" s="2582"/>
      <c r="H49" s="322"/>
    </row>
    <row r="51" spans="1:9" ht="13.5" customHeight="1" x14ac:dyDescent="0.2">
      <c r="B51" s="1366" t="s">
        <v>1334</v>
      </c>
      <c r="C51" s="1280"/>
      <c r="E51" s="1436"/>
      <c r="F51" s="1298" t="s">
        <v>940</v>
      </c>
      <c r="G51" s="1436" t="s">
        <v>2074</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1853</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1854</v>
      </c>
      <c r="C58" s="1462"/>
      <c r="D58" s="1462"/>
    </row>
    <row r="59" spans="1:9" s="1459" customFormat="1" ht="3.95" customHeight="1" x14ac:dyDescent="0.2">
      <c r="A59" s="1456"/>
      <c r="B59" s="1461"/>
      <c r="C59" s="1462"/>
      <c r="D59" s="1462"/>
    </row>
    <row r="60" spans="1:9" s="1459" customFormat="1" ht="13.5" customHeight="1" x14ac:dyDescent="0.2">
      <c r="A60" s="1456"/>
      <c r="B60" s="1461" t="s">
        <v>1855</v>
      </c>
      <c r="C60" s="1462"/>
      <c r="D60" s="1462"/>
    </row>
    <row r="61" spans="1:9" s="1459" customFormat="1" ht="3.95" customHeight="1" x14ac:dyDescent="0.2">
      <c r="A61" s="1456"/>
      <c r="B61" s="1461"/>
      <c r="C61" s="1462"/>
      <c r="D61" s="1462"/>
    </row>
    <row r="62" spans="1:9" s="1459" customFormat="1" ht="12.75" customHeight="1" x14ac:dyDescent="0.2">
      <c r="A62" s="1456"/>
      <c r="B62" s="1461" t="s">
        <v>1856</v>
      </c>
      <c r="C62" s="1462"/>
      <c r="D62" s="1462"/>
    </row>
    <row r="63" spans="1:9" s="1459" customFormat="1" ht="13.5" customHeight="1" x14ac:dyDescent="0.2">
      <c r="A63" s="1456"/>
      <c r="B63" s="1460" t="s">
        <v>1679</v>
      </c>
      <c r="C63" s="1456"/>
      <c r="D63" s="145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fitToHeight="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62" t="str">
        <f>'Single Audit Cover'!A7</f>
        <v>Silvis GSD 34</v>
      </c>
      <c r="C1" s="2562"/>
      <c r="D1" s="2562"/>
      <c r="E1" s="2562"/>
      <c r="F1" s="2562"/>
      <c r="G1" s="2562"/>
      <c r="H1" s="2562"/>
      <c r="I1" s="2562"/>
      <c r="J1" s="2562"/>
      <c r="K1" s="2562"/>
      <c r="L1" s="1372"/>
      <c r="M1" s="1372"/>
    </row>
    <row r="2" spans="1:13" ht="12" customHeight="1" x14ac:dyDescent="0.2">
      <c r="B2" s="2564">
        <f>'Single Audit Cover'!E7</f>
        <v>49081034002</v>
      </c>
      <c r="C2" s="2564"/>
      <c r="D2" s="2564"/>
      <c r="E2" s="2564"/>
      <c r="F2" s="2564"/>
      <c r="G2" s="2564"/>
      <c r="H2" s="2564"/>
      <c r="I2" s="2564"/>
      <c r="J2" s="2564"/>
      <c r="K2" s="2564"/>
      <c r="L2" s="1373"/>
      <c r="M2" s="1374"/>
    </row>
    <row r="3" spans="1:13" ht="10.35" customHeight="1" x14ac:dyDescent="0.2">
      <c r="B3" s="2585" t="s">
        <v>1347</v>
      </c>
      <c r="C3" s="2585"/>
      <c r="D3" s="2585"/>
      <c r="E3" s="2585"/>
      <c r="F3" s="2585"/>
      <c r="G3" s="2585"/>
      <c r="H3" s="2585"/>
      <c r="I3" s="2585"/>
      <c r="J3" s="2585"/>
      <c r="K3" s="2585"/>
      <c r="L3" s="1375"/>
      <c r="M3" s="1375"/>
    </row>
    <row r="4" spans="1:13" ht="14.25" customHeight="1" x14ac:dyDescent="0.2">
      <c r="B4" s="2586" t="str">
        <f>'Single Audit Cover'!A4</f>
        <v>Year Ending June 30, 2018</v>
      </c>
      <c r="C4" s="2586"/>
      <c r="D4" s="2586"/>
      <c r="E4" s="2586"/>
      <c r="F4" s="2586"/>
      <c r="G4" s="2586"/>
      <c r="H4" s="2586"/>
      <c r="I4" s="2586"/>
      <c r="J4" s="2586"/>
      <c r="K4" s="258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86" t="s">
        <v>1363</v>
      </c>
      <c r="C7" s="2586"/>
      <c r="D7" s="2587"/>
      <c r="E7" s="2587"/>
      <c r="F7" s="2587"/>
      <c r="G7" s="2587"/>
      <c r="H7" s="2587"/>
      <c r="I7" s="2587"/>
      <c r="J7" s="2587"/>
      <c r="K7" s="258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1843</v>
      </c>
      <c r="C10" s="1383"/>
      <c r="D10" s="1384" t="s">
        <v>2204</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84"/>
      <c r="C14" s="2584"/>
      <c r="D14" s="2584"/>
      <c r="E14" s="2584"/>
      <c r="F14" s="2584"/>
      <c r="G14" s="2584"/>
      <c r="H14" s="2584"/>
      <c r="I14" s="2584"/>
      <c r="J14" s="2584"/>
      <c r="K14" s="258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84"/>
      <c r="C17" s="2584"/>
      <c r="D17" s="2584"/>
      <c r="E17" s="2584"/>
      <c r="F17" s="2584"/>
      <c r="G17" s="2584"/>
      <c r="H17" s="2584"/>
      <c r="I17" s="2584"/>
      <c r="J17" s="2584"/>
      <c r="K17" s="2584"/>
      <c r="L17" s="1379"/>
    </row>
    <row r="18" spans="2:12" ht="4.5" customHeight="1" x14ac:dyDescent="0.2">
      <c r="B18" s="1396"/>
      <c r="C18" s="1396"/>
      <c r="L18" s="1379"/>
    </row>
    <row r="19" spans="2:12" s="1280" customFormat="1" ht="13.5" customHeight="1" x14ac:dyDescent="0.2">
      <c r="B19" s="1391" t="s">
        <v>1844</v>
      </c>
      <c r="C19" s="1391"/>
      <c r="D19" s="1392"/>
      <c r="E19" s="1392"/>
      <c r="F19" s="1392"/>
      <c r="G19" s="1393"/>
      <c r="H19" s="1392"/>
      <c r="I19" s="1393"/>
      <c r="J19" s="1392"/>
      <c r="K19" s="1392"/>
      <c r="L19" s="1394"/>
    </row>
    <row r="20" spans="2:12" ht="45.75" customHeight="1" x14ac:dyDescent="0.2">
      <c r="B20" s="2588"/>
      <c r="C20" s="2588"/>
      <c r="D20" s="2584"/>
      <c r="E20" s="2584"/>
      <c r="F20" s="2584"/>
      <c r="G20" s="2584"/>
      <c r="H20" s="2584"/>
      <c r="I20" s="2584"/>
      <c r="J20" s="2584"/>
      <c r="K20" s="258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2" customHeight="1" x14ac:dyDescent="0.2">
      <c r="B23" s="2584"/>
      <c r="C23" s="2584"/>
      <c r="D23" s="2584"/>
      <c r="E23" s="2584"/>
      <c r="F23" s="2584"/>
      <c r="G23" s="2584"/>
      <c r="H23" s="2584"/>
      <c r="I23" s="2584"/>
      <c r="J23" s="2584"/>
      <c r="K23" s="258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84"/>
      <c r="C26" s="2584"/>
      <c r="D26" s="2584"/>
      <c r="E26" s="2584"/>
      <c r="F26" s="2584"/>
      <c r="G26" s="2584"/>
      <c r="H26" s="2584"/>
      <c r="I26" s="2584"/>
      <c r="J26" s="2584"/>
      <c r="K26" s="258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83"/>
      <c r="C29" s="2583"/>
      <c r="D29" s="2584"/>
      <c r="E29" s="2584"/>
      <c r="F29" s="2584"/>
      <c r="G29" s="2584"/>
      <c r="H29" s="2584"/>
      <c r="I29" s="2584"/>
      <c r="J29" s="2584"/>
      <c r="K29" s="258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1845</v>
      </c>
      <c r="C31" s="1401"/>
      <c r="D31" s="1376"/>
      <c r="E31" s="1377"/>
      <c r="F31" s="1377"/>
      <c r="G31" s="1378"/>
      <c r="H31" s="1377"/>
      <c r="I31" s="1378"/>
      <c r="J31" s="1377"/>
      <c r="K31" s="1377"/>
      <c r="L31" s="1379"/>
    </row>
    <row r="32" spans="2:12" s="322" customFormat="1" ht="44.25" customHeight="1" x14ac:dyDescent="0.2">
      <c r="B32" s="2583"/>
      <c r="C32" s="2583"/>
      <c r="D32" s="2584"/>
      <c r="E32" s="2584"/>
      <c r="F32" s="2584"/>
      <c r="G32" s="2584"/>
      <c r="H32" s="2584"/>
      <c r="I32" s="2584"/>
      <c r="J32" s="2584"/>
      <c r="K32" s="258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1846</v>
      </c>
      <c r="C35" s="1417"/>
      <c r="D35" s="322"/>
      <c r="E35" s="322"/>
      <c r="F35" s="322"/>
      <c r="L35" s="1379"/>
    </row>
    <row r="36" spans="1:13" ht="9.6" customHeight="1" x14ac:dyDescent="0.2">
      <c r="B36" s="1298" t="s">
        <v>1951</v>
      </c>
      <c r="C36" s="1298"/>
      <c r="L36" s="1379"/>
    </row>
    <row r="37" spans="1:13" ht="9.6" customHeight="1" x14ac:dyDescent="0.2">
      <c r="B37" s="1298" t="s">
        <v>1952</v>
      </c>
      <c r="C37" s="1298"/>
    </row>
    <row r="38" spans="1:13" ht="11.85" customHeight="1" x14ac:dyDescent="0.2">
      <c r="B38" s="1418" t="s">
        <v>1847</v>
      </c>
      <c r="C38" s="1418"/>
    </row>
    <row r="39" spans="1:13" ht="9.6" customHeight="1" x14ac:dyDescent="0.2">
      <c r="B39" s="1298" t="s">
        <v>1348</v>
      </c>
      <c r="C39" s="1298"/>
      <c r="M39" s="1419"/>
    </row>
    <row r="40" spans="1:13" ht="12.75" customHeight="1" x14ac:dyDescent="0.2">
      <c r="B40" s="1418" t="s">
        <v>1848</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89" t="str">
        <f>'Single Audit Cover'!A7</f>
        <v>Silvis GSD 34</v>
      </c>
      <c r="C1" s="2589"/>
      <c r="D1" s="2589"/>
      <c r="E1" s="2589"/>
      <c r="F1" s="2589"/>
      <c r="G1" s="2589"/>
      <c r="H1" s="2589"/>
      <c r="I1" s="2589"/>
      <c r="J1" s="2589"/>
      <c r="K1" s="2589"/>
      <c r="L1" s="1463"/>
    </row>
    <row r="2" spans="1:12" ht="12.75" customHeight="1" x14ac:dyDescent="0.2">
      <c r="B2" s="2590">
        <f>'Single Audit Cover'!E7</f>
        <v>49081034002</v>
      </c>
      <c r="C2" s="2590"/>
      <c r="D2" s="2590"/>
      <c r="E2" s="2590"/>
      <c r="F2" s="2590"/>
      <c r="G2" s="2590"/>
      <c r="H2" s="2590"/>
      <c r="I2" s="2590"/>
      <c r="J2" s="2590"/>
      <c r="K2" s="2590"/>
      <c r="L2" s="1464"/>
    </row>
    <row r="3" spans="1:12" ht="12.75" customHeight="1" x14ac:dyDescent="0.2">
      <c r="B3" s="2585" t="s">
        <v>1347</v>
      </c>
      <c r="C3" s="2585"/>
      <c r="D3" s="2585"/>
      <c r="E3" s="2585"/>
      <c r="F3" s="2585"/>
      <c r="G3" s="2585"/>
      <c r="H3" s="2585"/>
      <c r="I3" s="2585"/>
      <c r="J3" s="2585"/>
      <c r="K3" s="2585"/>
      <c r="L3" s="1375"/>
    </row>
    <row r="4" spans="1:12" ht="12.75" customHeight="1" x14ac:dyDescent="0.2">
      <c r="B4" s="2585" t="str">
        <f>'Single Audit Cover'!A4</f>
        <v>Year Ending June 30, 2018</v>
      </c>
      <c r="C4" s="2585"/>
      <c r="D4" s="2585"/>
      <c r="E4" s="2585"/>
      <c r="F4" s="2585"/>
      <c r="G4" s="2585"/>
      <c r="H4" s="2585"/>
      <c r="I4" s="2585"/>
      <c r="J4" s="2585"/>
      <c r="K4" s="2585"/>
      <c r="L4" s="1375"/>
    </row>
    <row r="5" spans="1:12" ht="5.45" customHeight="1" x14ac:dyDescent="0.2">
      <c r="B5" s="1258" t="s">
        <v>1231</v>
      </c>
      <c r="C5" s="1258"/>
      <c r="L5" s="322"/>
    </row>
    <row r="6" spans="1:12" ht="30.75" customHeight="1" x14ac:dyDescent="0.2">
      <c r="A6" s="322"/>
      <c r="B6" s="2591" t="s">
        <v>1375</v>
      </c>
      <c r="C6" s="2591"/>
      <c r="D6" s="2591"/>
      <c r="E6" s="2591"/>
      <c r="F6" s="2591"/>
      <c r="G6" s="2591"/>
      <c r="H6" s="2591"/>
      <c r="I6" s="2591"/>
      <c r="J6" s="2591"/>
      <c r="K6" s="2591"/>
      <c r="L6" s="322"/>
    </row>
    <row r="7" spans="1:12" ht="4.5" customHeight="1" x14ac:dyDescent="0.2">
      <c r="B7" s="1377"/>
      <c r="C7" s="1377"/>
      <c r="D7" s="1377"/>
      <c r="E7" s="1377"/>
      <c r="F7" s="1377"/>
      <c r="G7" s="1378"/>
      <c r="H7" s="1377"/>
      <c r="I7" s="1378"/>
      <c r="J7" s="1377"/>
      <c r="K7" s="1377"/>
      <c r="L7" s="322"/>
    </row>
    <row r="8" spans="1:12" ht="13.5" customHeight="1" x14ac:dyDescent="0.2">
      <c r="B8" s="1385" t="s">
        <v>1857</v>
      </c>
      <c r="C8" s="1465"/>
      <c r="D8" s="1466" t="s">
        <v>2204</v>
      </c>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4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69"/>
      <c r="G12" s="2569"/>
      <c r="H12" s="2569"/>
      <c r="I12" s="2569"/>
      <c r="J12" s="2569"/>
      <c r="K12" s="2569"/>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92"/>
      <c r="E14" s="2592"/>
      <c r="F14" s="2592"/>
      <c r="H14" s="1473" t="s">
        <v>1370</v>
      </c>
      <c r="I14" s="2593"/>
      <c r="J14" s="2593"/>
      <c r="K14" s="2593"/>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93"/>
      <c r="E16" s="2593"/>
      <c r="F16" s="2593"/>
      <c r="G16" s="2593"/>
      <c r="H16" s="2593"/>
      <c r="I16" s="2593"/>
      <c r="J16" s="2593"/>
      <c r="K16" s="2593"/>
      <c r="L16" s="322"/>
    </row>
    <row r="17" spans="2:12" ht="13.5" customHeight="1" x14ac:dyDescent="0.2">
      <c r="B17" s="1385" t="s">
        <v>1368</v>
      </c>
      <c r="C17" s="1385"/>
      <c r="D17" s="2594"/>
      <c r="E17" s="2594"/>
      <c r="F17" s="2594"/>
      <c r="G17" s="2594"/>
      <c r="H17" s="2594"/>
      <c r="I17" s="2594"/>
      <c r="J17" s="2594"/>
      <c r="K17" s="259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84"/>
      <c r="C20" s="2584"/>
      <c r="D20" s="2584"/>
      <c r="E20" s="2584"/>
      <c r="F20" s="2584"/>
      <c r="G20" s="2584"/>
      <c r="H20" s="2584"/>
      <c r="I20" s="2584"/>
      <c r="J20" s="2584"/>
      <c r="K20" s="258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1858</v>
      </c>
      <c r="C22" s="1475"/>
      <c r="D22" s="322"/>
      <c r="E22" s="322"/>
      <c r="F22" s="322"/>
      <c r="G22" s="1381"/>
      <c r="H22" s="322"/>
      <c r="I22" s="1381"/>
      <c r="J22" s="322"/>
      <c r="K22" s="322"/>
      <c r="L22" s="322"/>
    </row>
    <row r="23" spans="2:12" ht="37.700000000000003" customHeight="1" x14ac:dyDescent="0.2">
      <c r="B23" s="2584"/>
      <c r="C23" s="2584"/>
      <c r="D23" s="2584"/>
      <c r="E23" s="2584"/>
      <c r="F23" s="2584"/>
      <c r="G23" s="2584"/>
      <c r="H23" s="2584"/>
      <c r="I23" s="2584"/>
      <c r="J23" s="2584"/>
      <c r="K23" s="2584"/>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1859</v>
      </c>
      <c r="C25" s="1475"/>
      <c r="D25" s="322"/>
      <c r="E25" s="322"/>
      <c r="F25" s="322"/>
      <c r="G25" s="1381"/>
      <c r="H25" s="322"/>
      <c r="I25" s="1381"/>
      <c r="J25" s="322"/>
      <c r="K25" s="322"/>
      <c r="L25" s="322"/>
    </row>
    <row r="26" spans="2:12" ht="37.700000000000003" customHeight="1" x14ac:dyDescent="0.2">
      <c r="B26" s="2584"/>
      <c r="C26" s="2584"/>
      <c r="D26" s="2584"/>
      <c r="E26" s="2584"/>
      <c r="F26" s="2584"/>
      <c r="G26" s="2584"/>
      <c r="H26" s="2584"/>
      <c r="I26" s="2584"/>
      <c r="J26" s="2584"/>
      <c r="K26" s="2584"/>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1860</v>
      </c>
      <c r="C28" s="1475"/>
      <c r="D28" s="322"/>
      <c r="E28" s="322"/>
      <c r="F28" s="322"/>
      <c r="G28" s="1381"/>
      <c r="H28" s="322"/>
      <c r="I28" s="1381"/>
      <c r="J28" s="322"/>
      <c r="K28" s="322"/>
      <c r="L28" s="322"/>
    </row>
    <row r="29" spans="2:12" ht="37.700000000000003" customHeight="1" x14ac:dyDescent="0.2">
      <c r="B29" s="2584"/>
      <c r="C29" s="2584"/>
      <c r="D29" s="2584"/>
      <c r="E29" s="2584"/>
      <c r="F29" s="2584"/>
      <c r="G29" s="2584"/>
      <c r="H29" s="2584"/>
      <c r="I29" s="2584"/>
      <c r="J29" s="2584"/>
      <c r="K29" s="2584"/>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700000000000003" customHeight="1" x14ac:dyDescent="0.2">
      <c r="B32" s="2584"/>
      <c r="C32" s="2584"/>
      <c r="D32" s="2584"/>
      <c r="E32" s="2584"/>
      <c r="F32" s="2584"/>
      <c r="G32" s="2584"/>
      <c r="H32" s="2584"/>
      <c r="I32" s="2584"/>
      <c r="J32" s="2584"/>
      <c r="K32" s="2584"/>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700000000000003" customHeight="1" x14ac:dyDescent="0.2">
      <c r="B35" s="2584"/>
      <c r="C35" s="2584"/>
      <c r="D35" s="2584"/>
      <c r="E35" s="2584"/>
      <c r="F35" s="2584"/>
      <c r="G35" s="2584"/>
      <c r="H35" s="2584"/>
      <c r="I35" s="2584"/>
      <c r="J35" s="2584"/>
      <c r="K35" s="2584"/>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84"/>
      <c r="C38" s="2584"/>
      <c r="D38" s="2584"/>
      <c r="E38" s="2584"/>
      <c r="F38" s="2584"/>
      <c r="G38" s="2584"/>
      <c r="H38" s="2584"/>
      <c r="I38" s="2584"/>
      <c r="J38" s="2584"/>
      <c r="K38" s="258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1861</v>
      </c>
      <c r="C40" s="1401"/>
      <c r="D40" s="1376"/>
      <c r="E40" s="1377"/>
      <c r="F40" s="1377"/>
      <c r="G40" s="1378"/>
      <c r="H40" s="1377"/>
      <c r="I40" s="1378"/>
      <c r="J40" s="1377"/>
      <c r="K40" s="1377"/>
    </row>
    <row r="41" spans="2:12" s="322" customFormat="1" ht="33.950000000000003" customHeight="1" x14ac:dyDescent="0.2">
      <c r="B41" s="2584"/>
      <c r="C41" s="2584"/>
      <c r="D41" s="2584"/>
      <c r="E41" s="2584"/>
      <c r="F41" s="2584"/>
      <c r="G41" s="2584"/>
      <c r="H41" s="2584"/>
      <c r="I41" s="2584"/>
      <c r="J41" s="2584"/>
      <c r="K41" s="2584"/>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1862</v>
      </c>
      <c r="C48" s="1417"/>
      <c r="D48" s="322"/>
      <c r="E48" s="322"/>
      <c r="F48" s="322"/>
    </row>
    <row r="49" spans="2:3" s="317" customFormat="1" ht="10.5" customHeight="1" x14ac:dyDescent="0.2">
      <c r="B49" s="1418" t="s">
        <v>1863</v>
      </c>
      <c r="C49" s="1418"/>
    </row>
    <row r="50" spans="2:3" s="317" customFormat="1" ht="11.1" customHeight="1" x14ac:dyDescent="0.2">
      <c r="B50" s="1418" t="s">
        <v>1864</v>
      </c>
      <c r="C50" s="1418"/>
    </row>
    <row r="51" spans="2:3" s="317" customFormat="1" ht="11.1" customHeight="1" x14ac:dyDescent="0.2">
      <c r="B51" s="1418" t="s">
        <v>1865</v>
      </c>
      <c r="C51" s="1418"/>
    </row>
    <row r="52" spans="2:3" s="317" customFormat="1" ht="11.1" customHeight="1" x14ac:dyDescent="0.2">
      <c r="B52" s="1418" t="s">
        <v>1866</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fitToHeight="0"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62" t="str">
        <f>'Single Audit Cover'!A7</f>
        <v>Silvis GSD 34</v>
      </c>
      <c r="C1" s="2562"/>
      <c r="D1" s="2562"/>
      <c r="E1" s="1489"/>
    </row>
    <row r="2" spans="2:5" s="1280" customFormat="1" ht="12.75" customHeight="1" x14ac:dyDescent="0.2">
      <c r="B2" s="2564">
        <f>'Single Audit Cover'!E7</f>
        <v>49081034002</v>
      </c>
      <c r="C2" s="2564"/>
      <c r="D2" s="2564"/>
      <c r="E2" s="1490"/>
    </row>
    <row r="3" spans="2:5" ht="12.75" customHeight="1" x14ac:dyDescent="0.2">
      <c r="B3" s="2585" t="s">
        <v>1867</v>
      </c>
      <c r="C3" s="2585"/>
      <c r="D3" s="2585"/>
      <c r="E3" s="1272"/>
    </row>
    <row r="4" spans="2:5" s="1280" customFormat="1" ht="12.75" customHeight="1" x14ac:dyDescent="0.2">
      <c r="B4" s="2595" t="str">
        <f>'Single Audit Cover'!A4</f>
        <v>Year Ending June 30, 2018</v>
      </c>
      <c r="C4" s="2595"/>
      <c r="D4" s="2595"/>
      <c r="E4" s="1491"/>
    </row>
    <row r="5" spans="2:5" s="1280" customFormat="1" ht="40.35" hidden="1" customHeight="1" x14ac:dyDescent="0.2">
      <c r="B5" s="1492" t="s">
        <v>1868</v>
      </c>
      <c r="C5" s="328"/>
      <c r="D5" s="328"/>
      <c r="E5" s="328"/>
    </row>
    <row r="6" spans="2:5" s="1280" customFormat="1" ht="13.5" customHeight="1" x14ac:dyDescent="0.2">
      <c r="B6" s="1493" t="s">
        <v>1382</v>
      </c>
      <c r="C6" s="1493" t="s">
        <v>1381</v>
      </c>
      <c r="D6" s="1493" t="s">
        <v>1869</v>
      </c>
    </row>
    <row r="7" spans="2:5" ht="13.5" customHeight="1" x14ac:dyDescent="0.2">
      <c r="B7" s="2040" t="s">
        <v>2100</v>
      </c>
      <c r="C7" s="2041" t="s">
        <v>2101</v>
      </c>
      <c r="D7" s="2041" t="s">
        <v>2210</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1870</v>
      </c>
    </row>
    <row r="46" spans="2:5" ht="12.2" customHeight="1" x14ac:dyDescent="0.2">
      <c r="B46" s="1503" t="s">
        <v>1871</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fitToHeight="0"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schemas.microsoft.com/office/infopath/2007/PartnerControls"/>
    <ds:schemaRef ds:uri="6ce3111e-7420-4802-b50a-75d4e9a0b980"/>
    <ds:schemaRef ds:uri="http://purl.org/dc/elements/1.1/"/>
    <ds:schemaRef ds:uri="http://schemas.openxmlformats.org/package/2006/metadata/core-properties"/>
    <ds:schemaRef ds:uri="d21dc803-237d-4c68-8692-8d731fd29118"/>
    <ds:schemaRef ds:uri="http://schemas.microsoft.com/office/2006/documentManagement/types"/>
    <ds:schemaRef ds:uri="http://www.w3.org/XML/1998/namespace"/>
    <ds:schemaRef ds:uri="http://schemas.microsoft.com/sharepoint/v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18</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2018-10-02T21:02:14Z</cp:lastPrinted>
  <dcterms:created xsi:type="dcterms:W3CDTF">2003-10-29T19:06:34Z</dcterms:created>
  <dcterms:modified xsi:type="dcterms:W3CDTF">2018-11-13T15:13:56Z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