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0490" windowHeight="754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 (2)'!$B$1:$M$45</definedName>
    <definedName name="_xlnm.Print_Area" localSheetId="30">' SEFA (3)'!$B$1:$M$44</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74" i="5" l="1"/>
  <c r="C194" i="5"/>
  <c r="D12" i="171"/>
  <c r="C34" i="173"/>
  <c r="C33" i="173"/>
  <c r="K20" i="184"/>
  <c r="J20" i="184"/>
  <c r="I20" i="184"/>
  <c r="H20" i="184"/>
  <c r="G20" i="184"/>
  <c r="F20" i="184"/>
  <c r="E20" i="184"/>
  <c r="K29" i="183"/>
  <c r="J29" i="183"/>
  <c r="I29" i="183"/>
  <c r="H29" i="183"/>
  <c r="G29" i="183"/>
  <c r="F29" i="183"/>
  <c r="E29" i="183"/>
  <c r="L28" i="183"/>
  <c r="L24" i="183"/>
  <c r="K24" i="183"/>
  <c r="J24" i="183"/>
  <c r="I24" i="183"/>
  <c r="H24" i="183"/>
  <c r="G24" i="183"/>
  <c r="F24" i="183"/>
  <c r="E24" i="183"/>
  <c r="K21" i="183"/>
  <c r="J21" i="183"/>
  <c r="I21" i="183"/>
  <c r="H21" i="183"/>
  <c r="G21" i="183"/>
  <c r="F21" i="183"/>
  <c r="E21" i="183"/>
  <c r="K18" i="183"/>
  <c r="J18" i="183"/>
  <c r="I18" i="183"/>
  <c r="H18" i="183"/>
  <c r="G18" i="183"/>
  <c r="F18" i="183"/>
  <c r="E18" i="183"/>
  <c r="K20" i="179"/>
  <c r="K21" i="179" s="1"/>
  <c r="J20" i="179"/>
  <c r="J21" i="179" s="1"/>
  <c r="I15" i="183"/>
  <c r="H15" i="183"/>
  <c r="G15" i="183"/>
  <c r="F15" i="183"/>
  <c r="E15" i="183"/>
  <c r="F14" i="184" l="1"/>
  <c r="G14" i="184"/>
  <c r="K14" i="184"/>
  <c r="H14" i="184"/>
  <c r="I14" i="184"/>
  <c r="E14" i="184"/>
  <c r="J14" i="184"/>
  <c r="J22" i="184"/>
  <c r="K22" i="184"/>
  <c r="I20" i="179" l="1"/>
  <c r="I21" i="179" s="1"/>
  <c r="I22" i="184" s="1"/>
  <c r="D45" i="174" s="1"/>
  <c r="H20" i="179"/>
  <c r="H21" i="179" s="1"/>
  <c r="H22" i="184" s="1"/>
  <c r="G20" i="179"/>
  <c r="G21" i="179" s="1"/>
  <c r="G22" i="184" s="1"/>
  <c r="F20" i="179"/>
  <c r="F21" i="179" s="1"/>
  <c r="F22" i="184" s="1"/>
  <c r="D35" i="171" s="1"/>
  <c r="E20" i="179"/>
  <c r="E21" i="179" s="1"/>
  <c r="E22" i="184" s="1"/>
  <c r="L25" i="184" l="1"/>
  <c r="L24" i="184"/>
  <c r="L23" i="184"/>
  <c r="L21" i="184"/>
  <c r="L19" i="184"/>
  <c r="L18" i="184"/>
  <c r="L20" i="184" s="1"/>
  <c r="L17" i="184"/>
  <c r="L16" i="184"/>
  <c r="L15" i="184"/>
  <c r="L14" i="184"/>
  <c r="L13" i="184"/>
  <c r="L12" i="184"/>
  <c r="L11" i="184"/>
  <c r="B4" i="184"/>
  <c r="L27" i="183"/>
  <c r="L29" i="183" s="1"/>
  <c r="L26" i="183"/>
  <c r="L20" i="183"/>
  <c r="L19" i="183"/>
  <c r="L18" i="183"/>
  <c r="L17" i="183"/>
  <c r="L16" i="183"/>
  <c r="L15" i="183"/>
  <c r="L14" i="183"/>
  <c r="L13" i="183"/>
  <c r="L12" i="183"/>
  <c r="L11" i="183"/>
  <c r="B4" i="183"/>
  <c r="L21" i="18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E124" i="181"/>
  <c r="F124" i="181" s="1"/>
  <c r="G124" i="181" s="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E115" i="181"/>
  <c r="F115" i="181" s="1"/>
  <c r="G115" i="181" s="1"/>
  <c r="E114" i="181"/>
  <c r="F114" i="181" s="1"/>
  <c r="G114" i="181" s="1"/>
  <c r="E113" i="181"/>
  <c r="F113" i="181" s="1"/>
  <c r="G113" i="181" s="1"/>
  <c r="E112" i="181"/>
  <c r="F112" i="181" s="1"/>
  <c r="G112" i="181" s="1"/>
  <c r="F111" i="181"/>
  <c r="G111" i="181" s="1"/>
  <c r="E111" i="181"/>
  <c r="E110" i="181"/>
  <c r="F110" i="181" s="1"/>
  <c r="G110" i="181" s="1"/>
  <c r="E109" i="181"/>
  <c r="F109" i="181" s="1"/>
  <c r="G109" i="181" s="1"/>
  <c r="E108" i="181"/>
  <c r="F108" i="181" s="1"/>
  <c r="G108" i="181" s="1"/>
  <c r="E107" i="181"/>
  <c r="F107" i="181" s="1"/>
  <c r="G107" i="181" s="1"/>
  <c r="E106" i="181"/>
  <c r="F106" i="181" s="1"/>
  <c r="G106" i="181" s="1"/>
  <c r="E105" i="181"/>
  <c r="F105" i="181" s="1"/>
  <c r="G105" i="181" s="1"/>
  <c r="E104" i="181"/>
  <c r="F104" i="181" s="1"/>
  <c r="G104" i="181" s="1"/>
  <c r="E99" i="181"/>
  <c r="F99" i="181" s="1"/>
  <c r="G99" i="181" s="1"/>
  <c r="E103" i="181"/>
  <c r="F103" i="181" s="1"/>
  <c r="G103" i="181" s="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E93" i="181"/>
  <c r="F93" i="181" s="1"/>
  <c r="G93" i="181" s="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E94" i="181"/>
  <c r="F94" i="181" s="1"/>
  <c r="G94" i="181" s="1"/>
  <c r="E85" i="181"/>
  <c r="F85" i="181" s="1"/>
  <c r="G85" i="181" s="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E44" i="181"/>
  <c r="F44" i="181" s="1"/>
  <c r="G44" i="181" s="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E32" i="181"/>
  <c r="F32" i="181" s="1"/>
  <c r="G32" i="181" s="1"/>
  <c r="E31" i="181"/>
  <c r="F31" i="181" s="1"/>
  <c r="G31" i="181" s="1"/>
  <c r="E30" i="181"/>
  <c r="F30" i="181" s="1"/>
  <c r="G30" i="181" s="1"/>
  <c r="E29" i="181"/>
  <c r="F29" i="181" s="1"/>
  <c r="G29" i="181" s="1"/>
  <c r="F28" i="181"/>
  <c r="G28" i="181" s="1"/>
  <c r="E28" i="181"/>
  <c r="E27" i="181"/>
  <c r="F27" i="181" s="1"/>
  <c r="G27" i="181" s="1"/>
  <c r="E26" i="181"/>
  <c r="F26" i="181" s="1"/>
  <c r="G26" i="181" s="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1" i="179"/>
  <c r="L22" i="184" s="1"/>
  <c r="L19" i="179"/>
  <c r="L18" i="179"/>
  <c r="L17" i="179"/>
  <c r="L16" i="179"/>
  <c r="L15" i="179"/>
  <c r="L14" i="179"/>
  <c r="L13" i="179"/>
  <c r="L12" i="179"/>
  <c r="L11" i="179"/>
  <c r="L20" i="179" l="1"/>
  <c r="D14"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83"/>
  <c r="B1" i="184"/>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D7733" i="106" s="1"/>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K94" i="29"/>
  <c r="B6999" i="106" s="1"/>
  <c r="D6999" i="106" s="1"/>
  <c r="K95" i="29"/>
  <c r="B7001" i="106" s="1"/>
  <c r="D7001" i="106" s="1"/>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B7088" i="106" s="1"/>
  <c r="D7088" i="106" s="1"/>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s="1"/>
  <c r="B5106" i="106"/>
  <c r="D5106" i="106"/>
  <c r="B5107" i="106"/>
  <c r="D5107" i="106" s="1"/>
  <c r="B5108" i="106"/>
  <c r="D5108" i="106" s="1"/>
  <c r="B5109" i="106"/>
  <c r="D5109" i="106" s="1"/>
  <c r="B5110" i="106"/>
  <c r="D5110" i="106"/>
  <c r="B5111" i="106"/>
  <c r="D5111" i="106" s="1"/>
  <c r="B5113" i="106"/>
  <c r="D5113" i="106"/>
  <c r="B5114" i="106"/>
  <c r="D5114" i="106" s="1"/>
  <c r="B5115" i="106"/>
  <c r="D5115" i="106" s="1"/>
  <c r="B5116" i="106"/>
  <c r="D5116" i="106"/>
  <c r="B5117" i="106"/>
  <c r="D5117" i="106" s="1"/>
  <c r="B5118" i="106"/>
  <c r="D5118" i="106"/>
  <c r="B5119" i="106"/>
  <c r="D5119" i="106" s="1"/>
  <c r="B5122" i="106"/>
  <c r="D5122" i="106"/>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c r="B6312" i="106"/>
  <c r="D6312" i="106" s="1"/>
  <c r="B6313" i="106"/>
  <c r="D6313" i="106" s="1"/>
  <c r="B6314" i="106"/>
  <c r="D6314" i="106" s="1"/>
  <c r="B6315" i="106"/>
  <c r="D6315" i="106" s="1"/>
  <c r="B6316" i="106"/>
  <c r="D6316" i="106" s="1"/>
  <c r="B6317" i="106"/>
  <c r="D6317" i="106" s="1"/>
  <c r="B6319" i="106"/>
  <c r="D6319" i="106" s="1"/>
  <c r="B6320" i="106"/>
  <c r="D6320" i="106"/>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c r="B6333" i="106"/>
  <c r="D6333" i="106" s="1"/>
  <c r="B6334" i="106"/>
  <c r="D6334" i="106" s="1"/>
  <c r="B6335" i="106"/>
  <c r="D6335" i="106" s="1"/>
  <c r="B6336" i="106"/>
  <c r="D6336" i="106" s="1"/>
  <c r="B6337" i="106"/>
  <c r="D6337" i="106" s="1"/>
  <c r="B6338" i="106"/>
  <c r="D6338" i="106" s="1"/>
  <c r="B6339" i="106"/>
  <c r="D6339" i="106" s="1"/>
  <c r="B6340" i="106"/>
  <c r="D6340" i="106" s="1"/>
  <c r="B6341" i="106"/>
  <c r="D6341" i="106"/>
  <c r="B6342" i="106"/>
  <c r="D6342" i="106" s="1"/>
  <c r="B6343" i="106"/>
  <c r="D6343" i="106" s="1"/>
  <c r="B6344" i="106"/>
  <c r="D6344" i="106" s="1"/>
  <c r="B6345" i="106"/>
  <c r="D6345" i="106" s="1"/>
  <c r="B6346" i="106"/>
  <c r="D6346" i="106" s="1"/>
  <c r="B6347" i="106"/>
  <c r="D6347" i="106" s="1"/>
  <c r="B6348" i="106"/>
  <c r="D6348" i="106" s="1"/>
  <c r="B6349" i="106"/>
  <c r="D6349" i="106"/>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c r="B6373" i="106"/>
  <c r="D6373" i="106" s="1"/>
  <c r="B6374" i="106"/>
  <c r="D6374" i="106" s="1"/>
  <c r="B6375" i="106"/>
  <c r="D6375" i="106" s="1"/>
  <c r="B6376" i="106"/>
  <c r="D6376" i="106"/>
  <c r="B6377" i="106"/>
  <c r="D6377" i="106" s="1"/>
  <c r="B6378" i="106"/>
  <c r="D6378" i="106" s="1"/>
  <c r="B6379" i="106"/>
  <c r="D6379" i="106" s="1"/>
  <c r="B6380" i="106"/>
  <c r="D6380" i="106" s="1"/>
  <c r="B6381" i="106"/>
  <c r="D6381" i="106" s="1"/>
  <c r="B6382" i="106"/>
  <c r="D6382" i="106" s="1"/>
  <c r="B6383" i="106"/>
  <c r="D6383" i="106" s="1"/>
  <c r="B6384" i="106"/>
  <c r="D6384" i="106"/>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c r="B6404" i="106"/>
  <c r="D6404" i="106" s="1"/>
  <c r="B6405" i="106"/>
  <c r="D6405" i="106" s="1"/>
  <c r="B6406" i="106"/>
  <c r="D6406" i="106" s="1"/>
  <c r="B6407" i="106"/>
  <c r="D6407" i="106"/>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c r="B6628" i="106"/>
  <c r="D6628" i="106" s="1"/>
  <c r="B6629" i="106"/>
  <c r="D6629" i="106" s="1"/>
  <c r="B6630" i="106"/>
  <c r="D6630" i="106" s="1"/>
  <c r="B6631" i="106"/>
  <c r="D6631" i="106"/>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c r="B6656" i="106"/>
  <c r="D6656" i="106" s="1"/>
  <c r="B6657" i="106"/>
  <c r="D6657" i="106" s="1"/>
  <c r="B6658" i="106"/>
  <c r="D6658" i="106" s="1"/>
  <c r="B6659" i="106"/>
  <c r="D6659" i="106"/>
  <c r="B6660" i="106"/>
  <c r="D6660" i="106" s="1"/>
  <c r="B6661" i="106"/>
  <c r="D6661" i="106" s="1"/>
  <c r="B6662" i="106"/>
  <c r="D6662" i="106" s="1"/>
  <c r="B6663" i="106"/>
  <c r="D6663" i="106"/>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c r="B6680" i="106"/>
  <c r="D6680" i="106" s="1"/>
  <c r="B6681" i="106"/>
  <c r="D6681" i="106" s="1"/>
  <c r="B6682" i="106"/>
  <c r="D6682" i="106" s="1"/>
  <c r="B6683" i="106"/>
  <c r="D6683" i="106" s="1"/>
  <c r="B6684" i="106"/>
  <c r="D6684" i="106" s="1"/>
  <c r="B6685" i="106"/>
  <c r="D6685" i="106" s="1"/>
  <c r="B6686" i="106"/>
  <c r="D6686" i="106" s="1"/>
  <c r="B6687" i="106"/>
  <c r="D6687" i="106"/>
  <c r="B6688" i="106"/>
  <c r="D6688" i="106" s="1"/>
  <c r="B6689" i="106"/>
  <c r="D6689" i="106" s="1"/>
  <c r="B6690" i="106"/>
  <c r="D6690" i="106" s="1"/>
  <c r="B6691" i="106"/>
  <c r="D6691" i="106"/>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c r="B6704" i="106"/>
  <c r="D6704" i="106" s="1"/>
  <c r="B6705" i="106"/>
  <c r="D6705" i="106" s="1"/>
  <c r="B6706" i="106"/>
  <c r="D6706" i="106" s="1"/>
  <c r="B6707" i="106"/>
  <c r="D6707" i="106" s="1"/>
  <c r="B6708" i="106"/>
  <c r="D6708" i="106" s="1"/>
  <c r="B6709" i="106"/>
  <c r="D6709" i="106" s="1"/>
  <c r="B6710" i="106"/>
  <c r="D6710" i="106" s="1"/>
  <c r="B6711" i="106"/>
  <c r="D6711" i="106"/>
  <c r="B6712" i="106"/>
  <c r="D6712" i="106" s="1"/>
  <c r="B6713" i="106"/>
  <c r="D6713" i="106" s="1"/>
  <c r="B6714" i="106"/>
  <c r="D6714" i="106" s="1"/>
  <c r="B6715" i="106"/>
  <c r="D6715" i="106" s="1"/>
  <c r="B6716" i="106"/>
  <c r="D6716" i="106" s="1"/>
  <c r="B6717" i="106"/>
  <c r="D6717" i="106" s="1"/>
  <c r="B6718" i="106"/>
  <c r="D6718" i="106" s="1"/>
  <c r="B6719" i="106"/>
  <c r="D6719" i="106"/>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c r="B6731" i="106"/>
  <c r="D6731" i="106"/>
  <c r="B6732" i="106"/>
  <c r="D6732" i="106" s="1"/>
  <c r="B6733" i="106"/>
  <c r="D6733" i="106" s="1"/>
  <c r="B6734" i="106"/>
  <c r="D6734" i="106" s="1"/>
  <c r="B6735" i="106"/>
  <c r="D6735" i="106" s="1"/>
  <c r="B6736" i="106"/>
  <c r="D6736" i="106" s="1"/>
  <c r="B6737" i="106"/>
  <c r="D6737" i="106"/>
  <c r="B6738" i="106"/>
  <c r="D6738" i="106"/>
  <c r="B6739" i="106"/>
  <c r="D6739" i="106" s="1"/>
  <c r="B6740" i="106"/>
  <c r="D6740" i="106" s="1"/>
  <c r="B6741" i="106"/>
  <c r="D6741" i="106" s="1"/>
  <c r="B6742" i="106"/>
  <c r="D6742" i="106" s="1"/>
  <c r="B6743" i="106"/>
  <c r="D6743" i="106" s="1"/>
  <c r="B6744" i="106"/>
  <c r="D6744" i="106" s="1"/>
  <c r="B6745" i="106"/>
  <c r="D6745" i="106" s="1"/>
  <c r="B6746" i="106"/>
  <c r="D6746" i="106"/>
  <c r="B6747" i="106"/>
  <c r="D6747" i="106"/>
  <c r="B6748" i="106"/>
  <c r="D6748" i="106" s="1"/>
  <c r="B6749" i="106"/>
  <c r="D6749" i="106" s="1"/>
  <c r="B6750" i="106"/>
  <c r="D6750" i="106" s="1"/>
  <c r="B6751" i="106"/>
  <c r="D6751" i="106" s="1"/>
  <c r="B6752" i="106"/>
  <c r="D6752" i="106" s="1"/>
  <c r="B6753" i="106"/>
  <c r="D6753" i="106"/>
  <c r="B6754" i="106"/>
  <c r="D6754" i="106" s="1"/>
  <c r="B6755" i="106"/>
  <c r="D6755" i="106"/>
  <c r="B6756" i="106"/>
  <c r="D6756" i="106" s="1"/>
  <c r="B6757" i="106"/>
  <c r="D6757" i="106"/>
  <c r="B6758" i="106"/>
  <c r="D6758" i="106" s="1"/>
  <c r="B6759" i="106"/>
  <c r="D6759" i="106" s="1"/>
  <c r="B6760" i="106"/>
  <c r="D6760" i="106" s="1"/>
  <c r="B6761" i="106"/>
  <c r="D6761" i="106"/>
  <c r="B6762" i="106"/>
  <c r="D6762" i="106" s="1"/>
  <c r="B6763" i="106"/>
  <c r="D6763" i="106"/>
  <c r="B6764" i="106"/>
  <c r="D6764" i="106" s="1"/>
  <c r="B6765" i="106"/>
  <c r="D6765" i="106" s="1"/>
  <c r="B6766" i="106"/>
  <c r="D6766" i="106"/>
  <c r="B6767" i="106"/>
  <c r="D6767" i="106" s="1"/>
  <c r="B6768" i="106"/>
  <c r="D6768" i="106" s="1"/>
  <c r="B6769" i="106"/>
  <c r="D6769" i="106"/>
  <c r="B6770" i="106"/>
  <c r="D6770" i="106" s="1"/>
  <c r="B6771" i="106"/>
  <c r="D6771" i="106"/>
  <c r="B6772" i="106"/>
  <c r="D6772" i="106" s="1"/>
  <c r="B6773" i="106"/>
  <c r="D6773" i="106" s="1"/>
  <c r="B6774" i="106"/>
  <c r="D6774" i="106" s="1"/>
  <c r="B6775" i="106"/>
  <c r="D6775" i="106"/>
  <c r="B6776" i="106"/>
  <c r="D6776" i="106" s="1"/>
  <c r="B6777" i="106"/>
  <c r="D6777" i="106"/>
  <c r="B6778" i="106"/>
  <c r="D6778" i="106" s="1"/>
  <c r="B6779" i="106"/>
  <c r="D6779" i="106"/>
  <c r="B6780" i="106"/>
  <c r="D6780" i="106" s="1"/>
  <c r="B6781" i="106"/>
  <c r="D6781" i="106" s="1"/>
  <c r="B6782" i="106"/>
  <c r="D6782" i="106" s="1"/>
  <c r="B6783" i="106"/>
  <c r="D6783" i="106" s="1"/>
  <c r="B6784" i="106"/>
  <c r="D6784" i="106" s="1"/>
  <c r="B6785" i="106"/>
  <c r="D6785" i="106"/>
  <c r="B6786" i="106"/>
  <c r="D6786" i="106"/>
  <c r="B6787" i="106"/>
  <c r="D6787" i="106"/>
  <c r="B6788" i="106"/>
  <c r="D6788" i="106" s="1"/>
  <c r="B6789" i="106"/>
  <c r="D6789" i="106" s="1"/>
  <c r="B6790" i="106"/>
  <c r="D6790" i="106" s="1"/>
  <c r="B6791" i="106"/>
  <c r="D6791" i="106" s="1"/>
  <c r="B6792" i="106"/>
  <c r="D6792" i="106" s="1"/>
  <c r="B6793" i="106"/>
  <c r="D6793" i="106"/>
  <c r="B6794" i="106"/>
  <c r="D6794" i="106" s="1"/>
  <c r="B6795" i="106"/>
  <c r="D6795" i="106"/>
  <c r="B6796" i="106"/>
  <c r="D6796" i="106" s="1"/>
  <c r="B6797" i="106"/>
  <c r="D6797" i="106" s="1"/>
  <c r="B6798" i="106"/>
  <c r="D6798" i="106"/>
  <c r="B6799" i="106"/>
  <c r="D6799" i="106" s="1"/>
  <c r="B6800" i="106"/>
  <c r="D6800" i="106" s="1"/>
  <c r="B6801" i="106"/>
  <c r="D6801" i="106"/>
  <c r="B6802" i="106"/>
  <c r="D6802" i="106"/>
  <c r="B6803" i="106"/>
  <c r="D6803" i="106"/>
  <c r="B6804" i="106"/>
  <c r="D6804" i="106" s="1"/>
  <c r="B6805" i="106"/>
  <c r="D6805" i="106" s="1"/>
  <c r="B6806" i="106"/>
  <c r="D6806" i="106" s="1"/>
  <c r="B6807" i="106"/>
  <c r="D6807" i="106"/>
  <c r="B6808" i="106"/>
  <c r="D6808" i="106" s="1"/>
  <c r="B6809" i="106"/>
  <c r="D6809" i="106"/>
  <c r="B6810" i="106"/>
  <c r="D6810" i="106" s="1"/>
  <c r="B6811" i="106"/>
  <c r="D6811" i="106"/>
  <c r="B6812" i="106"/>
  <c r="D6812" i="106" s="1"/>
  <c r="B6813" i="106"/>
  <c r="D6813" i="106" s="1"/>
  <c r="B6814" i="106"/>
  <c r="D6814" i="106" s="1"/>
  <c r="B6815" i="106"/>
  <c r="D6815" i="106" s="1"/>
  <c r="B6816" i="106"/>
  <c r="D6816" i="106" s="1"/>
  <c r="B6817" i="106"/>
  <c r="D6817" i="106" s="1"/>
  <c r="B6818" i="106"/>
  <c r="D6818" i="106"/>
  <c r="B6819" i="106"/>
  <c r="D6819" i="106" s="1"/>
  <c r="B6820" i="106"/>
  <c r="D6820" i="106" s="1"/>
  <c r="B6821" i="106"/>
  <c r="D6821" i="106" s="1"/>
  <c r="B6822" i="106"/>
  <c r="D6822" i="106" s="1"/>
  <c r="B6823" i="106"/>
  <c r="D6823" i="106" s="1"/>
  <c r="B6824" i="106"/>
  <c r="D6824" i="106" s="1"/>
  <c r="B6825" i="106"/>
  <c r="D6825" i="106" s="1"/>
  <c r="B6826" i="106"/>
  <c r="D6826" i="106"/>
  <c r="B6827" i="106"/>
  <c r="D6827" i="106" s="1"/>
  <c r="B6828" i="106"/>
  <c r="D6828" i="106" s="1"/>
  <c r="B6829" i="106"/>
  <c r="D6829" i="106" s="1"/>
  <c r="B6830" i="106"/>
  <c r="D6830" i="106" s="1"/>
  <c r="B6831" i="106"/>
  <c r="D6831" i="106" s="1"/>
  <c r="B6832" i="106"/>
  <c r="D6832" i="106" s="1"/>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54" i="36"/>
  <c r="D68" i="36"/>
  <c r="D71" i="36"/>
  <c r="D72" i="36"/>
  <c r="D79" i="36"/>
  <c r="B64" i="127"/>
  <c r="B65" i="127"/>
  <c r="D27" i="108"/>
  <c r="E27" i="108"/>
  <c r="G27" i="108"/>
  <c r="F28" i="108"/>
  <c r="F31" i="108"/>
  <c r="G28" i="108"/>
  <c r="E29" i="108"/>
  <c r="G29" i="108"/>
  <c r="D31"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B5752" i="106" s="1"/>
  <c r="D5752" i="106" s="1"/>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s="1"/>
  <c r="D4951" i="106" s="1"/>
  <c r="C184" i="5"/>
  <c r="B5232" i="106" s="1"/>
  <c r="D5232" i="106" s="1"/>
  <c r="D184" i="5"/>
  <c r="B5425" i="106" s="1"/>
  <c r="D5425" i="106" s="1"/>
  <c r="F184" i="5"/>
  <c r="B5658" i="106" s="1"/>
  <c r="D5658" i="106" s="1"/>
  <c r="G184" i="5"/>
  <c r="H184" i="5"/>
  <c r="B5908" i="106" s="1"/>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D5" i="4"/>
  <c r="B3406" i="106" s="1"/>
  <c r="D3406" i="106" s="1"/>
  <c r="C14" i="4"/>
  <c r="B2558" i="106" s="1"/>
  <c r="D2558" i="106" s="1"/>
  <c r="D14" i="4"/>
  <c r="B2570" i="106" s="1"/>
  <c r="D2570" i="106" s="1"/>
  <c r="F14" i="4"/>
  <c r="B2597" i="106" s="1"/>
  <c r="D2597" i="106" s="1"/>
  <c r="B2633" i="106"/>
  <c r="D2633" i="106" s="1"/>
  <c r="D7" i="118"/>
  <c r="D8" i="118"/>
  <c r="D9" i="118"/>
  <c r="H14" i="118"/>
  <c r="H19" i="118"/>
  <c r="H24" i="118"/>
  <c r="H28" i="118"/>
  <c r="D22" i="37"/>
  <c r="J22" i="37"/>
  <c r="D12" i="7"/>
  <c r="B1769" i="106" s="1"/>
  <c r="D1769" i="106" s="1"/>
  <c r="D11" i="7"/>
  <c r="B1768" i="106" s="1"/>
  <c r="D1768" i="106" s="1"/>
  <c r="D15" i="7"/>
  <c r="B1772" i="106" s="1"/>
  <c r="D1772" i="106" s="1"/>
  <c r="F36" i="34" l="1"/>
  <c r="J352" i="29"/>
  <c r="J77" i="4"/>
  <c r="B6262" i="106" s="1"/>
  <c r="D6262" i="106" s="1"/>
  <c r="B3619" i="106"/>
  <c r="D3619" i="106" s="1"/>
  <c r="D17" i="7"/>
  <c r="B4104" i="106" s="1"/>
  <c r="D4104" i="106" s="1"/>
  <c r="D9" i="7"/>
  <c r="B1767" i="106" s="1"/>
  <c r="D1767" i="106" s="1"/>
  <c r="F45" i="34"/>
  <c r="H44" i="4"/>
  <c r="B3296" i="106" s="1"/>
  <c r="D3296" i="106" s="1"/>
  <c r="J274" i="5"/>
  <c r="B7054" i="106" s="1"/>
  <c r="D7054" i="106" s="1"/>
  <c r="D6103" i="106"/>
  <c r="F127" i="34"/>
  <c r="F46" i="34"/>
  <c r="G26" i="108"/>
  <c r="I342" i="29"/>
  <c r="B7222" i="106" s="1"/>
  <c r="D7222" i="106" s="1"/>
  <c r="F71" i="34"/>
  <c r="F128" i="34"/>
  <c r="D5" i="7"/>
  <c r="B1761" i="106" s="1"/>
  <c r="D1761" i="106" s="1"/>
  <c r="G14" i="4"/>
  <c r="B2609" i="106" s="1"/>
  <c r="D2609" i="106" s="1"/>
  <c r="K173" i="5"/>
  <c r="K6" i="4" s="1"/>
  <c r="B3570" i="106" s="1"/>
  <c r="D3570" i="106" s="1"/>
  <c r="G109" i="5"/>
  <c r="B6024" i="106" s="1"/>
  <c r="D6024" i="106" s="1"/>
  <c r="G38" i="108"/>
  <c r="E26" i="108"/>
  <c r="D24" i="37"/>
  <c r="B4270" i="106" s="1"/>
  <c r="D4270" i="106" s="1"/>
  <c r="G5" i="4"/>
  <c r="B3409" i="106" s="1"/>
  <c r="D3409" i="106" s="1"/>
  <c r="F42" i="34"/>
  <c r="E38" i="108"/>
  <c r="K28" i="118"/>
  <c r="O27" i="118" s="1"/>
  <c r="O29" i="118" s="1"/>
  <c r="G15" i="145"/>
  <c r="F21" i="8"/>
  <c r="B1274" i="106"/>
  <c r="D1274" i="106" s="1"/>
  <c r="H33" i="118"/>
  <c r="B3621" i="106"/>
  <c r="D3621" i="106" s="1"/>
  <c r="C367" i="29"/>
  <c r="L15" i="11"/>
  <c r="B3459" i="106" s="1"/>
  <c r="D3459" i="106" s="1"/>
  <c r="H173" i="5"/>
  <c r="F130" i="34"/>
  <c r="L22" i="37"/>
  <c r="I173" i="5"/>
  <c r="B4216" i="106" s="1"/>
  <c r="D4216" i="106" s="1"/>
  <c r="F66" i="34"/>
  <c r="J129" i="29"/>
  <c r="B7038" i="106" s="1"/>
  <c r="D7038" i="106" s="1"/>
  <c r="B3689" i="106"/>
  <c r="D3689" i="106" s="1"/>
  <c r="K76" i="4"/>
  <c r="B3586" i="106" s="1"/>
  <c r="D3586" i="106" s="1"/>
  <c r="D109" i="5"/>
  <c r="B5356" i="106" s="1"/>
  <c r="D5356" i="106" s="1"/>
  <c r="F131" i="34"/>
  <c r="H365" i="29"/>
  <c r="B1124" i="106"/>
  <c r="D1124" i="106" s="1"/>
  <c r="K274" i="5"/>
  <c r="K7" i="4" s="1"/>
  <c r="B3718" i="106" s="1"/>
  <c r="D3718" i="106" s="1"/>
  <c r="F136" i="34"/>
  <c r="F172" i="5"/>
  <c r="B5644" i="106" s="1"/>
  <c r="D5644" i="106" s="1"/>
  <c r="F44" i="34"/>
  <c r="F41" i="34"/>
  <c r="F35" i="34"/>
  <c r="J41" i="3"/>
  <c r="G352" i="29"/>
  <c r="B3649" i="106" s="1"/>
  <c r="D3649" i="106" s="1"/>
  <c r="B5784" i="106"/>
  <c r="D5784" i="106" s="1"/>
  <c r="G172" i="5"/>
  <c r="B4268" i="106"/>
  <c r="D4268" i="106" s="1"/>
  <c r="D31" i="36"/>
  <c r="B1746" i="106"/>
  <c r="D1746" i="106" s="1"/>
  <c r="F111" i="34"/>
  <c r="H342" i="29"/>
  <c r="B7047" i="106"/>
  <c r="D7047" i="106" s="1"/>
  <c r="K285" i="29"/>
  <c r="B3724" i="106" s="1"/>
  <c r="D3724" i="106" s="1"/>
  <c r="D11" i="37"/>
  <c r="F49" i="34"/>
  <c r="L5" i="11"/>
  <c r="B2056" i="106" s="1"/>
  <c r="D2056" i="106" s="1"/>
  <c r="D69" i="36"/>
  <c r="F77" i="4"/>
  <c r="B3255" i="106" s="1"/>
  <c r="D3255" i="106" s="1"/>
  <c r="N22" i="3"/>
  <c r="B283" i="106" s="1"/>
  <c r="D283" i="106" s="1"/>
  <c r="C342" i="29"/>
  <c r="B7216" i="106" s="1"/>
  <c r="D7216" i="106" s="1"/>
  <c r="E28" i="108"/>
  <c r="B1223" i="106"/>
  <c r="D1223" i="106" s="1"/>
  <c r="L367" i="29"/>
  <c r="L342" i="29"/>
  <c r="L312" i="29"/>
  <c r="L13" i="11"/>
  <c r="B2060" i="106" s="1"/>
  <c r="D2060" i="106" s="1"/>
  <c r="K26" i="12"/>
  <c r="B7743" i="106" s="1"/>
  <c r="D7743" i="106" s="1"/>
  <c r="F19" i="7"/>
  <c r="B1807" i="106" s="1"/>
  <c r="D1807" i="106" s="1"/>
  <c r="B1329" i="106"/>
  <c r="D1329" i="106" s="1"/>
  <c r="F61" i="34"/>
  <c r="G210" i="29"/>
  <c r="K184" i="29"/>
  <c r="F13" i="4" s="1"/>
  <c r="B2596" i="106" s="1"/>
  <c r="D2596" i="106" s="1"/>
  <c r="B1410" i="106"/>
  <c r="D1410" i="106" s="1"/>
  <c r="K350" i="29"/>
  <c r="D36" i="108"/>
  <c r="F36" i="108"/>
  <c r="G30" i="108"/>
  <c r="E30" i="108"/>
  <c r="D37" i="108"/>
  <c r="F37" i="108"/>
  <c r="B1126" i="106"/>
  <c r="D1126" i="106" s="1"/>
  <c r="F26" i="108"/>
  <c r="D26" i="108"/>
  <c r="D41" i="108" s="1"/>
  <c r="E43" i="108" s="1"/>
  <c r="H109" i="5"/>
  <c r="B6025" i="106" s="1"/>
  <c r="D6025" i="106" s="1"/>
  <c r="G4" i="4"/>
  <c r="B2603" i="106" s="1"/>
  <c r="D2603" i="106" s="1"/>
  <c r="D7" i="7"/>
  <c r="B1763" i="106" s="1"/>
  <c r="D1763" i="106" s="1"/>
  <c r="E109" i="5"/>
  <c r="E4" i="4" s="1"/>
  <c r="B2630" i="106" s="1"/>
  <c r="D2630" i="106" s="1"/>
  <c r="D13" i="7"/>
  <c r="B3726" i="106" s="1"/>
  <c r="D3726" i="106" s="1"/>
  <c r="C172" i="5"/>
  <c r="B5214" i="106" s="1"/>
  <c r="D5214" i="106" s="1"/>
  <c r="B5096" i="106"/>
  <c r="D5096" i="106" s="1"/>
  <c r="F106" i="34"/>
  <c r="C109" i="5"/>
  <c r="B5121" i="106" s="1"/>
  <c r="D512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B7270" i="106"/>
  <c r="D7253" i="106" l="1"/>
  <c r="D7250" i="106"/>
  <c r="F41" i="108"/>
  <c r="G43" i="108" s="1"/>
  <c r="J367" i="29"/>
  <c r="B7245" i="106" s="1"/>
  <c r="D7245" i="106" s="1"/>
  <c r="B7235" i="106"/>
  <c r="D7235" i="106" s="1"/>
  <c r="H151" i="29"/>
  <c r="B1273" i="106" s="1"/>
  <c r="D1273" i="106" s="1"/>
  <c r="F275" i="5"/>
  <c r="B5720" i="106" s="1"/>
  <c r="D5720" i="106" s="1"/>
  <c r="B1879" i="106"/>
  <c r="D1879" i="106" s="1"/>
  <c r="H22" i="37"/>
  <c r="D274" i="5"/>
  <c r="D7" i="4" s="1"/>
  <c r="D7255" i="106"/>
  <c r="D4" i="4"/>
  <c r="B2564" i="106" s="1"/>
  <c r="D2564" i="106" s="1"/>
  <c r="B1328" i="106"/>
  <c r="D1328" i="106" s="1"/>
  <c r="J151" i="29"/>
  <c r="B7052" i="106" s="1"/>
  <c r="D7052" i="106" s="1"/>
  <c r="D7256" i="106"/>
  <c r="D7251" i="106"/>
  <c r="B5653" i="106"/>
  <c r="D5653" i="106" s="1"/>
  <c r="B6022" i="106"/>
  <c r="D6022" i="106" s="1"/>
  <c r="G367" i="29"/>
  <c r="B3650" i="106" s="1"/>
  <c r="D3650" i="106" s="1"/>
  <c r="H367" i="29"/>
  <c r="B3660" i="106" s="1"/>
  <c r="D3660" i="106" s="1"/>
  <c r="B7242" i="106"/>
  <c r="D7242" i="106" s="1"/>
  <c r="B5906" i="106"/>
  <c r="D5906" i="106" s="1"/>
  <c r="H6" i="4"/>
  <c r="B2656" i="106" s="1"/>
  <c r="D2656" i="106" s="1"/>
  <c r="F73" i="34"/>
  <c r="G15" i="4"/>
  <c r="B6032" i="106" s="1"/>
  <c r="D6032" i="106" s="1"/>
  <c r="G173" i="5"/>
  <c r="B5770" i="106"/>
  <c r="D5770" i="106" s="1"/>
  <c r="L114" i="29"/>
  <c r="L16" i="11"/>
  <c r="B2061" i="106" s="1"/>
  <c r="D2061" i="106" s="1"/>
  <c r="B1317" i="106"/>
  <c r="D1317" i="106" s="1"/>
  <c r="B1365" i="106"/>
  <c r="D1365" i="106" s="1"/>
  <c r="F65" i="34"/>
  <c r="K342" i="29"/>
  <c r="F13" i="34" s="1"/>
  <c r="B3670" i="106"/>
  <c r="D3670" i="106" s="1"/>
  <c r="K352" i="29"/>
  <c r="C114" i="29"/>
  <c r="B757" i="106" s="1"/>
  <c r="D757" i="106" s="1"/>
  <c r="H4" i="4"/>
  <c r="C173" i="5"/>
  <c r="B5223" i="106" s="1"/>
  <c r="D5223" i="106" s="1"/>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B5507" i="106"/>
  <c r="D5507" i="106" s="1"/>
  <c r="B7298" i="106"/>
  <c r="B7299" i="106"/>
  <c r="D275" i="5" l="1"/>
  <c r="F8" i="4"/>
  <c r="D8" i="146" s="1"/>
  <c r="B5778" i="106"/>
  <c r="D5778" i="106" s="1"/>
  <c r="G6" i="4"/>
  <c r="B2604" i="106" s="1"/>
  <c r="D2604" i="106" s="1"/>
  <c r="J17" i="4"/>
  <c r="J19" i="4" s="1"/>
  <c r="B6229" i="106" s="1"/>
  <c r="D6229" i="106" s="1"/>
  <c r="K13" i="4"/>
  <c r="B3572" i="106" s="1"/>
  <c r="D3572" i="106" s="1"/>
  <c r="B3672" i="106"/>
  <c r="D3672" i="106" s="1"/>
  <c r="K367" i="29"/>
  <c r="B3678" i="106" s="1"/>
  <c r="D3678" i="106" s="1"/>
  <c r="B1145" i="106"/>
  <c r="D1145" i="106" s="1"/>
  <c r="E41" i="108"/>
  <c r="E44" i="108" s="1"/>
  <c r="E45" i="108" s="1"/>
  <c r="G41" i="108"/>
  <c r="G44" i="108" s="1"/>
  <c r="G45" i="108" s="1"/>
  <c r="B2655" i="106"/>
  <c r="D2655" i="106" s="1"/>
  <c r="H8" i="4"/>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F10" i="4"/>
  <c r="B4125" i="106" s="1"/>
  <c r="D4125" i="106" s="1"/>
  <c r="B2595" i="106"/>
  <c r="D2595" i="106" s="1"/>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4" l="1"/>
  <c r="K368" i="29"/>
  <c r="B3681" i="106" s="1"/>
  <c r="D3681" i="106" s="1"/>
  <c r="F76" i="34"/>
  <c r="B6227" i="106"/>
  <c r="D6227" i="106" s="1"/>
  <c r="B2658" i="106"/>
  <c r="D2658" i="106" s="1"/>
  <c r="H10" i="4"/>
  <c r="B4127" i="106" s="1"/>
  <c r="D4127" i="106" s="1"/>
  <c r="D10" i="171"/>
  <c r="D1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D32" i="171" l="1"/>
  <c r="D49" i="171"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<sst xmlns="http://schemas.openxmlformats.org/spreadsheetml/2006/main" count="5604" uniqueCount="2298">
  <si>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</si>
  <si>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</si>
  <si>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</si>
  <si>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</si>
  <si>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</si>
  <si>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</si>
  <si>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</si>
  <si>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</si>
  <si>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</si>
  <si>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</si>
  <si>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</si>
  <si>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</si>
  <si>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</si>
  <si>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</si>
  <si>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</si>
  <si>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</si>
  <si>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</si>
  <si>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</si>
  <si>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</si>
  <si>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</si>
  <si>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</si>
  <si>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</si>
  <si>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</si>
  <si>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</si>
  <si>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</si>
  <si>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</si>
  <si>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</si>
  <si>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</si>
  <si>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</si>
  <si>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</si>
  <si>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</si>
  <si>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</si>
  <si>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</si>
  <si>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</si>
  <si>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</si>
  <si>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</si>
  <si>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</si>
  <si>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</si>
  <si>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</si>
  <si>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</si>
  <si>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</si>
  <si>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</si>
  <si>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</si>
  <si>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</si>
  <si>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</si>
  <si>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</si>
  <si>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</si>
  <si>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</si>
  <si>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</si>
  <si>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</si>
  <si>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</si>
  <si>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</si>
  <si>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</si>
  <si>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</si>
  <si>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</si>
  <si>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</si>
  <si>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</si>
  <si>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</si>
  <si>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</si>
  <si>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</si>
  <si>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</si>
  <si>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</si>
  <si>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</si>
  <si>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</si>
  <si>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</si>
  <si>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</si>
  <si>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</si>
  <si>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</si>
  <si>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</si>
  <si>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</si>
  <si>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</si>
  <si>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</si>
  <si>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</si>
  <si>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</si>
  <si>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</si>
  <si>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</si>
  <si>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</si>
  <si>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</si>
  <si>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</si>
  <si>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</si>
  <si>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</si>
  <si>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</si>
  <si>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</si>
  <si>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</si>
  <si>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</si>
  <si>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</si>
  <si>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</si>
  <si>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</si>
  <si>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</si>
  <si>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</si>
  <si>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</si>
  <si>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</si>
  <si>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</si>
  <si>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</si>
  <si>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</si>
  <si>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</si>
  <si>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</si>
  <si>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</si>
  <si>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</si>
  <si>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</si>
  <si>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</si>
  <si>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</si>
  <si>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</si>
  <si>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</si>
  <si>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</si>
  <si>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</si>
  <si>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</si>
  <si>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</si>
  <si>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</si>
  <si>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</si>
  <si>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</si>
  <si>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</si>
  <si>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</si>
  <si>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</si>
  <si>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</si>
  <si>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</si>
  <si>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</si>
  <si>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</si>
  <si>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</si>
  <si>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</si>
  <si>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</si>
  <si>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</si>
  <si>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</si>
  <si>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</si>
  <si>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</si>
  <si>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</si>
  <si>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</si>
  <si>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</si>
  <si>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</si>
  <si>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</si>
  <si>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</si>
  <si>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</si>
  <si>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</si>
  <si>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</si>
  <si>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</si>
  <si>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</si>
  <si>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</si>
  <si>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</si>
  <si>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</si>
  <si>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</si>
  <si>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</si>
  <si>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</si>
  <si>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</si>
  <si>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</si>
  <si>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</si>
  <si>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</si>
  <si>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</si>
  <si>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</si>
  <si>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</si>
  <si>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</si>
  <si>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</si>
  <si>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</si>
  <si>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</si>
  <si>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</si>
  <si>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</si>
  <si>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</si>
  <si>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</si>
  <si>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</si>
  <si>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</si>
  <si>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</si>
  <si>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</si>
  <si>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</si>
  <si>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</si>
  <si>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</si>
  <si>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</si>
  <si>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</si>
  <si>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</si>
  <si>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</si>
  <si>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</si>
  <si>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</si>
  <si>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</si>
  <si>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</si>
  <si>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</si>
  <si>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</si>
  <si>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</si>
  <si>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</si>
  <si>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</si>
  <si>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</si>
  <si>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</si>
  <si>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</si>
  <si>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</si>
  <si>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</si>
  <si>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</si>
  <si>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</si>
  <si>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</si>
  <si>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</si>
  <si>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</si>
  <si>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</si>
  <si>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</si>
  <si>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</si>
  <si>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</si>
  <si>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</si>
  <si>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</si>
  <si>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</si>
  <si>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</si>
  <si>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</si>
  <si>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</si>
  <si>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</si>
  <si>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</si>
  <si>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</si>
  <si>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</si>
  <si>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</si>
  <si>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</si>
  <si>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</si>
  <si>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</si>
  <si>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</si>
  <si>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</si>
  <si>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</si>
  <si>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</si>
  <si>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</si>
  <si>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</si>
  <si>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</si>
  <si>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</si>
  <si>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</si>
  <si>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</si>
  <si>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</si>
  <si>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</si>
  <si>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</si>
  <si>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</si>
  <si>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</si>
  <si>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</si>
  <si>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</si>
  <si>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</si>
  <si>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</si>
  <si>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</si>
  <si>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</si>
  <si>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</si>
  <si>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</si>
  <si>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</si>
  <si>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</si>
  <si>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</si>
  <si>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</si>
  <si>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</si>
  <si>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</si>
  <si>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</si>
  <si>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</si>
  <si>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</si>
  <si>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</si>
  <si>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</si>
  <si>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</si>
  <si>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</si>
  <si>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</si>
  <si>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</si>
  <si>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</si>
  <si>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</si>
  <si>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</si>
  <si>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</si>
  <si>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</si>
  <si>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</si>
  <si>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</si>
  <si>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</si>
  <si>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</si>
  <si>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</si>
  <si>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</si>
  <si>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</si>
  <si>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</si>
  <si>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</si>
  <si>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</si>
  <si>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</si>
  <si>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</si>
  <si>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</si>
  <si>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</si>
  <si>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</si>
  <si>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</si>
  <si>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</si>
  <si>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</si>
  <si>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</si>
  <si>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</si>
  <si>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</si>
  <si>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</si>
  <si>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</si>
  <si>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</si>
  <si>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</si>
  <si>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</si>
  <si>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</si>
  <si>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</si>
  <si>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</si>
  <si>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</si>
  <si>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</si>
  <si>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</si>
  <si>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</si>
  <si>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</si>
  <si>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</si>
  <si>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</si>
  <si>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</si>
  <si>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</si>
  <si>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</si>
  <si>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</si>
  <si>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</si>
  <si>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</si>
  <si>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</si>
  <si>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</si>
  <si>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</si>
  <si>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</si>
  <si>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</si>
  <si>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</si>
  <si>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</si>
  <si>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</si>
  <si>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</si>
  <si>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</si>
  <si>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</si>
  <si>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</si>
  <si>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</si>
  <si>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</si>
  <si>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</si>
  <si>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</si>
  <si>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</si>
  <si>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</si>
  <si>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</si>
  <si>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</si>
  <si>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</si>
  <si>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</si>
  <si>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</si>
  <si>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</si>
  <si>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</si>
  <si>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</si>
  <si>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</si>
  <si>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</si>
  <si>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</si>
  <si>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</si>
  <si>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</si>
  <si>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</si>
  <si>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</si>
  <si>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</si>
  <si>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</si>
  <si>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</si>
  <si>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</si>
  <si>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</si>
  <si>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</si>
  <si>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</si>
  <si>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</si>
  <si>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</si>
  <si>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</si>
  <si>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</si>
  <si>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</si>
  <si>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</si>
  <si>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</si>
  <si>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</si>
  <si>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</si>
  <si>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</si>
  <si>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</si>
  <si>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</si>
  <si>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</si>
  <si>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</si>
  <si>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</si>
  <si>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</si>
  <si>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</si>
  <si>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</si>
  <si>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</si>
  <si>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</si>
  <si>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</si>
  <si>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</si>
  <si>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</si>
  <si>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</si>
  <si>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</si>
  <si>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</si>
  <si>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</si>
  <si>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</si>
  <si>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</si>
  <si>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</si>
  <si>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</si>
  <si>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</si>
  <si>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</si>
  <si>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</si>
  <si>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</si>
  <si>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</si>
  <si>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</si>
  <si>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</si>
  <si>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</si>
  <si>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</si>
  <si>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</si>
  <si>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</si>
  <si>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</si>
  <si>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</si>
  <si>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</si>
  <si>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</si>
  <si>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</si>
  <si>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</si>
  <si>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</si>
  <si>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</si>
  <si>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</si>
  <si>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</si>
  <si>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</si>
  <si>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</si>
  <si>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</si>
  <si>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</si>
  <si>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</si>
  <si>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</si>
  <si>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</si>
  <si>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</si>
  <si>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</si>
  <si>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</si>
  <si>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</si>
  <si>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</si>
  <si>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</si>
  <si>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</si>
  <si>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</si>
  <si>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</si>
  <si>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</si>
  <si>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</si>
  <si>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</si>
  <si>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</si>
  <si>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</si>
  <si>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</si>
  <si>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</si>
  <si>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</si>
  <si>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</si>
  <si>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</si>
  <si>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</si>
  <si>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</si>
  <si>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</si>
  <si>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</si>
  <si>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</si>
  <si>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</si>
  <si>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</si>
  <si>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</si>
  <si>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</si>
  <si>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</si>
  <si>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</si>
  <si>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</si>
  <si>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</si>
  <si>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</si>
  <si>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</si>
  <si>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</si>
  <si>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</si>
  <si>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</si>
  <si>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</si>
  <si>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</si>
  <si>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</si>
  <si>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</si>
  <si>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</si>
  <si>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</si>
  <si>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</si>
  <si>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</si>
  <si>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</si>
  <si>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</si>
  <si>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</si>
  <si>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</si>
  <si>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</si>
  <si>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</si>
  <si>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</si>
  <si>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</si>
  <si>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</si>
  <si>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</si>
  <si>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</si>
  <si>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</si>
  <si>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</si>
  <si>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</si>
  <si>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</si>
  <si>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</si>
  <si>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</si>
  <si>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</si>
  <si>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</si>
  <si>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</si>
  <si>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</si>
  <si>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</si>
  <si>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</si>
  <si>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</si>
  <si>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</si>
  <si>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</si>
  <si>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</si>
  <si>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</si>
  <si>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</si>
  <si>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</si>
  <si>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</si>
  <si>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</si>
  <si>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</si>
  <si>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</si>
  <si>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</si>
  <si>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</si>
  <si>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</si>
  <si>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</si>
  <si>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</si>
  <si>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</si>
  <si>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</si>
  <si>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</si>
  <si>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</si>
  <si>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</si>
  <si>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</si>
  <si>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</si>
  <si>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</si>
  <si>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</si>
  <si>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</si>
  <si>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</si>
  <si>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</si>
  <si>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</si>
  <si>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</si>
  <si>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</si>
  <si>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</si>
  <si>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</si>
  <si>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</si>
  <si>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</si>
  <si>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</si>
  <si>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</si>
  <si>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</si>
  <si>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</si>
  <si>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</si>
  <si>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</si>
  <si>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</si>
  <si>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</si>
  <si>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</si>
  <si>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</si>
  <si>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</si>
  <si>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</si>
  <si>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</si>
  <si>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</si>
  <si>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</si>
  <si>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</si>
  <si>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</si>
  <si>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</si>
  <si>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</si>
  <si>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</si>
  <si>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</si>
  <si>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</si>
  <si>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</si>
  <si>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</si>
  <si>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</si>
  <si>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</si>
  <si>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</si>
  <si>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</si>
  <si>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</si>
  <si>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</si>
  <si>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</si>
  <si>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</si>
  <si>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</si>
  <si>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</si>
  <si>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</si>
  <si>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</si>
  <si>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</si>
  <si>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</si>
  <si>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</si>
  <si>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</si>
  <si>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</si>
  <si>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</si>
  <si>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</si>
  <si>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</si>
  <si>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</si>
  <si>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</si>
  <si>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</si>
  <si>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</si>
  <si>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</si>
  <si>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</si>
  <si>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</si>
  <si>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</si>
  <si>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</si>
  <si>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</si>
  <si>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</si>
  <si>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</si>
  <si>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</si>
  <si>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</si>
  <si>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</si>
  <si>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</si>
  <si>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</si>
  <si>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</si>
  <si>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</si>
  <si>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</si>
  <si>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</si>
  <si>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</si>
  <si>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</si>
  <si>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</si>
  <si>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</si>
  <si>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</si>
  <si>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</si>
  <si>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</si>
  <si>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</si>
  <si>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</si>
  <si>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</si>
  <si>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</si>
  <si>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</si>
  <si>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</si>
  <si>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</si>
  <si>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</si>
  <si>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</si>
  <si>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</si>
  <si>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</si>
  <si>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</si>
  <si>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</si>
  <si>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</si>
  <si>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</si>
  <si>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</si>
  <si>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</si>
  <si>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</si>
  <si>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</si>
  <si>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</si>
  <si>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</si>
  <si>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</si>
  <si>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</si>
  <si>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</si>
  <si>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</si>
  <si>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</si>
  <si>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</si>
  <si>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</si>
  <si>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</si>
  <si>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</si>
  <si>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</si>
  <si>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</si>
  <si>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</si>
  <si>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</si>
  <si>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</si>
  <si>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</si>
  <si>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</si>
  <si>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</si>
  <si>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</si>
  <si>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</si>
  <si>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</si>
  <si>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</si>
  <si>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</si>
  <si>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</si>
  <si>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</si>
  <si>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</si>
  <si>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</si>
  <si>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</si>
  <si>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</si>
  <si>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</si>
  <si>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</si>
  <si>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</si>
  <si>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</si>
  <si>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</si>
  <si>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</si>
  <si>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</si>
  <si>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</si>
  <si>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</si>
  <si>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</si>
  <si>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</si>
  <si>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</si>
  <si>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</si>
  <si>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</si>
  <si>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</si>
  <si>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</si>
  <si>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</si>
  <si>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</si>
  <si>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</si>
  <si>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</si>
  <si>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</si>
  <si>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</si>
  <si>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</si>
  <si>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</si>
  <si>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</si>
  <si>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</si>
  <si>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</si>
  <si>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</si>
  <si>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</si>
  <si>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</si>
  <si>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</si>
  <si>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</si>
  <si>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</si>
  <si>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</si>
  <si>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</si>
  <si>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</si>
  <si>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</si>
  <si>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</si>
  <si>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</si>
  <si>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</si>
  <si>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</si>
  <si>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</si>
  <si>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</si>
  <si>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</si>
  <si>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</si>
  <si>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</si>
  <si>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</si>
  <si>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</si>
  <si>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</si>
  <si>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</si>
  <si>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</si>
  <si>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</si>
  <si>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</si>
  <si>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</si>
  <si>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</si>
  <si>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</si>
  <si>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</si>
  <si>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</si>
  <si>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</si>
  <si>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</si>
  <si>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</si>
  <si>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</si>
  <si>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</si>
  <si>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</si>
  <si>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</si>
  <si>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</si>
  <si>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</si>
  <si>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</si>
  <si>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</si>
  <si>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</si>
  <si>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</si>
  <si>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</si>
  <si>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</si>
  <si>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</si>
  <si>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</si>
  <si>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</si>
  <si>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</si>
  <si>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</si>
  <si>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</si>
  <si>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</si>
  <si>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</si>
  <si>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</si>
  <si>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</si>
  <si>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</si>
  <si>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</si>
  <si>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</si>
  <si>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</si>
  <si>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</si>
  <si>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</si>
  <si>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</si>
  <si>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</si>
  <si>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</si>
  <si>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</si>
  <si>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</si>
  <si>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</si>
  <si>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</si>
  <si>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</si>
  <si>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</si>
  <si>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</si>
  <si>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</si>
  <si>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</si>
  <si>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</si>
  <si>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</si>
  <si>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</si>
  <si>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</si>
  <si>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</si>
  <si>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</si>
  <si>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</si>
  <si>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</si>
  <si>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</si>
  <si>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</si>
  <si>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</si>
  <si>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</si>
  <si>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</si>
  <si>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</si>
  <si>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</si>
  <si>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</si>
  <si>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</si>
  <si>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</si>
  <si>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</si>
  <si>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</si>
  <si>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</si>
  <si>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</si>
  <si>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</si>
  <si>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</si>
  <si>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</si>
  <si>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</si>
  <si>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</si>
  <si>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</si>
  <si>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</si>
  <si>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</si>
  <si>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</si>
  <si>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</si>
  <si>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</si>
  <si>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</si>
  <si>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</si>
  <si>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</si>
  <si>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</si>
  <si>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</si>
  <si>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</si>
  <si>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</si>
  <si>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</si>
  <si>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</si>
  <si>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</si>
  <si>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</si>
  <si>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</si>
  <si>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</si>
  <si>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</si>
  <si>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</si>
  <si>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</si>
  <si>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</si>
  <si>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</si>
  <si>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</si>
  <si>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</si>
  <si>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</si>
  <si>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</si>
  <si>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</si>
  <si>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</si>
  <si>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</si>
  <si>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</si>
  <si>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</si>
  <si>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</si>
  <si>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</si>
  <si>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</si>
  <si>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</si>
  <si>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</si>
  <si>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</si>
  <si>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</si>
  <si>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</si>
  <si>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</si>
  <si>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</si>
  <si>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</si>
  <si>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</si>
  <si>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</si>
  <si>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</si>
  <si>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</si>
  <si>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</si>
  <si>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</si>
  <si>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</si>
  <si>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</si>
  <si>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</si>
  <si>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</si>
  <si>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</si>
  <si>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</si>
  <si>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</si>
  <si>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</si>
  <si>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</si>
  <si>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</si>
  <si>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</si>
  <si>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</si>
  <si>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</si>
  <si>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</si>
  <si>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</si>
  <si>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</si>
  <si>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</si>
  <si>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</si>
  <si>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</si>
  <si>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</si>
  <si>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</si>
  <si>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</si>
  <si>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</si>
  <si>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</si>
  <si>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</si>
  <si>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</si>
  <si>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</si>
  <si>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</si>
  <si>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</si>
  <si>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</si>
  <si>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</si>
  <si>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</si>
  <si>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</si>
  <si>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</si>
  <si>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</si>
  <si>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</si>
  <si>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</si>
  <si>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</si>
  <si>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</si>
  <si>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</si>
  <si>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</si>
  <si>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</si>
  <si>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</si>
  <si>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</si>
  <si>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</si>
  <si>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</si>
  <si>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</si>
  <si>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</si>
  <si>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</si>
  <si>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</si>
  <si>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</si>
  <si>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</si>
  <si>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</si>
  <si>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</si>
  <si>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</si>
  <si>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</si>
  <si>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</si>
  <si>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</si>
  <si>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</si>
  <si>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</si>
  <si>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</si>
  <si>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</si>
  <si>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</si>
  <si>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</si>
  <si>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</si>
  <si>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</si>
  <si>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</si>
  <si>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</si>
  <si>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</si>
  <si>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</si>
  <si>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</si>
  <si>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</si>
  <si>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</si>
  <si>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</si>
  <si>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</si>
  <si>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</si>
  <si>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</si>
  <si>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</si>
  <si>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</si>
  <si>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</si>
  <si>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</si>
  <si>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</si>
  <si>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</si>
  <si>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</si>
  <si>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</si>
  <si>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</si>
  <si>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</si>
  <si>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</si>
  <si>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</si>
  <si>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</si>
  <si>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</si>
  <si>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</si>
  <si>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</si>
  <si>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</si>
  <si>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</si>
  <si>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</si>
  <si>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</si>
  <si>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</si>
  <si>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</si>
  <si>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</si>
  <si>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</si>
  <si>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</si>
  <si>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</si>
  <si>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</si>
  <si>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</si>
  <si>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</si>
  <si>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</si>
  <si>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</si>
  <si>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</si>
  <si>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</si>
  <si>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</si>
  <si>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</si>
  <si>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</si>
  <si>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</si>
  <si>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</si>
  <si>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</si>
  <si>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</si>
  <si>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</si>
  <si>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</si>
  <si>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</si>
  <si>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</si>
  <si>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</si>
  <si>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</si>
  <si>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</si>
  <si>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</si>
  <si>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</si>
  <si>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</si>
  <si>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</si>
  <si>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</si>
  <si>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</si>
  <si>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</si>
  <si>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</si>
  <si>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</si>
  <si>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</si>
  <si>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</si>
  <si>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</si>
  <si>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</si>
  <si>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</si>
  <si>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</si>
  <si>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</si>
  <si>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</si>
  <si>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</si>
  <si>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</si>
  <si>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</si>
  <si>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</si>
  <si>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</si>
  <si>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</si>
  <si>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</si>
  <si>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</si>
  <si>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</si>
  <si>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</si>
  <si>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</si>
  <si>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</si>
  <si>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</si>
  <si>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</si>
  <si>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</si>
  <si>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</si>
  <si>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</si>
  <si>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</si>
  <si>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</si>
  <si>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</si>
  <si>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</si>
  <si>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</si>
  <si>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</si>
  <si>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</si>
  <si>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</si>
  <si>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</si>
  <si>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</si>
  <si>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</si>
  <si>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</si>
  <si>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</si>
  <si>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</si>
  <si>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</si>
  <si>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</si>
  <si>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</si>
  <si>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</si>
  <si>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</si>
  <si>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</si>
  <si>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</si>
  <si>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</si>
  <si>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</si>
  <si>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</si>
  <si>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</si>
  <si>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</si>
  <si>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</si>
  <si>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</si>
  <si>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</si>
  <si>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</si>
  <si>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</si>
  <si>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</si>
  <si>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</si>
  <si>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</si>
  <si>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</si>
  <si>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</si>
  <si>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</si>
  <si>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</si>
  <si>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</si>
  <si>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</si>
  <si>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</si>
  <si>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</si>
  <si>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</si>
  <si>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</si>
  <si>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</si>
  <si>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</si>
  <si>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</si>
  <si>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</si>
  <si>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</si>
  <si>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</si>
  <si>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</si>
  <si>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</si>
  <si>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</si>
  <si>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</si>
  <si>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</si>
  <si>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</si>
  <si>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</si>
  <si>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</si>
  <si>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</si>
  <si>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</si>
  <si>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</si>
  <si>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</si>
  <si>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</si>
  <si>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</si>
  <si>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</si>
  <si>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</si>
  <si>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</si>
  <si>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</si>
  <si>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</si>
  <si>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</si>
  <si>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</si>
  <si>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</si>
  <si>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</si>
  <si>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</si>
  <si>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</si>
  <si>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</si>
  <si>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</si>
  <si>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</si>
  <si>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</si>
  <si>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</si>
  <si>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</si>
  <si>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</si>
  <si>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</si>
  <si>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</si>
  <si>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</si>
  <si>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</si>
  <si>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</si>
  <si>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</si>
  <si>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</si>
  <si>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</si>
  <si>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</si>
  <si>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</si>
  <si>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</si>
  <si>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</si>
  <si>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</si>
  <si>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</si>
  <si>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</si>
  <si>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</si>
  <si>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</si>
  <si>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</si>
  <si>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</si>
  <si>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</si>
  <si>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</si>
  <si>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</si>
  <si>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</si>
  <si>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</si>
  <si>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</si>
  <si>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</si>
  <si>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</si>
  <si>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</si>
  <si>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</si>
  <si>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</si>
  <si>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</si>
  <si>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</si>
  <si>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</si>
  <si>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</si>
  <si>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</si>
  <si>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</si>
  <si>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</si>
  <si>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</si>
  <si>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</si>
  <si>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</si>
  <si>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</si>
  <si>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</si>
  <si>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</si>
  <si>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</si>
  <si>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</si>
  <si>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</si>
  <si>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</si>
  <si>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</si>
  <si>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</si>
  <si>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</si>
  <si>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</si>
  <si>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</si>
  <si>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</si>
  <si>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</si>
  <si>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</si>
  <si>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</si>
  <si>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</si>
  <si>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</si>
  <si>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</si>
  <si>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</si>
  <si>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</si>
  <si>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</si>
  <si>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</si>
  <si>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</si>
  <si>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</si>
  <si>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</si>
  <si>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</si>
  <si>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</si>
  <si>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</si>
  <si>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</si>
  <si>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</si>
  <si>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</si>
  <si>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</si>
  <si>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</si>
  <si>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</si>
  <si>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</si>
  <si>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</si>
  <si>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</si>
  <si>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</si>
  <si>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</si>
  <si>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</si>
  <si>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</si>
  <si>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</si>
  <si>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</si>
  <si>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</si>
  <si>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</si>
  <si>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</si>
  <si>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</si>
  <si>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</si>
  <si>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</si>
  <si>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</si>
  <si>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</si>
  <si>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</si>
  <si>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</si>
  <si>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</si>
  <si>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</si>
  <si>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</si>
  <si>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</si>
  <si>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</si>
  <si>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</si>
  <si>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</si>
  <si>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</si>
  <si>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</si>
  <si>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</si>
  <si>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</si>
  <si>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</si>
  <si>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</si>
  <si>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</si>
  <si>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</si>
  <si>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</si>
  <si>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</si>
  <si>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</si>
  <si>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</si>
  <si>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</si>
  <si>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</si>
  <si>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</si>
  <si>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</si>
  <si>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</si>
  <si>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</si>
  <si>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</si>
  <si>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</si>
  <si>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</si>
  <si>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</si>
  <si>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</si>
  <si>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</si>
  <si>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</si>
  <si>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</si>
  <si>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</si>
  <si>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</si>
  <si>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</si>
  <si>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</si>
  <si>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</si>
  <si>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</si>
  <si>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</si>
  <si>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</si>
  <si>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</si>
  <si>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</si>
  <si>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</si>
  <si>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</si>
  <si>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</si>
  <si>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</si>
  <si>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</si>
  <si>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</si>
  <si>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</si>
  <si>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</si>
  <si>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</si>
  <si>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</si>
  <si>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</si>
  <si>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</si>
  <si>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</si>
  <si>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</si>
  <si>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</si>
  <si>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</si>
  <si>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</si>
  <si>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</si>
  <si>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</si>
  <si>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</si>
  <si>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</si>
  <si>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</si>
  <si>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</si>
  <si>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</si>
  <si>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</si>
  <si>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</si>
  <si>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</si>
  <si>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</si>
  <si>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</si>
  <si>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</si>
  <si>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</si>
  <si>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</si>
  <si>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</si>
  <si>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</si>
  <si>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</si>
  <si>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</si>
  <si>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</si>
  <si>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</si>
  <si>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</si>
  <si>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</si>
  <si>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</si>
  <si>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</si>
  <si>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</si>
  <si>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</si>
  <si>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</si>
  <si>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</si>
  <si>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</si>
  <si>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</si>
  <si>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</si>
  <si>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</si>
  <si>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</si>
  <si>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</si>
  <si>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</si>
  <si>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</si>
  <si>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</si>
  <si>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</si>
  <si>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</si>
  <si>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</si>
  <si>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</si>
  <si>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</si>
  <si>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</si>
  <si>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</si>
  <si>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</si>
  <si>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</si>
  <si>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</si>
  <si>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</si>
  <si>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</si>
  <si>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</si>
  <si>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</si>
  <si>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</si>
  <si>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</si>
  <si>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</si>
  <si>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</si>
  <si>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</si>
  <si>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</si>
  <si>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</si>
  <si>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</si>
  <si>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</si>
  <si>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</si>
  <si>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</si>
  <si>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</si>
  <si>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</si>
  <si>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</si>
  <si>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</si>
  <si>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</si>
  <si>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</si>
  <si>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</si>
  <si>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</si>
  <si>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</si>
  <si>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</si>
  <si>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</si>
  <si>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</si>
  <si>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</si>
  <si>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</si>
  <si>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</si>
  <si>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</si>
  <si>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</si>
  <si>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</si>
  <si>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</si>
  <si>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</si>
  <si>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</si>
  <si>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</si>
  <si>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</si>
  <si>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</si>
  <si>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</si>
  <si>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</si>
  <si>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</si>
  <si>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</si>
  <si>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</si>
  <si>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</si>
  <si>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</si>
  <si>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</si>
  <si>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</si>
  <si>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</si>
  <si>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</si>
  <si>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</si>
  <si>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</si>
  <si>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</si>
  <si>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</si>
  <si>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</si>
  <si>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</si>
  <si>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</si>
  <si>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</si>
  <si>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</si>
  <si>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</si>
  <si>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</si>
  <si>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</si>
  <si>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</si>
  <si>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</si>
  <si>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</si>
  <si>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</si>
  <si>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</si>
  <si>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</si>
  <si>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</si>
  <si>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</si>
  <si>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</si>
  <si>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</si>
  <si>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</si>
  <si>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</si>
  <si>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</si>
  <si>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</si>
  <si>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</si>
  <si>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</si>
  <si>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</si>
  <si>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</si>
  <si>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</si>
  <si>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</si>
  <si>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</si>
  <si>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</si>
  <si>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</si>
  <si>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</si>
  <si>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</si>
  <si>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</si>
  <si>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</si>
  <si>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</si>
  <si>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</si>
  <si>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</si>
  <si>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</si>
  <si>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</si>
  <si>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</si>
  <si>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</si>
  <si>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</si>
  <si>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</si>
  <si>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</si>
  <si>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</si>
  <si>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</si>
  <si>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</si>
  <si>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</si>
  <si>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</si>
  <si>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</si>
  <si>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</si>
  <si>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</si>
  <si>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</si>
  <si>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</si>
  <si>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</si>
  <si>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</si>
  <si>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</si>
  <si>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</si>
  <si>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</si>
  <si>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</si>
  <si>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</si>
  <si>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</si>
  <si>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</si>
  <si>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</si>
  <si>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</si>
  <si>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</si>
  <si>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</si>
  <si>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</si>
  <si>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</si>
  <si>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</si>
  <si>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</si>
  <si>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</si>
  <si>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</si>
  <si>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</si>
  <si>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</si>
  <si>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</si>
  <si>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</si>
  <si>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</si>
  <si>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</si>
  <si>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</si>
  <si>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</si>
  <si>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</si>
  <si>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</si>
  <si>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</si>
  <si>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</si>
  <si>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</si>
  <si>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</si>
  <si>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</si>
  <si>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</si>
  <si>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</si>
  <si>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</si>
  <si>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</si>
  <si>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</si>
  <si>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</si>
  <si>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</si>
  <si>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</si>
  <si>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</si>
  <si>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</si>
  <si>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</si>
  <si>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</si>
  <si>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</si>
  <si>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</si>
  <si>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</si>
  <si>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</si>
  <si>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</si>
  <si>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</si>
  <si>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</si>
  <si>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</si>
  <si>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</si>
  <si>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</si>
  <si>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</si>
  <si>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</si>
  <si>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</si>
  <si>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</si>
  <si>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</si>
  <si>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</si>
  <si>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</si>
  <si>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</si>
  <si>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</si>
  <si>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</si>
  <si>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</si>
  <si>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</si>
  <si>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</si>
  <si>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</si>
  <si>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</si>
  <si>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</si>
  <si>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</si>
  <si>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</si>
  <si>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</si>
  <si>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</si>
  <si>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</si>
  <si>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</si>
  <si>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</si>
  <si>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</si>
  <si>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</si>
  <si>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</si>
  <si>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</si>
  <si>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</si>
  <si>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</si>
  <si>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</si>
  <si>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</si>
  <si>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</si>
  <si>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</si>
  <si>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</si>
  <si>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</si>
  <si>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</si>
  <si>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</si>
  <si>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</si>
  <si>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</si>
  <si>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</si>
  <si>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</si>
  <si>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</si>
  <si>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</si>
  <si>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</si>
  <si>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</si>
  <si>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</si>
  <si>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</si>
  <si>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</si>
  <si>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</si>
  <si>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</si>
  <si>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</si>
  <si>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</si>
  <si>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</si>
  <si>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</si>
  <si>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</si>
  <si>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</si>
  <si>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</si>
  <si>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</si>
  <si>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</si>
  <si>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</si>
  <si>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</si>
  <si>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</si>
  <si>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</si>
  <si>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</si>
  <si>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</si>
  <si>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</si>
  <si>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</si>
  <si>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</si>
  <si>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</si>
  <si>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</si>
  <si>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</si>
  <si>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</si>
  <si>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</si>
  <si>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</si>
  <si>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</si>
  <si>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</si>
  <si>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</si>
  <si>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</si>
  <si>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</si>
  <si>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</si>
  <si>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</si>
  <si>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</si>
  <si>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</si>
  <si>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</si>
  <si>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</si>
  <si>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</si>
  <si>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</si>
  <si>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</si>
  <si>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</si>
  <si>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</si>
  <si>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</si>
  <si>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</si>
  <si>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</si>
  <si>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</si>
  <si>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</si>
  <si>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</si>
  <si>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</si>
  <si>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</si>
  <si>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</si>
  <si>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</si>
  <si>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</si>
  <si>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</si>
  <si>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</si>
  <si>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</si>
  <si>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</si>
  <si>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</si>
  <si>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</si>
  <si>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</si>
  <si>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</si>
  <si>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</si>
  <si>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</si>
  <si>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</si>
  <si>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</si>
  <si>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</si>
  <si>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</si>
  <si>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</si>
  <si>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</si>
  <si>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</si>
  <si>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</si>
  <si>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</si>
  <si>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</si>
  <si>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</si>
  <si>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</si>
  <si>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</si>
  <si>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</si>
  <si>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</si>
  <si>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</si>
  <si>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</si>
  <si>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</si>
  <si>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</si>
  <si>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</si>
  <si>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</si>
  <si>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</si>
  <si>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</si>
  <si>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</si>
  <si>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</si>
  <si>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</si>
  <si>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</si>
  <si>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</si>
  <si>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</si>
  <si>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</si>
  <si>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</si>
  <si>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</si>
  <si>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</si>
  <si>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</si>
  <si>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</si>
  <si>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</si>
  <si>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</si>
  <si>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</si>
  <si>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</si>
  <si>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</si>
  <si>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</si>
  <si>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</si>
  <si>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</si>
  <si>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</si>
  <si>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</si>
  <si>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</si>
  <si>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</si>
  <si>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</si>
  <si>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</si>
  <si>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</si>
  <si>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</si>
  <si>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</si>
  <si>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</si>
  <si>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</si>
  <si>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</si>
  <si>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</si>
  <si>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</si>
  <si>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</si>
  <si>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</si>
  <si>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</si>
  <si>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</si>
  <si>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</si>
  <si>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</si>
  <si>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</si>
  <si>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</si>
  <si>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</si>
  <si>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</si>
  <si>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</si>
  <si>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</si>
  <si>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</si>
  <si>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</si>
  <si>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</si>
  <si>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</si>
  <si>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</si>
  <si>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</si>
  <si>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</si>
  <si>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</si>
  <si>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</si>
  <si>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</si>
  <si>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</si>
  <si>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</si>
  <si>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</si>
  <si>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</si>
  <si>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</si>
  <si>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</si>
  <si>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</si>
  <si>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</si>
  <si>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</si>
  <si>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</si>
  <si>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</si>
  <si>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</si>
  <si>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</si>
  <si>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</si>
  <si>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</si>
  <si>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</si>
  <si>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</si>
  <si>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</si>
  <si>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</si>
  <si>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</si>
  <si>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</si>
  <si>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</si>
  <si>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</si>
  <si>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</si>
  <si>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</si>
  <si>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</si>
  <si>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</si>
  <si>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</si>
  <si>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</si>
  <si>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</si>
  <si>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</si>
  <si>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</si>
  <si>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</si>
  <si>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</si>
  <si>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</si>
  <si>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</si>
  <si>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</si>
  <si>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</si>
  <si>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</si>
  <si>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</si>
  <si>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</si>
  <si>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</si>
  <si>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</si>
  <si>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</si>
  <si>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</si>
  <si>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</si>
  <si>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</si>
  <si>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</si>
  <si>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</si>
  <si>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</si>
  <si>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</si>
  <si>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</si>
  <si>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</si>
  <si>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</si>
  <si>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</si>
  <si>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</si>
  <si>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</si>
  <si>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</si>
  <si>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</si>
  <si>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</si>
  <si>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</si>
  <si>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</si>
  <si>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</si>
  <si>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</si>
  <si>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</si>
  <si>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</si>
  <si>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</si>
  <si>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</si>
  <si>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</si>
  <si>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</si>
  <si>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</si>
  <si>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</si>
  <si>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</si>
  <si>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</si>
  <si>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</si>
  <si>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</si>
  <si>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</si>
  <si>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</si>
  <si>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</si>
  <si>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</si>
  <si>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</si>
  <si>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</si>
  <si>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</si>
  <si>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</si>
  <si>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</si>
  <si>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</si>
  <si>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</si>
  <si>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</si>
  <si>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</si>
  <si>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</si>
  <si>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</si>
  <si>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</si>
  <si>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</si>
  <si>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</si>
  <si>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</si>
  <si>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</si>
  <si>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</si>
  <si>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</si>
  <si>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</si>
  <si>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</si>
  <si>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</si>
  <si>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</si>
  <si>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</si>
  <si>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</si>
  <si>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</si>
  <si>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</si>
  <si>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</si>
  <si>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</si>
  <si>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</si>
  <si>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</si>
  <si>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</si>
  <si>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</si>
  <si>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</si>
  <si>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</si>
  <si>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</si>
  <si>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</si>
  <si>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</si>
  <si>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</si>
  <si>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</si>
  <si>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</si>
  <si>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</si>
  <si>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</si>
  <si>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</si>
  <si>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</si>
  <si>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</si>
  <si>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</si>
  <si>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</si>
  <si>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</si>
  <si>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</si>
  <si>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</si>
  <si>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</si>
  <si>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</si>
  <si>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</si>
  <si>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</si>
  <si>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</si>
  <si>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</si>
  <si>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</si>
  <si>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</si>
  <si>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</si>
  <si>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</si>
  <si>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</si>
  <si>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</si>
  <si>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</si>
  <si>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</si>
  <si>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</si>
  <si>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</si>
  <si>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</si>
  <si>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</si>
  <si>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</si>
  <si>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</si>
  <si>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</si>
  <si>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</si>
  <si>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</si>
  <si>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</si>
  <si>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</si>
  <si>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</si>
  <si>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</si>
  <si>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</si>
  <si>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</si>
  <si>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</si>
  <si>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</si>
  <si>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</si>
  <si>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</si>
  <si>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</si>
  <si>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</si>
  <si>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</si>
  <si>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</si>
  <si>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</si>
  <si>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</si>
  <si>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</si>
  <si>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</si>
  <si>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</si>
  <si>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</si>
  <si>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</si>
  <si>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</si>
  <si>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</si>
  <si>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</si>
  <si>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</si>
  <si>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</si>
  <si>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</si>
  <si>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</si>
  <si>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</si>
  <si>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</si>
  <si>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</si>
  <si>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</si>
  <si>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</si>
  <si>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</si>
  <si>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</si>
  <si>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</si>
  <si>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</si>
  <si>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</si>
  <si>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</si>
  <si>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</si>
  <si>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</si>
  <si>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</si>
  <si>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</si>
  <si>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</si>
  <si>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</si>
  <si>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</si>
  <si>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</si>
  <si>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</si>
  <si>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</si>
  <si>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</si>
  <si>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</si>
  <si>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</si>
  <si>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</si>
  <si>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</si>
  <si>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</si>
  <si>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</si>
  <si>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</si>
  <si>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</si>
  <si>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</si>
  <si>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</si>
  <si>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</si>
  <si>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</si>
  <si>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</si>
  <si>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</si>
  <si>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</si>
  <si>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</si>
  <si>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</si>
  <si>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</si>
  <si>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</si>
  <si>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</si>
  <si>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</si>
  <si>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</si>
  <si>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</si>
  <si>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</si>
  <si>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</si>
  <si>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</si>
  <si>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</si>
  <si>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</si>
  <si>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</si>
  <si>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</si>
  <si>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</si>
  <si>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</si>
  <si>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</si>
  <si>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</si>
  <si>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</si>
  <si>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</si>
  <si>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</si>
  <si>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</si>
  <si>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</si>
  <si>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</si>
  <si>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</si>
  <si>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</si>
  <si>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</si>
  <si>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</si>
  <si>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</si>
  <si>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</si>
  <si>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</si>
  <si>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</si>
  <si>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</si>
  <si>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</si>
  <si>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</si>
  <si>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</si>
  <si>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</si>
  <si>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</si>
  <si>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</si>
  <si>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</si>
  <si>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</si>
  <si>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</si>
  <si>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</si>
  <si>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</si>
  <si>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</si>
  <si>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</si>
  <si>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</si>
  <si>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</si>
  <si>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</si>
  <si>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</si>
  <si>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</si>
  <si>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</si>
  <si>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</si>
  <si>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</si>
  <si>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</si>
  <si>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</si>
  <si>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</si>
  <si>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</si>
  <si>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</si>
  <si>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</si>
  <si>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</si>
  <si>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</si>
  <si>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</si>
  <si>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</si>
  <si>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</si>
  <si>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</si>
  <si>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</si>
  <si>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</si>
  <si>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</si>
  <si>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</si>
  <si>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</si>
  <si>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</si>
  <si>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</si>
  <si>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</si>
  <si>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</si>
  <si>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</si>
  <si>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</si>
  <si>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</si>
  <si>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</si>
  <si>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</si>
  <si>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</si>
  <si>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</si>
  <si>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</si>
  <si>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</si>
  <si>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</si>
  <si>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</si>
  <si>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</si>
  <si>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</si>
  <si>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</si>
  <si>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</si>
  <si>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</si>
  <si>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</si>
  <si>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</si>
  <si>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</si>
  <si>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</si>
  <si>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</si>
  <si>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</si>
  <si>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</si>
  <si>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</si>
  <si>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</si>
  <si>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</si>
  <si>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</si>
  <si>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</si>
  <si>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</si>
  <si>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</si>
  <si>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</si>
  <si>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</si>
  <si>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</si>
  <si>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</si>
  <si>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</si>
  <si>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</si>
  <si>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</si>
  <si>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</si>
  <si>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</si>
  <si>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</si>
  <si>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</si>
  <si>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</si>
  <si>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</si>
  <si>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</si>
  <si>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</si>
  <si>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</si>
  <si>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</si>
  <si>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</si>
  <si>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</si>
  <si>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</si>
  <si>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</si>
  <si>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</si>
  <si>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</si>
  <si>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</si>
  <si>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</si>
  <si>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</si>
  <si>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</si>
  <si>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</si>
  <si>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</si>
  <si>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</si>
  <si>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</si>
  <si>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</si>
  <si>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</si>
  <si>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</si>
  <si>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</si>
  <si>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</si>
  <si>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</si>
  <si>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</si>
  <si>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</si>
  <si>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</si>
  <si>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</si>
  <si>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</si>
  <si>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</si>
  <si>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</si>
  <si>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</si>
  <si>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</si>
  <si>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</si>
  <si>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</si>
  <si>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</si>
  <si>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</si>
  <si>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</si>
  <si>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</si>
  <si>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</si>
  <si>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</si>
  <si>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</si>
  <si>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</si>
  <si>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</si>
  <si>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</si>
  <si>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</si>
  <si>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</si>
  <si>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</si>
  <si>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</si>
  <si>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</si>
  <si>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</si>
  <si>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</si>
  <si>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</si>
  <si>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</si>
  <si>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</si>
  <si>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</si>
  <si>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</si>
  <si>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</si>
  <si>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</si>
  <si>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</si>
  <si>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</si>
  <si>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</si>
  <si>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</si>
  <si>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</si>
  <si>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</si>
  <si>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</si>
  <si>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</si>
  <si>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</si>
  <si>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</si>
  <si>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</si>
  <si>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</si>
  <si>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</si>
  <si>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</si>
  <si>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</si>
  <si>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</si>
  <si>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</si>
  <si>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</si>
  <si>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</si>
  <si>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</si>
  <si>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</si>
  <si>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</si>
  <si>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</si>
  <si>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</si>
  <si>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</si>
  <si>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</si>
  <si>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</si>
  <si>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</si>
  <si>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</si>
  <si>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</si>
  <si>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</si>
  <si>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</si>
  <si>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</si>
  <si>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</si>
  <si>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</si>
  <si>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</si>
  <si>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</si>
  <si>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</si>
  <si>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</si>
  <si>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</si>
  <si>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</si>
  <si>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</si>
  <si>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</si>
  <si>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</si>
  <si>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</si>
  <si>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</si>
  <si>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</si>
  <si>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</si>
  <si>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</si>
  <si>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</si>
  <si>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</si>
  <si>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</si>
  <si>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</si>
  <si>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</si>
  <si>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</si>
  <si>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</si>
  <si>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</si>
  <si>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</si>
  <si>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</si>
  <si>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</si>
  <si>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</si>
  <si>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</si>
  <si>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</si>
  <si>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</si>
  <si>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</si>
  <si>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</si>
  <si>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</si>
  <si>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</si>
  <si>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</si>
  <si>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</si>
  <si>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</si>
  <si>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</si>
  <si>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</si>
  <si>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</si>
  <si>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</si>
  <si>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</si>
  <si>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</si>
  <si>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</si>
  <si>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</si>
  <si>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</si>
  <si>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</si>
  <si>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</si>
  <si>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</si>
  <si>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</si>
  <si>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</si>
  <si>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</si>
  <si>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</si>
  <si>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</si>
  <si>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</si>
  <si>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</si>
  <si>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</si>
  <si>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Rock Island</t>
  </si>
  <si>
    <t>1275 Avenue of the Cities</t>
  </si>
  <si>
    <t>East Moline</t>
  </si>
  <si>
    <t>jmorrow@uths.net</t>
  </si>
  <si>
    <t>Dr. Jay Morrow</t>
  </si>
  <si>
    <t>309-752-1622</t>
  </si>
  <si>
    <t>309-752-1615</t>
  </si>
  <si>
    <t>Bohnsack &amp; Frommelt, LLP</t>
  </si>
  <si>
    <t>Sarah Bohnsack</t>
  </si>
  <si>
    <t>1500 River Drive, Suite 200</t>
  </si>
  <si>
    <t>Moline</t>
  </si>
  <si>
    <t>IL</t>
  </si>
  <si>
    <t>563-343-9595</t>
  </si>
  <si>
    <t>066.004397</t>
  </si>
  <si>
    <t>2016 General Obligation Bonds</t>
  </si>
  <si>
    <t>2016 Working Cash Bonds</t>
  </si>
  <si>
    <t>Hampton #29, East Moline #37, Colona #190, (1)</t>
  </si>
  <si>
    <t>ACC Joint Agreement Members</t>
  </si>
  <si>
    <t>Blackhawk Area Special Education</t>
  </si>
  <si>
    <t>BHASED Coop Members</t>
  </si>
  <si>
    <t>Rock Island County ROE Members</t>
  </si>
  <si>
    <t>Blackhawk Area Special Education, ACC J.A. Members</t>
  </si>
  <si>
    <t>(1) Carbon Cliff #36, Silvis #34</t>
  </si>
  <si>
    <t>U.S. Department of Agriculture</t>
  </si>
  <si>
    <t>Pass-Through Illinois State Board of Education</t>
  </si>
  <si>
    <t>Child Nutrition Cluster:</t>
  </si>
  <si>
    <t>Total Child Nutrition Cluster</t>
  </si>
  <si>
    <t>17-4210-00</t>
  </si>
  <si>
    <t>17-4220-00</t>
  </si>
  <si>
    <t>U.S. Department of Education</t>
  </si>
  <si>
    <t>Title III- Immigrant Education Program</t>
  </si>
  <si>
    <t>Title II- Teacher Quality</t>
  </si>
  <si>
    <t xml:space="preserve">     Total Title II- Teacher Quality</t>
  </si>
  <si>
    <t>Pass-Through Blackhawk Area Special Education District</t>
  </si>
  <si>
    <t>84.010A</t>
  </si>
  <si>
    <t>84.365A</t>
  </si>
  <si>
    <t>84.367A</t>
  </si>
  <si>
    <t>84.027A</t>
  </si>
  <si>
    <t>17-4300-00</t>
  </si>
  <si>
    <t>17-4905-00</t>
  </si>
  <si>
    <t>17-4932-00</t>
  </si>
  <si>
    <t>Pass-Through East Moline School District #37</t>
  </si>
  <si>
    <t>Total U.S. Department of Education</t>
  </si>
  <si>
    <t>U.S. Department of Health and Human Services</t>
  </si>
  <si>
    <t>Pass-Through Illinois Department of Healthcare and Family Services</t>
  </si>
  <si>
    <t>Medicaid Administrative Outreach</t>
  </si>
  <si>
    <t>Total Schedule of Federal Awards</t>
  </si>
  <si>
    <t xml:space="preserve">     Total U.S. Department of Health and Human Services</t>
  </si>
  <si>
    <t>17-4909-00</t>
  </si>
  <si>
    <t>17-4991-00</t>
  </si>
  <si>
    <t>Unmodified</t>
  </si>
  <si>
    <t>Title 1 Low Income</t>
  </si>
  <si>
    <t>None</t>
  </si>
  <si>
    <t>NONE</t>
  </si>
  <si>
    <t>National School Lunch Program (M)</t>
  </si>
  <si>
    <t>N/A</t>
  </si>
  <si>
    <t>18-4210-00</t>
  </si>
  <si>
    <t>School Breakfast Program (M)</t>
  </si>
  <si>
    <t>18-4220-00</t>
  </si>
  <si>
    <t>Co</t>
  </si>
  <si>
    <t>Commodities, Noncash-DOD Fruits &amp; Vegetables (M)</t>
  </si>
  <si>
    <t>49081030017A1</t>
  </si>
  <si>
    <t>Commodities, Noncash (M)</t>
  </si>
  <si>
    <t>Total U.S. Department of Agriculture</t>
  </si>
  <si>
    <t>Institute of Museum and Library Services</t>
  </si>
  <si>
    <t>Pass-Through Illinois State Library</t>
  </si>
  <si>
    <t>Grants to States</t>
  </si>
  <si>
    <t>18-5260-BTB</t>
  </si>
  <si>
    <t xml:space="preserve">     Total Title 1 Low Income</t>
  </si>
  <si>
    <t>18-4300-00</t>
  </si>
  <si>
    <t xml:space="preserve">     Total Title III- Immigrant Education Program (1)</t>
  </si>
  <si>
    <t>18-4905-00</t>
  </si>
  <si>
    <t>18-4932-00</t>
  </si>
  <si>
    <t>Special Education-Grants to States, IDEA Part B Room &amp; Board</t>
  </si>
  <si>
    <t>17-4625-XC</t>
  </si>
  <si>
    <t>18-4625-XC</t>
  </si>
  <si>
    <t>Special Education-Grants to States, IDEA Part B Room &amp; Board (2)</t>
  </si>
  <si>
    <t>Special Education-Grants to States, IDEA Part B</t>
  </si>
  <si>
    <t>18-4620-00</t>
  </si>
  <si>
    <t xml:space="preserve">     Total Special Education-Grants to States, IDEA Part B (2)</t>
  </si>
  <si>
    <t>Title III- Language Instruction Program LEP (1)</t>
  </si>
  <si>
    <t>18-4991-00</t>
  </si>
  <si>
    <t>(1) Total expended for CFDA 84.365A=$4,052</t>
  </si>
  <si>
    <t>(2) Total expended for CFDA 84.027=$294,663</t>
  </si>
  <si>
    <t>X</t>
  </si>
  <si>
    <t>The accompanying Schedule of Expenditures of Federal Awards includes the federal grant activity of United Township High School District No. 30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</si>
  <si>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United Township High School District No. 30 provided federal awards to subrecipients as follows:</t>
  </si>
  <si>
    <r>
      <t xml:space="preserve">The following amounts were expended in the form of non-cash assistance by United Township High School District No. 30 and </t>
    </r>
    <r>
      <rPr>
        <b/>
        <sz val="9"/>
        <rFont val="Calibri"/>
        <family val="2"/>
        <scheme val="minor"/>
      </rPr>
      <t>should be</t>
    </r>
    <r>
      <rPr>
        <sz val="9"/>
        <rFont val="Calibri"/>
        <family val="2"/>
        <scheme val="minor"/>
      </rPr>
      <t xml:space="preserve"> included in the Schedule of Expenditures of Federal Awards:</t>
    </r>
  </si>
  <si>
    <t>Commodities (Non-Cash)</t>
  </si>
  <si>
    <t>Bohnsack &amp; Frommelt LLP</t>
  </si>
  <si>
    <t>Revenues 1290: TIF</t>
  </si>
  <si>
    <t>Revenues 1614: Student breakfast ala carte</t>
  </si>
  <si>
    <t>Revenues 1690:  Other food service revenues</t>
  </si>
  <si>
    <t>Revenues 1790:  Athletic event labor reimbursement</t>
  </si>
  <si>
    <t>Revenues 1999:  Various miscellaneous revenue</t>
  </si>
  <si>
    <t>Revenues 3999:  Library school systems grant</t>
  </si>
  <si>
    <t>Revenues 4999:  Miscellaneous federal revenues</t>
  </si>
  <si>
    <t>Expenditures 2190:  Student supervisors</t>
  </si>
  <si>
    <t>Advantage Pest Control</t>
  </si>
  <si>
    <t>AT&amp;T</t>
  </si>
  <si>
    <t>East Moline Municipal Pool</t>
  </si>
  <si>
    <t>E-Rate Funding Services</t>
  </si>
  <si>
    <t>Heartland Business Service</t>
  </si>
  <si>
    <t>Innovation Wireless</t>
  </si>
  <si>
    <t>Johnson Controls</t>
  </si>
  <si>
    <t>Kone</t>
  </si>
  <si>
    <t>Mediacom</t>
  </si>
  <si>
    <t>Midland Davis Recycling</t>
  </si>
  <si>
    <t>Phelps Uniform</t>
  </si>
  <si>
    <t>Republic Services</t>
  </si>
  <si>
    <t>Rock Island County Fair Association</t>
  </si>
  <si>
    <t>Ryan &amp; Associates</t>
  </si>
  <si>
    <t>Shred It</t>
  </si>
  <si>
    <t>Verizon Wireless</t>
  </si>
  <si>
    <t>Life Safety-Facility Acquisition and Construction - Purchased Service</t>
  </si>
  <si>
    <t>Kelly &amp; Associates</t>
  </si>
  <si>
    <t>O&amp;M-Support Services - Business-Purchased Service</t>
  </si>
  <si>
    <t>Trans-Support Services-Purchased Service</t>
  </si>
  <si>
    <t>40-2000-300</t>
  </si>
  <si>
    <t>90-2500-300</t>
  </si>
  <si>
    <t>20-2500-300</t>
  </si>
  <si>
    <t>ACT II Transportation</t>
  </si>
  <si>
    <t>Chicago Motor Coach</t>
  </si>
  <si>
    <t>Aramark Uniform Service</t>
  </si>
  <si>
    <t>Genesis Occupational Health</t>
  </si>
  <si>
    <t>Kansas State Bank</t>
  </si>
  <si>
    <t>Ramza Insurance Group</t>
  </si>
  <si>
    <t>Walt Lambach Fire</t>
  </si>
  <si>
    <t>Tri state Travel</t>
  </si>
  <si>
    <t>Tort-Support Services-Gen Admin-Purchased Service</t>
  </si>
  <si>
    <t>80-2000-300</t>
  </si>
  <si>
    <t>Ahern</t>
  </si>
  <si>
    <t>Aspec Environmental Testing</t>
  </si>
  <si>
    <t xml:space="preserve">City of East Moline </t>
  </si>
  <si>
    <t>Communication Innovators</t>
  </si>
  <si>
    <t>Crisis Prevention Institute</t>
  </si>
  <si>
    <t>Davenport Electric Contract Co</t>
  </si>
  <si>
    <t>DCS Computer Services</t>
  </si>
  <si>
    <t>Franczek Radelet</t>
  </si>
  <si>
    <t>Genesis Medical Center</t>
  </si>
  <si>
    <t>Gerber Life Insurance Co</t>
  </si>
  <si>
    <t>Global Compliance Network, Inc.</t>
  </si>
  <si>
    <t>Illinois Public Risk Fund</t>
  </si>
  <si>
    <t>J&amp;D Enterprises</t>
  </si>
  <si>
    <t>John L. VanHyning</t>
  </si>
  <si>
    <t>Johnson Controls Security Solutions</t>
  </si>
  <si>
    <t>Kone, Inc.</t>
  </si>
  <si>
    <t>Lawrence E. Smith &amp; Assoc</t>
  </si>
  <si>
    <t xml:space="preserve">360 Training </t>
  </si>
  <si>
    <t>Pepping, Balk, Kincaid &amp; Olson</t>
  </si>
  <si>
    <t xml:space="preserve">Per Mar </t>
  </si>
  <si>
    <t>State Fire Marshal</t>
  </si>
  <si>
    <t>Stuard &amp; Associates, Inc.</t>
  </si>
  <si>
    <t>Syscloud, Inc.</t>
  </si>
  <si>
    <t>Thompson Electronics Company</t>
  </si>
  <si>
    <t>Capital Proj-Support Services-Purchased Service</t>
  </si>
  <si>
    <t>60-2000-300</t>
  </si>
  <si>
    <t>Bush Construction</t>
  </si>
  <si>
    <t>McClure Engineering</t>
  </si>
  <si>
    <t>OPN Architects, Inc.</t>
  </si>
  <si>
    <t xml:space="preserve">Shive Hattery </t>
  </si>
  <si>
    <t>Terracon Consultants, Inc.</t>
  </si>
  <si>
    <t>Ed-Instruction-Purchased Service</t>
  </si>
  <si>
    <t>10-1000-300</t>
  </si>
  <si>
    <t>A&amp;A Air Conditioning</t>
  </si>
  <si>
    <t>Advanced Business Systems</t>
  </si>
  <si>
    <t>Doorway to College</t>
  </si>
  <si>
    <t>Edmentum, Inc.</t>
  </si>
  <si>
    <t>Hines, Kayci</t>
  </si>
  <si>
    <t>HM Receivables, Co</t>
  </si>
  <si>
    <t>King, Jennifer</t>
  </si>
  <si>
    <t>Philhower, Peter</t>
  </si>
  <si>
    <t>Reynolds Motor Co</t>
  </si>
  <si>
    <t>Robertson, Barry</t>
  </si>
  <si>
    <t>Rosetta Stone</t>
  </si>
  <si>
    <t>Mobymax</t>
  </si>
  <si>
    <t>Solee Music, LLC</t>
  </si>
  <si>
    <t>Spenard, Emily</t>
  </si>
  <si>
    <t>Tresona Multimedia, LLC</t>
  </si>
  <si>
    <t>Wells, Michael</t>
  </si>
  <si>
    <t>Xerox Corp</t>
  </si>
  <si>
    <t>Ed-Support Services-Pupil-Purchased Service</t>
  </si>
  <si>
    <t>10-2100-300</t>
  </si>
  <si>
    <t>Gorenz &amp; Associates, Ltd</t>
  </si>
  <si>
    <t>Taxslayer Center</t>
  </si>
  <si>
    <t>Ed-Support Services-Instructional Staff-Purchased Serv</t>
  </si>
  <si>
    <t>10-2200-300</t>
  </si>
  <si>
    <t>Bell Techlogix, Inc.</t>
  </si>
  <si>
    <t>CDW Government, Inc</t>
  </si>
  <si>
    <t>Patterson, Keith</t>
  </si>
  <si>
    <t>Performance Matters, LLC</t>
  </si>
  <si>
    <t>Rock Island County ROE</t>
  </si>
  <si>
    <t>Turnitin, LLC</t>
  </si>
  <si>
    <t>Ed-Support Services-General Admin-Purchased Service</t>
  </si>
  <si>
    <t>10-2300-300</t>
  </si>
  <si>
    <t>Bohnsack &amp; Frommelt</t>
  </si>
  <si>
    <t>Cornelius, Gordon</t>
  </si>
  <si>
    <t>Segura, Fred</t>
  </si>
  <si>
    <t>The Sandner Group</t>
  </si>
  <si>
    <t xml:space="preserve">West Interactive Services </t>
  </si>
  <si>
    <t>10-2500-300</t>
  </si>
  <si>
    <t>Pitney Bowes Global Financial</t>
  </si>
  <si>
    <t>Ed-Support Services-Business-Purchased Service</t>
  </si>
  <si>
    <t>Ed-Support Services-Central-Purchased Service</t>
  </si>
  <si>
    <t>10-2600-300</t>
  </si>
  <si>
    <t>Frontline Technologies</t>
  </si>
  <si>
    <t>IASA</t>
  </si>
  <si>
    <t>Integrated Systems Corporation</t>
  </si>
  <si>
    <t>Talx UC Express</t>
  </si>
  <si>
    <t>Ed-Community Services-Purchased Service</t>
  </si>
  <si>
    <t>Iowa Jobs for America's Graduates</t>
  </si>
  <si>
    <t>Ed-Payments to Districts &amp; Other Govt-Purchased Serv</t>
  </si>
  <si>
    <t>10-3000-300</t>
  </si>
  <si>
    <t>10-4100-300</t>
  </si>
  <si>
    <t>Ed-Support Services-School Admin-Purchased Service</t>
  </si>
  <si>
    <t>10-2400-300</t>
  </si>
  <si>
    <t>AP Exams</t>
  </si>
  <si>
    <t>College Entrance Exam Board</t>
  </si>
  <si>
    <t>The District previously reported opinion units as of June 30, 2017, on the basis of cash receipts and disbursements which is a comprehensive basis of accounting other than accounting principles generally accepted in the United States of America.  As stated in Note 7 to the basic financial statements for the year ended June 30, 2018, management has reported the statement of net position for the governmental activities, each major fund, and the aggregate remaining fund information and the balance sheets for each governmental fund as of June 30, 2018 under accounting principles generally accepted in the United States of America.  The beginning net position of the governmental activities, have been restated to record the effect of prior cash transactions that would have been reported as assets and liabilities under generally accepted accounting principles.  Management has not restated beginning net position/fund balances for assets earned or liabilities incurred through noncash transactions as of June 30, 2017.  The effect of the change from the basis of cash receipts and disbursements to the basis of accounting principles generally accepted in the United States of America is reported in the statement of activities and the statement of revenues, expenditures and changes in net position/fund balance as current period transactions.  The amount by which this departure would affect the beginning fund balances/net position, and revenues and expenses/expenditures of the governmental activities, each major fund, and the aggregate remaining fund information has not been determined.</t>
  </si>
  <si>
    <t>United Twp HSD 30</t>
  </si>
  <si>
    <t>20-2540-300</t>
  </si>
  <si>
    <t>40-2550-300</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</si>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</sst>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62" fillId="0" borderId="22" xfId="3" applyNumberFormat="1" applyFont="1" applyBorder="1" applyAlignment="1" applyProtection="1">
      <alignment horizontal="left" vertical="center" wrapText="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quotePrefix="1"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5</xdr:col>
          <xdr:colOff>285750</xdr:colOff>
          <xdr:row>15</xdr:row>
          <xdr:rowOff>514350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99980BB0-134E-4FE4-930E-F673478944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0</xdr:rowOff>
        </xdr:from>
        <xdr:to>
          <xdr:col>7</xdr:col>
          <xdr:colOff>285750</xdr:colOff>
          <xdr:row>15</xdr:row>
          <xdr:rowOff>514350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4A174671-8AD5-42F6-97E8-590C6FF803F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285750</xdr:colOff>
          <xdr:row>15</xdr:row>
          <xdr:rowOff>514350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9C1B1E6-823E-4CA8-9984-1421650266D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11</xdr:col>
          <xdr:colOff>285750</xdr:colOff>
          <xdr:row>15</xdr:row>
          <xdr:rowOff>514350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6732E3FB-03C0-49F7-8FB3-91126CA8F1F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574098</xdr:colOff>
          <xdr:row>14</xdr:row>
          <xdr:rowOff>36368</xdr:rowOff>
        </xdr:from>
        <xdr:to>
          <xdr:col>13</xdr:col>
          <xdr:colOff>265834</xdr:colOff>
          <xdr:row>15</xdr:row>
          <xdr:rowOff>562841</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A4966076-ED1D-4BA4-9ACE-61531D5CF53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2074</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2074</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49081030017</v>
      </c>
      <c r="B13" s="2035"/>
      <c r="C13" s="2035"/>
      <c r="D13" s="2035"/>
      <c r="E13" s="2035"/>
      <c r="F13" s="2035"/>
      <c r="G13" s="2035"/>
      <c r="H13" s="2036"/>
      <c r="I13" s="31"/>
      <c r="J13" s="30"/>
      <c r="K13" s="28"/>
      <c r="L13" s="30"/>
      <c r="M13" s="30"/>
      <c r="N13" s="30"/>
      <c r="O13" s="30"/>
      <c r="P13" s="30"/>
      <c r="Q13" s="30"/>
      <c r="R13" s="30"/>
      <c r="S13" s="30"/>
      <c r="T13" s="2039" t="s">
        <v>2082</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2075</v>
      </c>
      <c r="B15" s="2037"/>
      <c r="C15" s="2037"/>
      <c r="D15" s="2037"/>
      <c r="E15" s="2037"/>
      <c r="F15" s="2037"/>
      <c r="G15" s="2037"/>
      <c r="H15" s="2038"/>
      <c r="T15" s="2043" t="s">
        <v>2083</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2294</v>
      </c>
      <c r="B17" s="1994"/>
      <c r="C17" s="1994"/>
      <c r="D17" s="1994"/>
      <c r="E17" s="1994"/>
      <c r="F17" s="1994"/>
      <c r="G17" s="1994"/>
      <c r="H17" s="2019"/>
      <c r="T17" s="2050" t="s">
        <v>2084</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2076</v>
      </c>
      <c r="B19" s="1979"/>
      <c r="C19" s="1979"/>
      <c r="D19" s="1979"/>
      <c r="E19" s="1979"/>
      <c r="F19" s="1979"/>
      <c r="G19" s="1979"/>
      <c r="H19" s="1959"/>
      <c r="I19" s="30"/>
      <c r="J19" s="99"/>
      <c r="K19" s="40"/>
      <c r="L19" s="38"/>
      <c r="M19" s="112" t="s">
        <v>333</v>
      </c>
      <c r="P19" s="27"/>
      <c r="Q19" s="27"/>
      <c r="R19" s="27"/>
      <c r="S19" s="31"/>
      <c r="T19" s="2033" t="s">
        <v>2085</v>
      </c>
      <c r="U19" s="1958"/>
      <c r="V19" s="1958"/>
      <c r="W19" s="1959"/>
      <c r="X19" s="2048" t="s">
        <v>2086</v>
      </c>
      <c r="Y19" s="2049"/>
      <c r="Z19" s="2046">
        <v>61265</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2077</v>
      </c>
      <c r="B21" s="1958"/>
      <c r="C21" s="1958"/>
      <c r="D21" s="1958"/>
      <c r="E21" s="1958"/>
      <c r="F21" s="1958"/>
      <c r="G21" s="1958"/>
      <c r="H21" s="1959"/>
      <c r="I21" s="2013" t="s">
        <v>699</v>
      </c>
      <c r="J21" s="2008"/>
      <c r="K21" s="2008"/>
      <c r="L21" s="2008"/>
      <c r="M21" s="2008"/>
      <c r="N21" s="2008"/>
      <c r="O21" s="2008"/>
      <c r="P21" s="2008"/>
      <c r="Q21" s="2008"/>
      <c r="R21" s="2008"/>
      <c r="S21" s="2014"/>
      <c r="T21" s="2058" t="s">
        <v>2087</v>
      </c>
      <c r="U21" s="2059"/>
      <c r="V21" s="2059"/>
      <c r="W21" s="2059"/>
      <c r="X21" s="2064"/>
      <c r="Y21" s="2065"/>
      <c r="Z21" s="2065"/>
      <c r="AA21" s="2066"/>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t="s">
        <v>2078</v>
      </c>
      <c r="B23" s="2011"/>
      <c r="C23" s="2011"/>
      <c r="D23" s="2011"/>
      <c r="E23" s="2011"/>
      <c r="F23" s="2011"/>
      <c r="G23" s="2011"/>
      <c r="H23" s="2012"/>
      <c r="T23" s="2056" t="s">
        <v>2088</v>
      </c>
      <c r="U23" s="2057"/>
      <c r="V23" s="2057"/>
      <c r="W23" s="2057"/>
      <c r="X23" s="2061">
        <v>44530</v>
      </c>
      <c r="Y23" s="2062"/>
      <c r="Z23" s="2062"/>
      <c r="AA23" s="2063"/>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61244</v>
      </c>
      <c r="B25" s="1958"/>
      <c r="C25" s="1958"/>
      <c r="D25" s="1958"/>
      <c r="E25" s="1958"/>
      <c r="F25" s="1958"/>
      <c r="G25" s="1958"/>
      <c r="H25" s="1959"/>
      <c r="I25" s="113"/>
      <c r="J25" s="1982"/>
      <c r="K25" s="1982"/>
      <c r="L25" s="1982"/>
      <c r="M25" s="1982"/>
      <c r="N25" s="1982"/>
      <c r="O25" s="1982"/>
      <c r="P25" s="1982"/>
      <c r="Q25" s="1982"/>
      <c r="R25" s="1982"/>
      <c r="S25" s="1983"/>
      <c r="T25" s="2053"/>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2074</v>
      </c>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2079</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2078</v>
      </c>
      <c r="B40" s="1972"/>
      <c r="C40" s="1973"/>
      <c r="D40" s="1973"/>
      <c r="E40" s="1973"/>
      <c r="F40" s="1974"/>
      <c r="G40" s="1974"/>
      <c r="H40" s="1975"/>
      <c r="I40" s="1996"/>
      <c r="J40" s="1997"/>
      <c r="K40" s="1997"/>
      <c r="L40" s="1997"/>
      <c r="M40" s="1997"/>
      <c r="N40" s="1997"/>
      <c r="O40" s="1997"/>
      <c r="P40" s="1997"/>
      <c r="Q40" s="1997"/>
      <c r="R40" s="1997"/>
      <c r="S40" s="1998"/>
      <c r="T40" s="1996"/>
      <c r="U40" s="2060"/>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2080</v>
      </c>
      <c r="B42" s="1977"/>
      <c r="C42" s="1978"/>
      <c r="D42" s="1976" t="s">
        <v>2081</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21" sqref="E2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200" t="s">
        <v>1902</v>
      </c>
      <c r="B2" s="1550" t="s">
        <v>2034</v>
      </c>
      <c r="C2" s="715" t="s">
        <v>1907</v>
      </c>
      <c r="D2" s="715" t="s">
        <v>1908</v>
      </c>
      <c r="E2" s="715" t="s">
        <v>1909</v>
      </c>
      <c r="F2" s="715" t="s">
        <v>1910</v>
      </c>
    </row>
    <row r="3" spans="1:6" ht="12" customHeight="1" x14ac:dyDescent="0.2">
      <c r="A3" s="2201"/>
      <c r="B3" s="1547"/>
      <c r="C3" s="1548"/>
      <c r="D3" s="1549" t="s">
        <v>274</v>
      </c>
      <c r="E3" s="1548"/>
      <c r="F3" s="1549" t="s">
        <v>275</v>
      </c>
    </row>
    <row r="4" spans="1:6" ht="13.7" customHeight="1" x14ac:dyDescent="0.2">
      <c r="A4" s="716" t="s">
        <v>1217</v>
      </c>
      <c r="B4" s="1769">
        <f>'Revenues 9-14'!C5</f>
        <v>4865470</v>
      </c>
      <c r="C4" s="1546">
        <v>1688701</v>
      </c>
      <c r="D4" s="1772">
        <f>B4-C4</f>
        <v>3176769</v>
      </c>
      <c r="E4" s="1546">
        <v>4891500</v>
      </c>
      <c r="F4" s="1772">
        <f>E4-C4</f>
        <v>3202799</v>
      </c>
    </row>
    <row r="5" spans="1:6" ht="13.7" customHeight="1" x14ac:dyDescent="0.2">
      <c r="A5" s="716" t="s">
        <v>925</v>
      </c>
      <c r="B5" s="1770">
        <f>'Revenues 9-14'!D5</f>
        <v>1322139</v>
      </c>
      <c r="C5" s="585">
        <v>458886</v>
      </c>
      <c r="D5" s="1773">
        <f t="shared" ref="D5:D18" si="0">B5-C5</f>
        <v>863253</v>
      </c>
      <c r="E5" s="585">
        <v>1329212</v>
      </c>
      <c r="F5" s="1773">
        <f>E5-C5</f>
        <v>870326</v>
      </c>
    </row>
    <row r="6" spans="1:6" ht="13.7" customHeight="1" x14ac:dyDescent="0.2">
      <c r="A6" s="716" t="s">
        <v>431</v>
      </c>
      <c r="B6" s="1770">
        <f>'Revenues 9-14'!E5</f>
        <v>1034477</v>
      </c>
      <c r="C6" s="585">
        <v>348019</v>
      </c>
      <c r="D6" s="1773">
        <f t="shared" si="0"/>
        <v>686458</v>
      </c>
      <c r="E6" s="585">
        <v>1008074</v>
      </c>
      <c r="F6" s="1773">
        <f t="shared" ref="F6:F18" si="1">E6-C6</f>
        <v>660055</v>
      </c>
    </row>
    <row r="7" spans="1:6" ht="13.7" customHeight="1" x14ac:dyDescent="0.2">
      <c r="A7" s="716" t="s">
        <v>157</v>
      </c>
      <c r="B7" s="1770">
        <f>'Revenues 9-14'!F5</f>
        <v>634626</v>
      </c>
      <c r="C7" s="585">
        <v>220265</v>
      </c>
      <c r="D7" s="1773">
        <f t="shared" si="0"/>
        <v>414361</v>
      </c>
      <c r="E7" s="585">
        <v>638022</v>
      </c>
      <c r="F7" s="1773">
        <f t="shared" si="1"/>
        <v>417757</v>
      </c>
    </row>
    <row r="8" spans="1:6" ht="13.7" customHeight="1" x14ac:dyDescent="0.2">
      <c r="A8" s="716" t="s">
        <v>1241</v>
      </c>
      <c r="B8" s="1770">
        <f>'Revenues 9-14'!G5</f>
        <v>94943</v>
      </c>
      <c r="C8" s="585">
        <v>11380</v>
      </c>
      <c r="D8" s="1773">
        <f t="shared" si="0"/>
        <v>83563</v>
      </c>
      <c r="E8" s="585">
        <v>32965</v>
      </c>
      <c r="F8" s="1773">
        <f t="shared" si="1"/>
        <v>21585</v>
      </c>
    </row>
    <row r="9" spans="1:6" ht="13.7" customHeight="1" x14ac:dyDescent="0.2">
      <c r="A9" s="716" t="s">
        <v>428</v>
      </c>
      <c r="B9" s="1770">
        <f>'Revenues 9-14'!H5</f>
        <v>0</v>
      </c>
      <c r="C9" s="585">
        <v>0</v>
      </c>
      <c r="D9" s="1773">
        <f t="shared" si="0"/>
        <v>0</v>
      </c>
      <c r="E9" s="585">
        <v>0</v>
      </c>
      <c r="F9" s="1773">
        <f t="shared" si="1"/>
        <v>0</v>
      </c>
    </row>
    <row r="10" spans="1:6" ht="13.7" customHeight="1" x14ac:dyDescent="0.2">
      <c r="A10" s="716" t="s">
        <v>427</v>
      </c>
      <c r="B10" s="1770">
        <f>'Revenues 9-14'!I5</f>
        <v>264428</v>
      </c>
      <c r="C10" s="585">
        <v>91777</v>
      </c>
      <c r="D10" s="1773">
        <f t="shared" si="0"/>
        <v>172651</v>
      </c>
      <c r="E10" s="585">
        <v>265842</v>
      </c>
      <c r="F10" s="1773">
        <f t="shared" si="1"/>
        <v>174065</v>
      </c>
    </row>
    <row r="11" spans="1:6" x14ac:dyDescent="0.2">
      <c r="A11" s="716" t="s">
        <v>429</v>
      </c>
      <c r="B11" s="1770">
        <f>'Revenues 9-14'!J5</f>
        <v>588498</v>
      </c>
      <c r="C11" s="585">
        <v>205214</v>
      </c>
      <c r="D11" s="1773">
        <f t="shared" si="0"/>
        <v>383284</v>
      </c>
      <c r="E11" s="585">
        <v>594424</v>
      </c>
      <c r="F11" s="1773">
        <f t="shared" si="1"/>
        <v>389210</v>
      </c>
    </row>
    <row r="12" spans="1:6" ht="13.7" customHeight="1" x14ac:dyDescent="0.2">
      <c r="A12" s="716" t="s">
        <v>159</v>
      </c>
      <c r="B12" s="1770">
        <f>'Revenues 9-14'!K5</f>
        <v>264428</v>
      </c>
      <c r="C12" s="585">
        <v>91777</v>
      </c>
      <c r="D12" s="1773">
        <f t="shared" si="0"/>
        <v>172651</v>
      </c>
      <c r="E12" s="585">
        <v>265842</v>
      </c>
      <c r="F12" s="1773">
        <f t="shared" si="1"/>
        <v>174065</v>
      </c>
    </row>
    <row r="13" spans="1:6" ht="13.7" customHeight="1" x14ac:dyDescent="0.2">
      <c r="A13" s="716" t="s">
        <v>993</v>
      </c>
      <c r="B13" s="1770">
        <f>SUM('Revenues 9-14'!C6:D6)</f>
        <v>264428</v>
      </c>
      <c r="C13" s="585">
        <v>91777</v>
      </c>
      <c r="D13" s="1773">
        <f t="shared" si="0"/>
        <v>172651</v>
      </c>
      <c r="E13" s="585">
        <v>265842</v>
      </c>
      <c r="F13" s="1773">
        <f t="shared" si="1"/>
        <v>174065</v>
      </c>
    </row>
    <row r="14" spans="1:6" ht="13.7" customHeight="1" x14ac:dyDescent="0.2">
      <c r="A14" s="716" t="s">
        <v>430</v>
      </c>
      <c r="B14" s="1770">
        <f>SUM('Revenues 9-14'!C7:D7,'Revenues 9-14'!F7:H7)</f>
        <v>105771</v>
      </c>
      <c r="C14" s="585">
        <v>36711</v>
      </c>
      <c r="D14" s="1773">
        <f t="shared" si="0"/>
        <v>69060</v>
      </c>
      <c r="E14" s="585">
        <v>106337</v>
      </c>
      <c r="F14" s="1773">
        <f t="shared" si="1"/>
        <v>69626</v>
      </c>
    </row>
    <row r="15" spans="1:6" ht="13.7" customHeight="1" x14ac:dyDescent="0.2">
      <c r="A15" s="716" t="s">
        <v>1220</v>
      </c>
      <c r="B15" s="1770">
        <f>'Revenues 9-14'!E9</f>
        <v>0</v>
      </c>
      <c r="C15" s="585">
        <v>0</v>
      </c>
      <c r="D15" s="1773">
        <f t="shared" si="0"/>
        <v>0</v>
      </c>
      <c r="E15" s="585">
        <v>0</v>
      </c>
      <c r="F15" s="1773">
        <f t="shared" si="1"/>
        <v>0</v>
      </c>
    </row>
    <row r="16" spans="1:6" ht="13.7" customHeight="1" x14ac:dyDescent="0.2">
      <c r="A16" s="716" t="s">
        <v>1221</v>
      </c>
      <c r="B16" s="1770">
        <f>'Revenues 9-14'!G8</f>
        <v>526089</v>
      </c>
      <c r="C16" s="585">
        <v>212556</v>
      </c>
      <c r="D16" s="1773">
        <f t="shared" si="0"/>
        <v>313533</v>
      </c>
      <c r="E16" s="585">
        <v>615691</v>
      </c>
      <c r="F16" s="1773">
        <f t="shared" si="1"/>
        <v>403135</v>
      </c>
    </row>
    <row r="17" spans="1:6" ht="13.7" customHeight="1" x14ac:dyDescent="0.2">
      <c r="A17" s="716" t="s">
        <v>1222</v>
      </c>
      <c r="B17" s="1770">
        <f>'Revenues 9-14'!C10</f>
        <v>0</v>
      </c>
      <c r="C17" s="585">
        <v>0</v>
      </c>
      <c r="D17" s="1773">
        <f t="shared" si="0"/>
        <v>0</v>
      </c>
      <c r="E17" s="585">
        <v>0</v>
      </c>
      <c r="F17" s="1773">
        <f t="shared" si="1"/>
        <v>0</v>
      </c>
    </row>
    <row r="18" spans="1:6" ht="13.7" customHeight="1" x14ac:dyDescent="0.2">
      <c r="A18" s="716" t="s">
        <v>786</v>
      </c>
      <c r="B18" s="1770">
        <f>SUM('Revenues 9-14'!C11:K11)</f>
        <v>0</v>
      </c>
      <c r="C18" s="585">
        <v>0</v>
      </c>
      <c r="D18" s="1773">
        <f t="shared" si="0"/>
        <v>0</v>
      </c>
      <c r="E18" s="585">
        <v>0</v>
      </c>
      <c r="F18" s="1773">
        <f t="shared" si="1"/>
        <v>0</v>
      </c>
    </row>
    <row r="19" spans="1:6" ht="13.7" customHeight="1" thickBot="1" x14ac:dyDescent="0.25">
      <c r="A19" s="1774" t="s">
        <v>1223</v>
      </c>
      <c r="B19" s="1771">
        <f>SUM(B4:B18)</f>
        <v>9965297</v>
      </c>
      <c r="C19" s="1771">
        <f>SUM(C4:C18)</f>
        <v>3457063</v>
      </c>
      <c r="D19" s="1771">
        <f>SUM(D4:D18)</f>
        <v>6508234</v>
      </c>
      <c r="E19" s="1771">
        <f>SUM(E4:E18)</f>
        <v>10013751</v>
      </c>
      <c r="F19" s="1771">
        <f>SUM(F4:F18)</f>
        <v>6556688</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J32" sqref="J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650</v>
      </c>
      <c r="B1" s="2220"/>
      <c r="C1" s="722"/>
    </row>
    <row r="2" spans="1:7" ht="33.75" x14ac:dyDescent="0.2">
      <c r="A2" s="2227" t="s">
        <v>1902</v>
      </c>
      <c r="B2" s="2228"/>
      <c r="C2" s="1905" t="s">
        <v>2035</v>
      </c>
      <c r="D2" s="724" t="s">
        <v>2042</v>
      </c>
      <c r="E2" s="724" t="s">
        <v>2043</v>
      </c>
      <c r="F2" s="1905" t="s">
        <v>2036</v>
      </c>
    </row>
    <row r="3" spans="1:7" ht="15.75" customHeight="1" x14ac:dyDescent="0.2">
      <c r="A3" s="2229" t="s">
        <v>1176</v>
      </c>
      <c r="B3" s="2230"/>
      <c r="C3" s="2223"/>
      <c r="D3" s="2224"/>
      <c r="E3" s="2224"/>
      <c r="F3" s="2225"/>
    </row>
    <row r="4" spans="1:7" ht="12.75" customHeight="1" thickBot="1" x14ac:dyDescent="0.25">
      <c r="A4" s="2217" t="s">
        <v>651</v>
      </c>
      <c r="B4" s="2218"/>
      <c r="C4" s="581"/>
      <c r="D4" s="581"/>
      <c r="E4" s="581"/>
      <c r="F4" s="1775">
        <f>SUM(C4+D4)-E4</f>
        <v>0</v>
      </c>
    </row>
    <row r="5" spans="1:7" ht="15.75" customHeight="1" thickTop="1" x14ac:dyDescent="0.2">
      <c r="A5" s="2221" t="s">
        <v>1172</v>
      </c>
      <c r="B5" s="2216"/>
      <c r="C5" s="2210"/>
      <c r="D5" s="2211"/>
      <c r="E5" s="2211"/>
      <c r="F5" s="2212"/>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13" t="s">
        <v>652</v>
      </c>
      <c r="B15" s="2214"/>
      <c r="C15" s="1775">
        <f>SUM(C6:C14)</f>
        <v>0</v>
      </c>
      <c r="D15" s="1775">
        <f>SUM(D6:D14)</f>
        <v>0</v>
      </c>
      <c r="E15" s="1775">
        <f>SUM(E6:E14)</f>
        <v>0</v>
      </c>
      <c r="F15" s="1775">
        <f>SUM(F6:F14)</f>
        <v>0</v>
      </c>
      <c r="G15" s="552"/>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7"/>
      <c r="D17" s="585"/>
      <c r="E17" s="727"/>
      <c r="F17" s="1775">
        <f>SUM(C17+D17)-E17</f>
        <v>0</v>
      </c>
    </row>
    <row r="18" spans="1:11" ht="12.75" customHeight="1" thickTop="1" thickBot="1" x14ac:dyDescent="0.25">
      <c r="A18" s="2208" t="s">
        <v>6</v>
      </c>
      <c r="B18" s="2209"/>
      <c r="C18" s="727"/>
      <c r="D18" s="585"/>
      <c r="E18" s="727"/>
      <c r="F18" s="1775">
        <f>SUM(C18+D18)-E18</f>
        <v>0</v>
      </c>
    </row>
    <row r="19" spans="1:11" ht="12.75" customHeight="1" thickTop="1" thickBot="1" x14ac:dyDescent="0.25">
      <c r="A19" s="2208" t="s">
        <v>406</v>
      </c>
      <c r="B19" s="2209"/>
      <c r="C19" s="727"/>
      <c r="D19" s="585"/>
      <c r="E19" s="727"/>
      <c r="F19" s="1775">
        <f>SUM(C19+D19)-E19</f>
        <v>0</v>
      </c>
    </row>
    <row r="20" spans="1:11" ht="12.75" customHeight="1" thickTop="1" thickBot="1" x14ac:dyDescent="0.25">
      <c r="A20" s="2208" t="s">
        <v>468</v>
      </c>
      <c r="B20" s="2209"/>
      <c r="C20" s="727"/>
      <c r="D20" s="585"/>
      <c r="E20" s="727"/>
      <c r="F20" s="1775">
        <f>SUM(C20+D20)-E20</f>
        <v>0</v>
      </c>
    </row>
    <row r="21" spans="1:11" ht="14.25" thickTop="1" thickBot="1" x14ac:dyDescent="0.25">
      <c r="A21" s="2213" t="s">
        <v>653</v>
      </c>
      <c r="B21" s="2214"/>
      <c r="C21" s="1775">
        <f>SUM(C17:C20)</f>
        <v>0</v>
      </c>
      <c r="D21" s="1775">
        <f>SUM(D17:D20)</f>
        <v>0</v>
      </c>
      <c r="E21" s="1775">
        <f>SUM(E17:E20)</f>
        <v>0</v>
      </c>
      <c r="F21" s="1775">
        <f>SUM(F17:F20)</f>
        <v>0</v>
      </c>
      <c r="G21" s="552"/>
    </row>
    <row r="22" spans="1:11" ht="15.75" customHeight="1" thickTop="1" x14ac:dyDescent="0.2">
      <c r="A22" s="2215" t="s">
        <v>1174</v>
      </c>
      <c r="B22" s="2216"/>
      <c r="C22" s="2210"/>
      <c r="D22" s="2211"/>
      <c r="E22" s="2211"/>
      <c r="F22" s="2212"/>
    </row>
    <row r="23" spans="1:11" ht="13.5" thickBot="1" x14ac:dyDescent="0.25">
      <c r="A23" s="2217" t="s">
        <v>654</v>
      </c>
      <c r="B23" s="2218"/>
      <c r="C23" s="581"/>
      <c r="D23" s="581"/>
      <c r="E23" s="581"/>
      <c r="F23" s="1775">
        <f>SUM(C23+D23)-E23</f>
        <v>0</v>
      </c>
      <c r="G23" s="552"/>
    </row>
    <row r="24" spans="1:11" ht="15.75" customHeight="1" thickTop="1" x14ac:dyDescent="0.2">
      <c r="A24" s="2215" t="s">
        <v>1175</v>
      </c>
      <c r="B24" s="2216"/>
      <c r="C24" s="2210"/>
      <c r="D24" s="2211"/>
      <c r="E24" s="2211"/>
      <c r="F24" s="2212"/>
    </row>
    <row r="25" spans="1:11" ht="13.5" thickBot="1" x14ac:dyDescent="0.25">
      <c r="A25" s="2217" t="s">
        <v>655</v>
      </c>
      <c r="B25" s="2218"/>
      <c r="C25" s="581"/>
      <c r="D25" s="581"/>
      <c r="E25" s="581"/>
      <c r="F25" s="1775">
        <f>SUM(C25+D25)-E25</f>
        <v>0</v>
      </c>
      <c r="G25" s="552"/>
    </row>
    <row r="26" spans="1:11" ht="15.75" customHeight="1" thickTop="1" x14ac:dyDescent="0.2">
      <c r="A26" s="2221" t="s">
        <v>678</v>
      </c>
      <c r="B26" s="2216"/>
      <c r="C26" s="728"/>
      <c r="D26" s="728"/>
      <c r="E26" s="728"/>
      <c r="F26" s="729"/>
    </row>
    <row r="27" spans="1:11" ht="13.5" thickBot="1" x14ac:dyDescent="0.25">
      <c r="A27" s="2213" t="s">
        <v>1130</v>
      </c>
      <c r="B27" s="2214"/>
      <c r="C27" s="585"/>
      <c r="D27" s="585"/>
      <c r="E27" s="585"/>
      <c r="F27" s="1775">
        <f>SUM(C27+D27)-E27</f>
        <v>0</v>
      </c>
      <c r="G27" s="552"/>
    </row>
    <row r="28" spans="1:11" ht="7.5" customHeight="1" thickTop="1" x14ac:dyDescent="0.2">
      <c r="A28" s="594"/>
    </row>
    <row r="29" spans="1:11" ht="23.25" customHeight="1" x14ac:dyDescent="0.2">
      <c r="A29" s="2219" t="s">
        <v>603</v>
      </c>
      <c r="B29" s="2220"/>
      <c r="C29" s="730"/>
      <c r="D29" s="730"/>
      <c r="E29" s="730"/>
      <c r="F29" s="730"/>
      <c r="G29" s="730"/>
      <c r="H29" s="730"/>
      <c r="I29" s="730"/>
      <c r="J29" s="730"/>
    </row>
    <row r="30" spans="1:11" ht="33.75" x14ac:dyDescent="0.2">
      <c r="A30" s="1551" t="s">
        <v>1131</v>
      </c>
      <c r="B30" s="731" t="s">
        <v>1186</v>
      </c>
      <c r="C30" s="1906" t="s">
        <v>604</v>
      </c>
      <c r="D30" s="1906" t="s">
        <v>1772</v>
      </c>
      <c r="E30" s="1906" t="s">
        <v>2037</v>
      </c>
      <c r="F30" s="1906" t="s">
        <v>2038</v>
      </c>
      <c r="G30" s="1906" t="s">
        <v>2041</v>
      </c>
      <c r="H30" s="1906" t="s">
        <v>2039</v>
      </c>
      <c r="I30" s="1906" t="s">
        <v>2040</v>
      </c>
      <c r="J30" s="1907" t="s">
        <v>2</v>
      </c>
      <c r="K30" s="732"/>
    </row>
    <row r="31" spans="1:11" ht="12" customHeight="1" x14ac:dyDescent="0.2">
      <c r="A31" s="733" t="s">
        <v>2089</v>
      </c>
      <c r="B31" s="734">
        <v>42401</v>
      </c>
      <c r="C31" s="735">
        <v>1000000</v>
      </c>
      <c r="D31" s="736">
        <v>2</v>
      </c>
      <c r="E31" s="735">
        <v>1000000</v>
      </c>
      <c r="F31" s="735">
        <v>0</v>
      </c>
      <c r="G31" s="735">
        <v>0</v>
      </c>
      <c r="H31" s="735"/>
      <c r="I31" s="1776">
        <f>((E31+F31)-H31)+G31</f>
        <v>1000000</v>
      </c>
      <c r="J31" s="735">
        <v>516879</v>
      </c>
      <c r="K31" s="737"/>
    </row>
    <row r="32" spans="1:11" ht="12" customHeight="1" x14ac:dyDescent="0.2">
      <c r="A32" s="733" t="s">
        <v>2090</v>
      </c>
      <c r="B32" s="734">
        <v>42401</v>
      </c>
      <c r="C32" s="735">
        <v>2000000</v>
      </c>
      <c r="D32" s="736">
        <v>1</v>
      </c>
      <c r="E32" s="735">
        <v>1010000</v>
      </c>
      <c r="F32" s="735">
        <v>0</v>
      </c>
      <c r="G32" s="735">
        <v>0</v>
      </c>
      <c r="H32" s="735">
        <v>1010000</v>
      </c>
      <c r="I32" s="1776">
        <f>((E32+F32)-H32)+G32</f>
        <v>0</v>
      </c>
      <c r="J32" s="735"/>
      <c r="K32" s="737"/>
    </row>
    <row r="33" spans="1:11" ht="12" customHeight="1" x14ac:dyDescent="0.2">
      <c r="A33" s="733"/>
      <c r="B33" s="734"/>
      <c r="C33" s="735"/>
      <c r="D33" s="736"/>
      <c r="E33" s="735"/>
      <c r="F33" s="735"/>
      <c r="G33" s="735"/>
      <c r="H33" s="735"/>
      <c r="I33" s="1776">
        <f t="shared" ref="I33:I48" si="1">((E33+F33)-H33)+G33</f>
        <v>0</v>
      </c>
      <c r="J33" s="735"/>
      <c r="K33" s="737"/>
    </row>
    <row r="34" spans="1:11" ht="12" customHeight="1" x14ac:dyDescent="0.2">
      <c r="A34" s="733"/>
      <c r="B34" s="734"/>
      <c r="C34" s="735"/>
      <c r="D34" s="736"/>
      <c r="E34" s="735"/>
      <c r="F34" s="735"/>
      <c r="G34" s="735"/>
      <c r="H34" s="735"/>
      <c r="I34" s="1776">
        <f t="shared" si="1"/>
        <v>0</v>
      </c>
      <c r="J34" s="735"/>
      <c r="K34" s="738"/>
    </row>
    <row r="35" spans="1:11" ht="12" customHeight="1" x14ac:dyDescent="0.2">
      <c r="A35" s="733"/>
      <c r="B35" s="734"/>
      <c r="C35" s="739"/>
      <c r="D35" s="736"/>
      <c r="E35" s="739"/>
      <c r="F35" s="739"/>
      <c r="G35" s="739"/>
      <c r="H35" s="739"/>
      <c r="I35" s="1776">
        <f t="shared" si="1"/>
        <v>0</v>
      </c>
      <c r="J35" s="739"/>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3000000</v>
      </c>
      <c r="D49" s="746"/>
      <c r="E49" s="1776">
        <f t="shared" ref="E49:J49" si="2">SUM(E31:E48)</f>
        <v>2010000</v>
      </c>
      <c r="F49" s="1776">
        <f t="shared" si="2"/>
        <v>0</v>
      </c>
      <c r="G49" s="1776">
        <f t="shared" si="2"/>
        <v>0</v>
      </c>
      <c r="H49" s="1776">
        <f t="shared" si="2"/>
        <v>1010000</v>
      </c>
      <c r="I49" s="1776">
        <f t="shared" si="2"/>
        <v>1000000</v>
      </c>
      <c r="J49" s="1776">
        <f t="shared" si="2"/>
        <v>516879</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02" t="s">
        <v>605</v>
      </c>
      <c r="C52" s="2203"/>
      <c r="D52" s="2203"/>
      <c r="E52" s="750" t="s">
        <v>900</v>
      </c>
      <c r="F52" s="2204"/>
      <c r="G52" s="2205"/>
      <c r="H52" s="737"/>
      <c r="I52" s="737"/>
      <c r="J52" s="747"/>
    </row>
    <row r="53" spans="1:11" ht="11.25" customHeight="1" x14ac:dyDescent="0.2">
      <c r="A53" s="751" t="s">
        <v>969</v>
      </c>
      <c r="B53" s="752" t="s">
        <v>1008</v>
      </c>
      <c r="C53" s="747"/>
      <c r="D53" s="738"/>
      <c r="E53" s="750" t="s">
        <v>518</v>
      </c>
      <c r="F53" s="2206"/>
      <c r="G53" s="2207"/>
      <c r="H53" s="737"/>
      <c r="I53" s="737"/>
      <c r="J53" s="747"/>
    </row>
    <row r="54" spans="1:11" ht="11.25" customHeight="1" x14ac:dyDescent="0.2">
      <c r="A54" s="753" t="s">
        <v>970</v>
      </c>
      <c r="B54" s="748" t="s">
        <v>1009</v>
      </c>
      <c r="C54" s="747"/>
      <c r="D54" s="738"/>
      <c r="E54" s="750" t="s">
        <v>519</v>
      </c>
      <c r="F54" s="2206"/>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topLeftCell="A4"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911</v>
      </c>
      <c r="B1" s="2232"/>
      <c r="C1" s="2232"/>
      <c r="D1" s="2232"/>
      <c r="E1" s="2232"/>
      <c r="F1" s="2232"/>
      <c r="G1" s="2233"/>
      <c r="H1" s="1552"/>
      <c r="I1" s="761"/>
      <c r="J1" s="433"/>
    </row>
    <row r="2" spans="1:11" ht="26.25" x14ac:dyDescent="0.2">
      <c r="A2" s="2250" t="s">
        <v>1776</v>
      </c>
      <c r="B2" s="2251"/>
      <c r="C2" s="2251"/>
      <c r="D2" s="2251"/>
      <c r="E2" s="2252"/>
      <c r="F2" s="762" t="s">
        <v>960</v>
      </c>
      <c r="G2" s="763" t="s">
        <v>1773</v>
      </c>
      <c r="H2" s="763" t="s">
        <v>430</v>
      </c>
      <c r="I2" s="763" t="s">
        <v>1220</v>
      </c>
      <c r="J2" s="763" t="s">
        <v>1916</v>
      </c>
      <c r="K2" s="763" t="s">
        <v>140</v>
      </c>
    </row>
    <row r="3" spans="1:11" x14ac:dyDescent="0.2">
      <c r="A3" s="2253" t="s">
        <v>1698</v>
      </c>
      <c r="B3" s="2254"/>
      <c r="C3" s="2254"/>
      <c r="D3" s="2254"/>
      <c r="E3" s="2255"/>
      <c r="F3" s="764"/>
      <c r="G3" s="765"/>
      <c r="H3" s="765"/>
      <c r="I3" s="765"/>
      <c r="J3" s="766"/>
      <c r="K3" s="766"/>
    </row>
    <row r="4" spans="1:11" x14ac:dyDescent="0.2">
      <c r="A4" s="2256" t="s">
        <v>387</v>
      </c>
      <c r="B4" s="2257"/>
      <c r="C4" s="2257"/>
      <c r="D4" s="2257"/>
      <c r="E4" s="2203"/>
      <c r="F4" s="767"/>
      <c r="G4" s="768"/>
      <c r="H4" s="769"/>
      <c r="I4" s="768"/>
      <c r="J4" s="770"/>
      <c r="K4" s="770"/>
    </row>
    <row r="5" spans="1:11" x14ac:dyDescent="0.2">
      <c r="A5" s="2234" t="s">
        <v>1129</v>
      </c>
      <c r="B5" s="2235"/>
      <c r="C5" s="2235"/>
      <c r="D5" s="2235"/>
      <c r="E5" s="2236"/>
      <c r="F5" s="771" t="s">
        <v>903</v>
      </c>
      <c r="G5" s="772"/>
      <c r="H5" s="765">
        <v>105771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16010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69745</v>
      </c>
    </row>
    <row r="10" spans="1:11" x14ac:dyDescent="0.2">
      <c r="A10" s="2234" t="s">
        <v>1917</v>
      </c>
      <c r="B10" s="2235"/>
      <c r="C10" s="2235"/>
      <c r="D10" s="2235"/>
      <c r="E10" s="2237"/>
      <c r="F10" s="784" t="s">
        <v>917</v>
      </c>
      <c r="G10" s="783"/>
      <c r="H10" s="785"/>
      <c r="I10" s="765"/>
      <c r="J10" s="766"/>
      <c r="K10" s="766"/>
    </row>
    <row r="11" spans="1:11" x14ac:dyDescent="0.2">
      <c r="A11" s="2234" t="s">
        <v>162</v>
      </c>
      <c r="B11" s="2235"/>
      <c r="C11" s="2235"/>
      <c r="D11" s="2235"/>
      <c r="E11" s="2236"/>
      <c r="F11" s="771" t="s">
        <v>907</v>
      </c>
      <c r="G11" s="772"/>
      <c r="H11" s="765"/>
      <c r="I11" s="765"/>
      <c r="J11" s="766"/>
      <c r="K11" s="774"/>
    </row>
    <row r="12" spans="1:11" ht="13.5" thickBot="1" x14ac:dyDescent="0.25">
      <c r="A12" s="2261" t="s">
        <v>961</v>
      </c>
      <c r="B12" s="2262"/>
      <c r="C12" s="2262"/>
      <c r="D12" s="2262"/>
      <c r="E12" s="2263"/>
      <c r="F12" s="1777"/>
      <c r="G12" s="1778">
        <f>SUM(G5:G11)</f>
        <v>0</v>
      </c>
      <c r="H12" s="1778">
        <f>SUM(H5:H11)</f>
        <v>105771</v>
      </c>
      <c r="I12" s="1778">
        <f>SUM(I5:I11)</f>
        <v>0</v>
      </c>
      <c r="J12" s="1778">
        <f>SUM(J5:J11)</f>
        <v>0</v>
      </c>
      <c r="K12" s="1778">
        <f>SUM(K5:K11)</f>
        <v>85755</v>
      </c>
    </row>
    <row r="13" spans="1:11" ht="13.5" thickTop="1" x14ac:dyDescent="0.2">
      <c r="A13" s="2258" t="s">
        <v>388</v>
      </c>
      <c r="B13" s="2259"/>
      <c r="C13" s="2259"/>
      <c r="D13" s="2259"/>
      <c r="E13" s="2260"/>
      <c r="F13" s="786"/>
      <c r="G13" s="787"/>
      <c r="H13" s="788"/>
      <c r="I13" s="789"/>
      <c r="J13" s="789"/>
      <c r="K13" s="789"/>
    </row>
    <row r="14" spans="1:11" x14ac:dyDescent="0.2">
      <c r="A14" s="2241" t="s">
        <v>476</v>
      </c>
      <c r="B14" s="2241"/>
      <c r="C14" s="2241"/>
      <c r="D14" s="2241"/>
      <c r="E14" s="2242"/>
      <c r="F14" s="790" t="s">
        <v>909</v>
      </c>
      <c r="G14" s="783"/>
      <c r="H14" s="765">
        <v>105771</v>
      </c>
      <c r="I14" s="772"/>
      <c r="J14" s="774"/>
      <c r="K14" s="766">
        <v>85755</v>
      </c>
    </row>
    <row r="15" spans="1:11" x14ac:dyDescent="0.2">
      <c r="A15" s="2235" t="s">
        <v>4</v>
      </c>
      <c r="B15" s="2235"/>
      <c r="C15" s="2235"/>
      <c r="D15" s="2235"/>
      <c r="E15" s="2236"/>
      <c r="F15" s="790" t="s">
        <v>910</v>
      </c>
      <c r="G15" s="772"/>
      <c r="H15" s="765"/>
      <c r="I15" s="765"/>
      <c r="J15" s="766"/>
      <c r="K15" s="766"/>
    </row>
    <row r="16" spans="1:11" x14ac:dyDescent="0.2">
      <c r="A16" s="2235" t="s">
        <v>316</v>
      </c>
      <c r="B16" s="2235"/>
      <c r="C16" s="2235"/>
      <c r="D16" s="2235"/>
      <c r="E16" s="2236"/>
      <c r="F16" s="790" t="s">
        <v>980</v>
      </c>
      <c r="G16" s="773"/>
      <c r="H16" s="768"/>
      <c r="I16" s="768"/>
      <c r="J16" s="770"/>
      <c r="K16" s="770"/>
    </row>
    <row r="17" spans="1:11" x14ac:dyDescent="0.2">
      <c r="A17" s="2266" t="s">
        <v>992</v>
      </c>
      <c r="B17" s="2266"/>
      <c r="C17" s="2266"/>
      <c r="D17" s="2266"/>
      <c r="E17" s="2267"/>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43" t="s">
        <v>1913</v>
      </c>
      <c r="B19" s="2243"/>
      <c r="C19" s="2243"/>
      <c r="D19" s="2243"/>
      <c r="E19" s="2244"/>
      <c r="F19" s="790" t="s">
        <v>990</v>
      </c>
      <c r="G19" s="783"/>
      <c r="H19" s="783"/>
      <c r="I19" s="783"/>
      <c r="J19" s="766"/>
      <c r="K19" s="796"/>
    </row>
    <row r="20" spans="1:11" x14ac:dyDescent="0.2">
      <c r="A20" s="2245" t="s">
        <v>1918</v>
      </c>
      <c r="B20" s="2246"/>
      <c r="C20" s="2246"/>
      <c r="D20" s="2246"/>
      <c r="E20" s="2247"/>
      <c r="F20" s="790" t="s">
        <v>991</v>
      </c>
      <c r="G20" s="783"/>
      <c r="H20" s="783"/>
      <c r="I20" s="783"/>
      <c r="J20" s="766"/>
      <c r="K20" s="796"/>
    </row>
    <row r="21" spans="1:11" ht="13.5" thickBot="1" x14ac:dyDescent="0.25">
      <c r="A21" s="2264" t="s">
        <v>659</v>
      </c>
      <c r="B21" s="2264"/>
      <c r="C21" s="2264"/>
      <c r="D21" s="2264"/>
      <c r="E21" s="2264"/>
      <c r="F21" s="1779"/>
      <c r="G21" s="793"/>
      <c r="H21" s="797"/>
      <c r="I21" s="797"/>
      <c r="J21" s="1780">
        <f>SUM(J18:J20)</f>
        <v>0</v>
      </c>
      <c r="K21" s="794"/>
    </row>
    <row r="22" spans="1:11" ht="13.5" thickTop="1" x14ac:dyDescent="0.2">
      <c r="A22" s="2235" t="s">
        <v>1919</v>
      </c>
      <c r="B22" s="2235"/>
      <c r="C22" s="2235"/>
      <c r="D22" s="2235"/>
      <c r="E22" s="2236"/>
      <c r="F22" s="790" t="s">
        <v>917</v>
      </c>
      <c r="G22" s="783"/>
      <c r="H22" s="765"/>
      <c r="I22" s="765"/>
      <c r="J22" s="798"/>
      <c r="K22" s="766"/>
    </row>
    <row r="23" spans="1:11" ht="13.5" thickBot="1" x14ac:dyDescent="0.25">
      <c r="A23" s="2265" t="s">
        <v>962</v>
      </c>
      <c r="B23" s="2264"/>
      <c r="C23" s="2264"/>
      <c r="D23" s="2264"/>
      <c r="E23" s="2264"/>
      <c r="F23" s="1781"/>
      <c r="G23" s="1778">
        <f>SUM(G14:G16,G21,G22)</f>
        <v>0</v>
      </c>
      <c r="H23" s="1778">
        <f>SUM(H14:H16,H21,H22)</f>
        <v>105771</v>
      </c>
      <c r="I23" s="1778">
        <f>SUM(I14:I16,I21,I22)</f>
        <v>0</v>
      </c>
      <c r="J23" s="1778">
        <f>SUM(J14:J16,J21,J22)</f>
        <v>0</v>
      </c>
      <c r="K23" s="1778">
        <f>SUM(K14:K16,K21,K22)</f>
        <v>85755</v>
      </c>
    </row>
    <row r="24" spans="1:11" ht="14.25" thickTop="1" thickBot="1" x14ac:dyDescent="0.25">
      <c r="A24" s="2265" t="s">
        <v>2023</v>
      </c>
      <c r="B24" s="2264"/>
      <c r="C24" s="2264"/>
      <c r="D24" s="2264"/>
      <c r="E24" s="2264"/>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1" t="s">
        <v>2033</v>
      </c>
      <c r="B28" s="1902"/>
      <c r="C28" s="1902"/>
      <c r="D28" s="1902"/>
      <c r="E28" s="1903"/>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8"/>
      <c r="I31" s="2239"/>
      <c r="J31" s="2239"/>
      <c r="K31" s="2239"/>
    </row>
    <row r="32" spans="1:11" x14ac:dyDescent="0.2">
      <c r="A32" s="810"/>
      <c r="B32" s="237"/>
      <c r="C32" s="237"/>
      <c r="D32" s="237"/>
      <c r="E32" s="806"/>
      <c r="F32" s="812" t="s">
        <v>561</v>
      </c>
      <c r="G32" s="765"/>
      <c r="H32" s="2240"/>
      <c r="I32" s="2239"/>
      <c r="J32" s="2239"/>
      <c r="K32" s="2239"/>
    </row>
    <row r="33" spans="1:11" ht="1.5" customHeight="1" x14ac:dyDescent="0.2">
      <c r="A33" s="813" t="s">
        <v>1231</v>
      </c>
      <c r="B33" s="364"/>
      <c r="C33" s="364"/>
      <c r="D33" s="364"/>
      <c r="E33" s="364"/>
      <c r="F33" s="364"/>
      <c r="G33" s="814"/>
      <c r="H33" s="2240"/>
      <c r="I33" s="2239"/>
      <c r="J33" s="2239"/>
      <c r="K33" s="2239"/>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48"/>
      <c r="C41" s="2248"/>
      <c r="D41" s="2248"/>
      <c r="E41" s="2248"/>
      <c r="F41" s="224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7" colorId="8" zoomScale="110" zoomScaleNormal="110" workbookViewId="0">
      <selection activeCell="K30" sqref="K3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2032</v>
      </c>
      <c r="B1" s="2271"/>
      <c r="C1" s="2272"/>
      <c r="D1" s="827"/>
      <c r="E1" s="828"/>
      <c r="F1" s="828"/>
      <c r="G1" s="829"/>
      <c r="H1" s="830"/>
      <c r="I1" s="831"/>
      <c r="J1" s="2268"/>
      <c r="K1" s="2269"/>
      <c r="L1" s="2269"/>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0">
        <f>(C3+D3)-E3</f>
        <v>0</v>
      </c>
      <c r="G3" s="837"/>
      <c r="H3" s="836"/>
      <c r="I3" s="836"/>
      <c r="J3" s="836"/>
      <c r="K3" s="1789">
        <f>(H3+I3)-J3</f>
        <v>0</v>
      </c>
      <c r="L3" s="1789">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593816</v>
      </c>
      <c r="D5" s="842"/>
      <c r="E5" s="842">
        <v>30000</v>
      </c>
      <c r="F5" s="1780">
        <f>(C5+D5)-E5</f>
        <v>563816</v>
      </c>
      <c r="G5" s="838"/>
      <c r="H5" s="843"/>
      <c r="I5" s="843"/>
      <c r="J5" s="843"/>
      <c r="K5" s="794"/>
      <c r="L5" s="1789">
        <f>F5-K5</f>
        <v>563816</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30139800</v>
      </c>
      <c r="D8" s="845"/>
      <c r="E8" s="845"/>
      <c r="F8" s="1780">
        <f>(C8+D8)-E8</f>
        <v>30139800</v>
      </c>
      <c r="G8" s="844">
        <v>50</v>
      </c>
      <c r="H8" s="766">
        <v>16953798</v>
      </c>
      <c r="I8" s="766">
        <v>467740</v>
      </c>
      <c r="J8" s="766"/>
      <c r="K8" s="1789">
        <f>(H8+I8)-J8</f>
        <v>17421538</v>
      </c>
      <c r="L8" s="1789">
        <f>F8-K8</f>
        <v>12718262</v>
      </c>
    </row>
    <row r="9" spans="1:14" ht="14.25" thickTop="1" thickBot="1" x14ac:dyDescent="0.25">
      <c r="A9" s="779" t="s">
        <v>1181</v>
      </c>
      <c r="B9" s="841">
        <v>232</v>
      </c>
      <c r="C9" s="766">
        <v>0</v>
      </c>
      <c r="D9" s="766"/>
      <c r="E9" s="766"/>
      <c r="F9" s="1780">
        <f>(C9+D9)-E9</f>
        <v>0</v>
      </c>
      <c r="G9" s="844">
        <v>20</v>
      </c>
      <c r="H9" s="766">
        <v>0</v>
      </c>
      <c r="I9" s="766"/>
      <c r="J9" s="766"/>
      <c r="K9" s="1789">
        <f>(H9+I9)-J9</f>
        <v>0</v>
      </c>
      <c r="L9" s="1789">
        <f>F9-K9</f>
        <v>0</v>
      </c>
    </row>
    <row r="10" spans="1:14" ht="24" thickTop="1" thickBot="1" x14ac:dyDescent="0.25">
      <c r="A10" s="846" t="s">
        <v>1182</v>
      </c>
      <c r="B10" s="841">
        <v>240</v>
      </c>
      <c r="C10" s="847">
        <v>6426963</v>
      </c>
      <c r="D10" s="847">
        <v>2208201</v>
      </c>
      <c r="E10" s="847"/>
      <c r="F10" s="1784">
        <f>(C10+D10)-E10</f>
        <v>8635164</v>
      </c>
      <c r="G10" s="844">
        <v>20</v>
      </c>
      <c r="H10" s="848">
        <v>2353862</v>
      </c>
      <c r="I10" s="848">
        <v>396473</v>
      </c>
      <c r="J10" s="848"/>
      <c r="K10" s="1789">
        <f>(H10+I10)-J10</f>
        <v>2750335</v>
      </c>
      <c r="L10" s="1789">
        <f>F10-K10</f>
        <v>5884829</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2595646</v>
      </c>
      <c r="D12" s="845">
        <v>73797</v>
      </c>
      <c r="E12" s="845">
        <v>7794</v>
      </c>
      <c r="F12" s="1780">
        <f>(C12+D12)-E12</f>
        <v>2661649</v>
      </c>
      <c r="G12" s="844">
        <v>10</v>
      </c>
      <c r="H12" s="766">
        <v>1905367</v>
      </c>
      <c r="I12" s="766">
        <v>194258</v>
      </c>
      <c r="J12" s="766">
        <v>7794</v>
      </c>
      <c r="K12" s="1789">
        <f>(H12+I12)-J12</f>
        <v>2091831</v>
      </c>
      <c r="L12" s="1789">
        <f>F12-K12</f>
        <v>569818</v>
      </c>
    </row>
    <row r="13" spans="1:14" ht="14.25" thickTop="1" thickBot="1" x14ac:dyDescent="0.25">
      <c r="A13" s="849" t="s">
        <v>1184</v>
      </c>
      <c r="B13" s="841">
        <v>252</v>
      </c>
      <c r="C13" s="845">
        <v>1116977</v>
      </c>
      <c r="D13" s="845">
        <v>324718</v>
      </c>
      <c r="E13" s="845">
        <v>101648</v>
      </c>
      <c r="F13" s="1780">
        <f>(C13+D13)-E13</f>
        <v>1340047</v>
      </c>
      <c r="G13" s="844">
        <v>5</v>
      </c>
      <c r="H13" s="766">
        <v>890436</v>
      </c>
      <c r="I13" s="766">
        <v>159861</v>
      </c>
      <c r="J13" s="766">
        <v>98929</v>
      </c>
      <c r="K13" s="1789">
        <f>(H13+I13)-J13</f>
        <v>951368</v>
      </c>
      <c r="L13" s="1789">
        <f>F13-K13</f>
        <v>388679</v>
      </c>
    </row>
    <row r="14" spans="1:14" ht="14.25" thickTop="1" thickBot="1" x14ac:dyDescent="0.25">
      <c r="A14" s="849" t="s">
        <v>1185</v>
      </c>
      <c r="B14" s="841">
        <v>253</v>
      </c>
      <c r="C14" s="766">
        <v>9456</v>
      </c>
      <c r="D14" s="766"/>
      <c r="E14" s="766"/>
      <c r="F14" s="1780">
        <f>(C14+D14)-E14</f>
        <v>9456</v>
      </c>
      <c r="G14" s="844">
        <v>3</v>
      </c>
      <c r="H14" s="766">
        <v>6977</v>
      </c>
      <c r="I14" s="766">
        <v>2479</v>
      </c>
      <c r="J14" s="766"/>
      <c r="K14" s="1789">
        <f>(H14+I14)-J14</f>
        <v>9456</v>
      </c>
      <c r="L14" s="1789">
        <f>F14-K14</f>
        <v>0</v>
      </c>
    </row>
    <row r="15" spans="1:14" ht="15" customHeight="1" thickTop="1" thickBot="1" x14ac:dyDescent="0.25">
      <c r="A15" s="1653" t="s">
        <v>549</v>
      </c>
      <c r="B15" s="1652">
        <v>260</v>
      </c>
      <c r="C15" s="845">
        <v>202380</v>
      </c>
      <c r="D15" s="845">
        <v>2764854</v>
      </c>
      <c r="E15" s="845">
        <v>2193951</v>
      </c>
      <c r="F15" s="1780">
        <f>(C15+D15)-E15</f>
        <v>773283</v>
      </c>
      <c r="G15" s="850" t="s">
        <v>917</v>
      </c>
      <c r="H15" s="782"/>
      <c r="I15" s="782"/>
      <c r="J15" s="782"/>
      <c r="K15" s="782"/>
      <c r="L15" s="1789">
        <f>F15-K15</f>
        <v>773283</v>
      </c>
    </row>
    <row r="16" spans="1:14" ht="15" customHeight="1" thickTop="1" thickBot="1" x14ac:dyDescent="0.25">
      <c r="A16" s="1785" t="s">
        <v>664</v>
      </c>
      <c r="B16" s="1786">
        <v>200</v>
      </c>
      <c r="C16" s="1780">
        <f>SUM(C3,C5:C6,C8:C10,C12:C15)</f>
        <v>41085038</v>
      </c>
      <c r="D16" s="1780">
        <f>SUM(D3,D5:D6,D8:D10,D12:D15)</f>
        <v>5371570</v>
      </c>
      <c r="E16" s="1780">
        <f>SUM(E3,E5:E6,E8:E10,E12:E15)</f>
        <v>2333393</v>
      </c>
      <c r="F16" s="1780">
        <f>SUM(F3,F5:F6,F8:F10,F12:F15)</f>
        <v>44123215</v>
      </c>
      <c r="G16" s="844"/>
      <c r="H16" s="1780">
        <f>SUM(H3,H6,H8:H10,H12:H14,)</f>
        <v>22110440</v>
      </c>
      <c r="I16" s="1780">
        <f>SUM(I3,I6,I8:I10,I12:I14,)</f>
        <v>1220811</v>
      </c>
      <c r="J16" s="1780">
        <f>SUM(J3,J6,J8:J10,J12:J14,)</f>
        <v>106723</v>
      </c>
      <c r="K16" s="1780">
        <f>(H16+I16)-J16</f>
        <v>23224528</v>
      </c>
      <c r="L16" s="1780">
        <f>F16-K16</f>
        <v>20898687</v>
      </c>
    </row>
    <row r="17" spans="1:12" ht="15" customHeight="1" thickTop="1" thickBot="1" x14ac:dyDescent="0.25">
      <c r="A17" s="1655" t="s">
        <v>309</v>
      </c>
      <c r="B17" s="1652">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706</v>
      </c>
      <c r="B18" s="1788"/>
      <c r="C18" s="772"/>
      <c r="D18" s="772"/>
      <c r="E18" s="772"/>
      <c r="F18" s="851"/>
      <c r="G18" s="852"/>
      <c r="H18" s="774"/>
      <c r="I18" s="1780">
        <f>SUM(I16,I17)</f>
        <v>1220811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3"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0">
        <f>'Expenditures 15-22'!K114</f>
        <v>13477204</v>
      </c>
      <c r="G8" s="866"/>
    </row>
    <row r="9" spans="1:7" x14ac:dyDescent="0.2">
      <c r="A9" s="870" t="s">
        <v>480</v>
      </c>
      <c r="B9" s="871" t="s">
        <v>1986</v>
      </c>
      <c r="C9" s="872"/>
      <c r="D9" s="870" t="s">
        <v>522</v>
      </c>
      <c r="E9" s="869"/>
      <c r="F9" s="1931">
        <f>'Expenditures 15-22'!K151</f>
        <v>1645788</v>
      </c>
      <c r="G9" s="873"/>
    </row>
    <row r="10" spans="1:7" x14ac:dyDescent="0.2">
      <c r="A10" s="870" t="s">
        <v>520</v>
      </c>
      <c r="B10" s="871" t="s">
        <v>1987</v>
      </c>
      <c r="C10" s="872"/>
      <c r="D10" s="870" t="s">
        <v>522</v>
      </c>
      <c r="E10" s="869"/>
      <c r="F10" s="1931">
        <f>'Expenditures 15-22'!K174</f>
        <v>1031313</v>
      </c>
      <c r="G10" s="873"/>
    </row>
    <row r="11" spans="1:7" x14ac:dyDescent="0.2">
      <c r="A11" s="870" t="s">
        <v>481</v>
      </c>
      <c r="B11" s="871" t="s">
        <v>1988</v>
      </c>
      <c r="C11" s="872"/>
      <c r="D11" s="870" t="s">
        <v>522</v>
      </c>
      <c r="E11" s="869"/>
      <c r="F11" s="1931">
        <f>'Expenditures 15-22'!K210</f>
        <v>986752</v>
      </c>
      <c r="G11" s="873"/>
    </row>
    <row r="12" spans="1:7" x14ac:dyDescent="0.2">
      <c r="A12" s="870" t="s">
        <v>482</v>
      </c>
      <c r="B12" s="871" t="s">
        <v>1989</v>
      </c>
      <c r="C12" s="872"/>
      <c r="D12" s="870" t="s">
        <v>522</v>
      </c>
      <c r="E12" s="869"/>
      <c r="F12" s="1931">
        <f>'Expenditures 15-22'!K295</f>
        <v>671890</v>
      </c>
      <c r="G12" s="873"/>
    </row>
    <row r="13" spans="1:7" x14ac:dyDescent="0.2">
      <c r="A13" s="870" t="s">
        <v>108</v>
      </c>
      <c r="B13" s="871" t="s">
        <v>1990</v>
      </c>
      <c r="C13" s="872"/>
      <c r="D13" s="870" t="s">
        <v>522</v>
      </c>
      <c r="E13" s="869"/>
      <c r="F13" s="1931">
        <f>'Expenditures 15-22'!K342</f>
        <v>702899</v>
      </c>
      <c r="G13" s="874"/>
    </row>
    <row r="14" spans="1:7" ht="12" customHeight="1" thickBot="1" x14ac:dyDescent="0.25">
      <c r="A14" s="1790"/>
      <c r="B14" s="1791"/>
      <c r="C14" s="1792"/>
      <c r="D14" s="1793" t="s">
        <v>522</v>
      </c>
      <c r="E14" s="1794" t="s">
        <v>1015</v>
      </c>
      <c r="F14" s="1795">
        <f>SUM(F8:F13)</f>
        <v>18515846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2">
        <f>'Revenues 9-14'!F43</f>
        <v>0</v>
      </c>
      <c r="G18" s="866"/>
    </row>
    <row r="19" spans="1:7" x14ac:dyDescent="0.2">
      <c r="A19" s="870" t="s">
        <v>481</v>
      </c>
      <c r="B19" s="871" t="s">
        <v>1069</v>
      </c>
      <c r="C19" s="878">
        <f>'Revenues 9-14'!B47</f>
        <v>1421</v>
      </c>
      <c r="D19" s="879" t="str">
        <f>'Revenues 9-14'!A47</f>
        <v>Summer Sch - Transp. Fees from Pupils or Parents (In State)</v>
      </c>
      <c r="E19" s="880"/>
      <c r="F19" s="1933">
        <f>'Revenues 9-14'!F47</f>
        <v>0</v>
      </c>
      <c r="G19" s="866"/>
    </row>
    <row r="20" spans="1:7" x14ac:dyDescent="0.2">
      <c r="A20" s="870" t="s">
        <v>481</v>
      </c>
      <c r="B20" s="871" t="s">
        <v>1070</v>
      </c>
      <c r="C20" s="876">
        <f>'Revenues 9-14'!B48</f>
        <v>1422</v>
      </c>
      <c r="D20" s="877" t="str">
        <f>'Revenues 9-14'!A48</f>
        <v>Summer Sch - Transp. Fees from Other Districts (In State)</v>
      </c>
      <c r="E20" s="869"/>
      <c r="F20" s="1934">
        <f>'Revenues 9-14'!F48</f>
        <v>0</v>
      </c>
      <c r="G20" s="866"/>
    </row>
    <row r="21" spans="1:7" x14ac:dyDescent="0.2">
      <c r="A21" s="870" t="s">
        <v>481</v>
      </c>
      <c r="B21" s="871" t="s">
        <v>1071</v>
      </c>
      <c r="C21" s="878">
        <f>'Revenues 9-14'!B49</f>
        <v>1423</v>
      </c>
      <c r="D21" s="877" t="str">
        <f>'Revenues 9-14'!A49</f>
        <v>Summer Sch - Transp. Fees from Other Sources (In State)</v>
      </c>
      <c r="E21" s="869"/>
      <c r="F21" s="1935">
        <f>'Revenues 9-14'!F49</f>
        <v>0</v>
      </c>
      <c r="G21" s="866"/>
    </row>
    <row r="22" spans="1:7" x14ac:dyDescent="0.2">
      <c r="A22" s="870" t="s">
        <v>481</v>
      </c>
      <c r="B22" s="871" t="s">
        <v>1072</v>
      </c>
      <c r="C22" s="878">
        <f>'Revenues 9-14'!B50</f>
        <v>1424</v>
      </c>
      <c r="D22" s="877" t="str">
        <f>'Revenues 9-14'!A50</f>
        <v>Summer Sch - Transp. Fees from Other Sources (Out of State)</v>
      </c>
      <c r="E22" s="869"/>
      <c r="F22" s="1935">
        <f>'Revenues 9-14'!F50</f>
        <v>0</v>
      </c>
      <c r="G22" s="866"/>
    </row>
    <row r="23" spans="1:7" x14ac:dyDescent="0.2">
      <c r="A23" s="870" t="s">
        <v>481</v>
      </c>
      <c r="B23" s="871" t="s">
        <v>1073</v>
      </c>
      <c r="C23" s="876">
        <f>'Revenues 9-14'!B52</f>
        <v>1432</v>
      </c>
      <c r="D23" s="877" t="str">
        <f>'Revenues 9-14'!A52</f>
        <v>CTE - Transp Fees from Other Districts (In State)</v>
      </c>
      <c r="E23" s="869"/>
      <c r="F23" s="1935">
        <f>'Revenues 9-14'!F52</f>
        <v>0</v>
      </c>
      <c r="G23" s="866"/>
    </row>
    <row r="24" spans="1:7" x14ac:dyDescent="0.2">
      <c r="A24" s="870" t="s">
        <v>481</v>
      </c>
      <c r="B24" s="871" t="s">
        <v>1074</v>
      </c>
      <c r="C24" s="876">
        <f>'Revenues 9-14'!B56</f>
        <v>1442</v>
      </c>
      <c r="D24" s="877" t="str">
        <f>'Revenues 9-14'!A56</f>
        <v>Special Ed - Transp Fees from Other Districts (In State)</v>
      </c>
      <c r="E24" s="869"/>
      <c r="F24" s="1935">
        <f>'Revenues 9-14'!F56</f>
        <v>0</v>
      </c>
      <c r="G24" s="866"/>
    </row>
    <row r="25" spans="1:7" x14ac:dyDescent="0.2">
      <c r="A25" s="870" t="s">
        <v>481</v>
      </c>
      <c r="B25" s="871" t="s">
        <v>1075</v>
      </c>
      <c r="C25" s="876">
        <f>'Revenues 9-14'!B59</f>
        <v>1451</v>
      </c>
      <c r="D25" s="877" t="str">
        <f>'Revenues 9-14'!A59</f>
        <v>Adult - Transp Fees from Pupils or Parents (In State)</v>
      </c>
      <c r="E25" s="869"/>
      <c r="F25" s="1935">
        <f>'Revenues 9-14'!F59</f>
        <v>0</v>
      </c>
      <c r="G25" s="866"/>
    </row>
    <row r="26" spans="1:7" x14ac:dyDescent="0.2">
      <c r="A26" s="870" t="s">
        <v>481</v>
      </c>
      <c r="B26" s="871" t="s">
        <v>1076</v>
      </c>
      <c r="C26" s="876">
        <f>'Revenues 9-14'!B60</f>
        <v>1452</v>
      </c>
      <c r="D26" s="877" t="str">
        <f>'Revenues 9-14'!A60</f>
        <v>Adult - Transp Fees from Other Districts (In State)</v>
      </c>
      <c r="E26" s="869"/>
      <c r="F26" s="1935">
        <f>'Revenues 9-14'!F60</f>
        <v>0</v>
      </c>
      <c r="G26" s="866"/>
    </row>
    <row r="27" spans="1:7" x14ac:dyDescent="0.2">
      <c r="A27" s="870" t="s">
        <v>481</v>
      </c>
      <c r="B27" s="871" t="s">
        <v>1077</v>
      </c>
      <c r="C27" s="876">
        <f>'Revenues 9-14'!B61</f>
        <v>1453</v>
      </c>
      <c r="D27" s="877" t="str">
        <f>'Revenues 9-14'!A61</f>
        <v>Adult - Transp Fees from Other Sources (In State)</v>
      </c>
      <c r="E27" s="869"/>
      <c r="F27" s="1935">
        <f>'Revenues 9-14'!F61</f>
        <v>0</v>
      </c>
      <c r="G27" s="866"/>
    </row>
    <row r="28" spans="1:7" x14ac:dyDescent="0.2">
      <c r="A28" s="870" t="s">
        <v>481</v>
      </c>
      <c r="B28" s="871" t="s">
        <v>1078</v>
      </c>
      <c r="C28" s="876">
        <f>'Revenues 9-14'!B62</f>
        <v>1454</v>
      </c>
      <c r="D28" s="877" t="str">
        <f>'Revenues 9-14'!A62</f>
        <v>Adult - Transp Fees from Other Sources (Out of State)</v>
      </c>
      <c r="E28" s="869"/>
      <c r="F28" s="1935">
        <f>'Revenues 9-14'!F62</f>
        <v>0</v>
      </c>
      <c r="G28" s="866"/>
    </row>
    <row r="29" spans="1:7" x14ac:dyDescent="0.2">
      <c r="A29" s="870" t="s">
        <v>1159</v>
      </c>
      <c r="B29" s="871" t="s">
        <v>1683</v>
      </c>
      <c r="C29" s="881">
        <f>'Revenues 9-14'!B148</f>
        <v>3410</v>
      </c>
      <c r="D29" s="882" t="str">
        <f>'Revenues 9-14'!A148</f>
        <v>Adult Ed (from ICCB)</v>
      </c>
      <c r="E29" s="869"/>
      <c r="F29" s="1935">
        <f>SUM('Revenues 9-14'!D148,F149)</f>
        <v>0</v>
      </c>
      <c r="G29" s="866"/>
    </row>
    <row r="30" spans="1:7" x14ac:dyDescent="0.2">
      <c r="A30" s="870" t="s">
        <v>1159</v>
      </c>
      <c r="B30" s="871" t="s">
        <v>861</v>
      </c>
      <c r="C30" s="881">
        <f>'Revenues 9-14'!B149</f>
        <v>3499</v>
      </c>
      <c r="D30" s="882" t="str">
        <f>'Revenues 9-14'!A149</f>
        <v>Adult Ed - Other (Describe &amp; Itemize)</v>
      </c>
      <c r="E30" s="869"/>
      <c r="F30" s="1936">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5">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5">
        <f>SUM('Revenues 9-14'!D219,'Revenues 9-14'!F219)</f>
        <v>0</v>
      </c>
      <c r="G32" s="866"/>
    </row>
    <row r="33" spans="1:7" x14ac:dyDescent="0.2">
      <c r="A33" s="870" t="s">
        <v>480</v>
      </c>
      <c r="B33" s="871" t="s">
        <v>801</v>
      </c>
      <c r="C33" s="876">
        <f>'Revenues 9-14'!B229</f>
        <v>4810</v>
      </c>
      <c r="D33" s="884" t="str">
        <f>'Revenues 9-14'!A229</f>
        <v>Federal - Adult Education</v>
      </c>
      <c r="E33" s="869"/>
      <c r="F33" s="1935">
        <f>'Revenues 9-14'!D229</f>
        <v>0</v>
      </c>
      <c r="G33" s="866"/>
    </row>
    <row r="34" spans="1:7" x14ac:dyDescent="0.2">
      <c r="A34" s="870" t="s">
        <v>479</v>
      </c>
      <c r="B34" s="870" t="s">
        <v>1545</v>
      </c>
      <c r="C34" s="887" t="str">
        <f>'Expenditures 15-22'!B7</f>
        <v>1125</v>
      </c>
      <c r="D34" s="888" t="str">
        <f>'Expenditures 15-22'!A7</f>
        <v>Pre-K Programs</v>
      </c>
      <c r="E34" s="869"/>
      <c r="F34" s="1935">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5">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5">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5">
        <f>'Expenditures 15-22'!K15-SUM('Expenditures 15-22'!G15,'Expenditures 15-22'!I15)</f>
        <v>3225</v>
      </c>
      <c r="G38" s="866"/>
    </row>
    <row r="39" spans="1:7" x14ac:dyDescent="0.2">
      <c r="A39" s="870" t="s">
        <v>479</v>
      </c>
      <c r="B39" s="870" t="s">
        <v>119</v>
      </c>
      <c r="C39" s="887" t="str">
        <f>'Expenditures 15-22'!B20</f>
        <v>1910</v>
      </c>
      <c r="D39" s="889" t="str">
        <f>'Expenditures 15-22'!A20</f>
        <v>Pre-K Programs - Private Tuition</v>
      </c>
      <c r="E39" s="869"/>
      <c r="F39" s="1935">
        <f>'Expenditures 15-22'!K20</f>
        <v>0</v>
      </c>
      <c r="G39" s="866"/>
    </row>
    <row r="40" spans="1:7" x14ac:dyDescent="0.2">
      <c r="A40" s="870" t="s">
        <v>479</v>
      </c>
      <c r="B40" s="870" t="s">
        <v>120</v>
      </c>
      <c r="C40" s="887" t="str">
        <f>'Expenditures 15-22'!B21</f>
        <v>1911</v>
      </c>
      <c r="D40" s="889" t="str">
        <f>'Expenditures 15-22'!A21</f>
        <v>Regular K-12 Programs - Private Tuition</v>
      </c>
      <c r="E40" s="869"/>
      <c r="F40" s="1935">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5">
        <f>'Expenditures 15-22'!K22</f>
        <v>158304</v>
      </c>
      <c r="G41" s="866"/>
    </row>
    <row r="42" spans="1:7" x14ac:dyDescent="0.2">
      <c r="A42" s="870" t="s">
        <v>479</v>
      </c>
      <c r="B42" s="870" t="s">
        <v>122</v>
      </c>
      <c r="C42" s="890" t="str">
        <f>'Expenditures 15-22'!B23</f>
        <v>1913</v>
      </c>
      <c r="D42" s="889" t="str">
        <f>'Expenditures 15-22'!A23</f>
        <v>Special Education Programs Pre-K - Tuition</v>
      </c>
      <c r="E42" s="869"/>
      <c r="F42" s="1935">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5">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5">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5">
        <f>'Expenditures 15-22'!K26</f>
        <v>0</v>
      </c>
      <c r="G45" s="866"/>
    </row>
    <row r="46" spans="1:7" x14ac:dyDescent="0.2">
      <c r="A46" s="870" t="s">
        <v>479</v>
      </c>
      <c r="B46" s="870" t="s">
        <v>126</v>
      </c>
      <c r="C46" s="887" t="str">
        <f>'Expenditures 15-22'!B27</f>
        <v>1917</v>
      </c>
      <c r="D46" s="889" t="str">
        <f>'Expenditures 15-22'!A27</f>
        <v>CTE Programs - Private Tuition</v>
      </c>
      <c r="E46" s="869"/>
      <c r="F46" s="1935">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5">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5">
        <f>'Expenditures 15-22'!K29</f>
        <v>0</v>
      </c>
      <c r="G48" s="866"/>
    </row>
    <row r="49" spans="1:7" x14ac:dyDescent="0.2">
      <c r="A49" s="870" t="s">
        <v>479</v>
      </c>
      <c r="B49" s="870" t="s">
        <v>129</v>
      </c>
      <c r="C49" s="887" t="str">
        <f>'Expenditures 15-22'!B30</f>
        <v>1920</v>
      </c>
      <c r="D49" s="889" t="str">
        <f>'Expenditures 15-22'!A30</f>
        <v>Gifted Programs - Private Tuition</v>
      </c>
      <c r="E49" s="869"/>
      <c r="F49" s="1935">
        <f>'Expenditures 15-22'!K30</f>
        <v>0</v>
      </c>
      <c r="G49" s="866"/>
    </row>
    <row r="50" spans="1:7" x14ac:dyDescent="0.2">
      <c r="A50" s="870" t="s">
        <v>479</v>
      </c>
      <c r="B50" s="870" t="s">
        <v>130</v>
      </c>
      <c r="C50" s="887" t="str">
        <f>'Expenditures 15-22'!B31</f>
        <v>1921</v>
      </c>
      <c r="D50" s="889" t="str">
        <f>'Expenditures 15-22'!A31</f>
        <v>Bilingual Programs - Private Tuition</v>
      </c>
      <c r="E50" s="869"/>
      <c r="F50" s="1935">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5">
        <f>'Expenditures 15-22'!K32</f>
        <v>0</v>
      </c>
      <c r="G51" s="866"/>
    </row>
    <row r="52" spans="1:7" x14ac:dyDescent="0.2">
      <c r="A52" s="870" t="s">
        <v>479</v>
      </c>
      <c r="B52" s="870" t="s">
        <v>1550</v>
      </c>
      <c r="C52" s="890" t="str">
        <f>'Expenditures 15-22'!B75</f>
        <v>3000</v>
      </c>
      <c r="D52" s="889" t="s">
        <v>469</v>
      </c>
      <c r="E52" s="869"/>
      <c r="F52" s="1935">
        <f>'Expenditures 15-22'!K75-SUM('Expenditures 15-22'!G75,'Expenditures 15-22'!I75)</f>
        <v>63289</v>
      </c>
      <c r="G52" s="866"/>
    </row>
    <row r="53" spans="1:7" x14ac:dyDescent="0.2">
      <c r="A53" s="870" t="s">
        <v>479</v>
      </c>
      <c r="B53" s="870" t="s">
        <v>1551</v>
      </c>
      <c r="C53" s="890">
        <f>'Expenditures 15-22'!B102</f>
        <v>4000</v>
      </c>
      <c r="D53" s="889" t="str">
        <f>'Expenditures 15-22'!A102</f>
        <v>Total Payments to Other Govt Units</v>
      </c>
      <c r="E53" s="869"/>
      <c r="F53" s="1935">
        <f>'Expenditures 15-22'!K102</f>
        <v>1361263</v>
      </c>
      <c r="G53" s="866"/>
    </row>
    <row r="54" spans="1:7" x14ac:dyDescent="0.2">
      <c r="A54" s="870" t="s">
        <v>479</v>
      </c>
      <c r="B54" s="870" t="s">
        <v>1552</v>
      </c>
      <c r="C54" s="890" t="s">
        <v>1039</v>
      </c>
      <c r="D54" s="886" t="s">
        <v>1157</v>
      </c>
      <c r="E54" s="869"/>
      <c r="F54" s="1935">
        <f>'Expenditures 15-22'!G114</f>
        <v>98769</v>
      </c>
      <c r="G54" s="866"/>
    </row>
    <row r="55" spans="1:7" x14ac:dyDescent="0.2">
      <c r="A55" s="870" t="s">
        <v>479</v>
      </c>
      <c r="B55" s="870" t="s">
        <v>1553</v>
      </c>
      <c r="C55" s="890" t="s">
        <v>1039</v>
      </c>
      <c r="D55" s="886" t="s">
        <v>309</v>
      </c>
      <c r="E55" s="869"/>
      <c r="F55" s="1935">
        <f>'Expenditures 15-22'!I114</f>
        <v>0</v>
      </c>
      <c r="G55" s="866"/>
    </row>
    <row r="56" spans="1:7" x14ac:dyDescent="0.2">
      <c r="A56" s="870" t="s">
        <v>480</v>
      </c>
      <c r="B56" s="870" t="s">
        <v>1554</v>
      </c>
      <c r="C56" s="887" t="str">
        <f>'Expenditures 15-22'!B130</f>
        <v>3000</v>
      </c>
      <c r="D56" s="893" t="s">
        <v>469</v>
      </c>
      <c r="E56" s="869"/>
      <c r="F56" s="1935">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5">
        <f>'Expenditures 15-22'!K139</f>
        <v>0</v>
      </c>
      <c r="G57" s="866"/>
    </row>
    <row r="58" spans="1:7" x14ac:dyDescent="0.2">
      <c r="A58" s="870" t="s">
        <v>480</v>
      </c>
      <c r="B58" s="870" t="s">
        <v>1992</v>
      </c>
      <c r="C58" s="887" t="s">
        <v>1039</v>
      </c>
      <c r="D58" s="886" t="s">
        <v>1157</v>
      </c>
      <c r="E58" s="869"/>
      <c r="F58" s="1937">
        <f>'Expenditures 15-22'!G151</f>
        <v>120260</v>
      </c>
      <c r="G58" s="866"/>
    </row>
    <row r="59" spans="1:7" x14ac:dyDescent="0.2">
      <c r="A59" s="894" t="s">
        <v>480</v>
      </c>
      <c r="B59" s="857" t="s">
        <v>1993</v>
      </c>
      <c r="C59" s="895" t="s">
        <v>1039</v>
      </c>
      <c r="D59" s="857" t="s">
        <v>309</v>
      </c>
      <c r="F59" s="1938">
        <f>'Expenditures 15-22'!I151</f>
        <v>0</v>
      </c>
      <c r="G59" s="866"/>
    </row>
    <row r="60" spans="1:7" x14ac:dyDescent="0.2">
      <c r="A60" s="894" t="s">
        <v>520</v>
      </c>
      <c r="B60" s="857" t="s">
        <v>1994</v>
      </c>
      <c r="C60" s="895">
        <v>4000</v>
      </c>
      <c r="D60" s="857" t="s">
        <v>330</v>
      </c>
      <c r="F60" s="1936">
        <f>'Expenditures 15-22'!K160</f>
        <v>0</v>
      </c>
      <c r="G60" s="866"/>
    </row>
    <row r="61" spans="1:7" x14ac:dyDescent="0.2">
      <c r="A61" s="896" t="s">
        <v>520</v>
      </c>
      <c r="B61" s="896" t="s">
        <v>1995</v>
      </c>
      <c r="C61" s="897" t="str">
        <f>'Expenditures 15-22'!B170</f>
        <v>5300</v>
      </c>
      <c r="D61" s="898" t="s">
        <v>329</v>
      </c>
      <c r="E61" s="880"/>
      <c r="F61" s="1935">
        <f>'Expenditures 15-22'!K170</f>
        <v>1010000</v>
      </c>
      <c r="G61" s="866"/>
    </row>
    <row r="62" spans="1:7" x14ac:dyDescent="0.2">
      <c r="A62" s="870" t="s">
        <v>481</v>
      </c>
      <c r="B62" s="870" t="s">
        <v>1996</v>
      </c>
      <c r="C62" s="887">
        <f>'Expenditures 15-22'!B185</f>
        <v>3000</v>
      </c>
      <c r="D62" s="877" t="s">
        <v>469</v>
      </c>
      <c r="E62" s="869"/>
      <c r="F62" s="1935">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5">
        <f>'Expenditures 15-22'!K196</f>
        <v>0</v>
      </c>
      <c r="G63" s="866"/>
    </row>
    <row r="64" spans="1:7" x14ac:dyDescent="0.2">
      <c r="A64" s="896" t="s">
        <v>481</v>
      </c>
      <c r="B64" s="896" t="s">
        <v>1998</v>
      </c>
      <c r="C64" s="897" t="str">
        <f>'Expenditures 15-22'!B206</f>
        <v>5300</v>
      </c>
      <c r="D64" s="893" t="s">
        <v>329</v>
      </c>
      <c r="E64" s="869"/>
      <c r="F64" s="1935">
        <f>'Expenditures 15-22'!K206</f>
        <v>0</v>
      </c>
      <c r="G64" s="866"/>
    </row>
    <row r="65" spans="1:8" x14ac:dyDescent="0.2">
      <c r="A65" s="870" t="s">
        <v>481</v>
      </c>
      <c r="B65" s="870" t="s">
        <v>1999</v>
      </c>
      <c r="C65" s="887" t="s">
        <v>1039</v>
      </c>
      <c r="D65" s="886" t="s">
        <v>1157</v>
      </c>
      <c r="E65" s="869"/>
      <c r="F65" s="1935">
        <f>'Expenditures 15-22'!G210</f>
        <v>234361</v>
      </c>
      <c r="G65" s="866"/>
    </row>
    <row r="66" spans="1:8" x14ac:dyDescent="0.2">
      <c r="A66" s="870" t="s">
        <v>481</v>
      </c>
      <c r="B66" s="870" t="s">
        <v>2000</v>
      </c>
      <c r="C66" s="887" t="s">
        <v>1039</v>
      </c>
      <c r="D66" s="886" t="s">
        <v>309</v>
      </c>
      <c r="E66" s="869"/>
      <c r="F66" s="1935">
        <f>'Expenditures 15-22'!I210</f>
        <v>0</v>
      </c>
      <c r="G66" s="866"/>
    </row>
    <row r="67" spans="1:8" x14ac:dyDescent="0.2">
      <c r="A67" s="870" t="s">
        <v>482</v>
      </c>
      <c r="B67" s="870" t="s">
        <v>2001</v>
      </c>
      <c r="C67" s="887" t="str">
        <f>'Expenditures 15-22'!B216</f>
        <v>1125</v>
      </c>
      <c r="D67" s="893" t="str">
        <f>'Expenditures 15-22'!A216</f>
        <v>Pre-K Programs</v>
      </c>
      <c r="E67" s="869"/>
      <c r="F67" s="1935">
        <f>'Expenditures 15-22'!K216</f>
        <v>0</v>
      </c>
      <c r="G67" s="866"/>
    </row>
    <row r="68" spans="1:8" x14ac:dyDescent="0.2">
      <c r="A68" s="870" t="s">
        <v>482</v>
      </c>
      <c r="B68" s="870" t="s">
        <v>1555</v>
      </c>
      <c r="C68" s="887" t="str">
        <f>'Expenditures 15-22'!B218</f>
        <v>1225</v>
      </c>
      <c r="D68" s="893" t="str">
        <f>'Expenditures 15-22'!A218</f>
        <v>Special Education Programs - Pre-K</v>
      </c>
      <c r="E68" s="869"/>
      <c r="F68" s="1935">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5">
        <f>'Expenditures 15-22'!K220</f>
        <v>0</v>
      </c>
      <c r="G69" s="866"/>
    </row>
    <row r="70" spans="1:8" x14ac:dyDescent="0.2">
      <c r="A70" s="870" t="s">
        <v>482</v>
      </c>
      <c r="B70" s="870" t="s">
        <v>2003</v>
      </c>
      <c r="C70" s="887">
        <f>'Expenditures 15-22'!B221</f>
        <v>1300</v>
      </c>
      <c r="D70" s="888" t="str">
        <f>'Expenditures 15-22'!A221</f>
        <v>Adult/Continuing Education Programs</v>
      </c>
      <c r="E70" s="869"/>
      <c r="F70" s="1935">
        <f>'Expenditures 15-22'!K221</f>
        <v>0</v>
      </c>
      <c r="G70" s="866"/>
    </row>
    <row r="71" spans="1:8" x14ac:dyDescent="0.2">
      <c r="A71" s="870" t="s">
        <v>482</v>
      </c>
      <c r="B71" s="870" t="s">
        <v>2004</v>
      </c>
      <c r="C71" s="887">
        <f>'Expenditures 15-22'!B224</f>
        <v>1600</v>
      </c>
      <c r="D71" s="888" t="str">
        <f>'Expenditures 15-22'!A224</f>
        <v>Summer School Programs</v>
      </c>
      <c r="E71" s="869"/>
      <c r="F71" s="1935">
        <f>'Expenditures 15-22'!K224</f>
        <v>633</v>
      </c>
      <c r="G71" s="866"/>
    </row>
    <row r="72" spans="1:8" x14ac:dyDescent="0.2">
      <c r="A72" s="870" t="s">
        <v>482</v>
      </c>
      <c r="B72" s="870" t="s">
        <v>2005</v>
      </c>
      <c r="C72" s="887">
        <f>'Expenditures 15-22'!B280</f>
        <v>3000</v>
      </c>
      <c r="D72" s="877" t="s">
        <v>469</v>
      </c>
      <c r="E72" s="869"/>
      <c r="F72" s="1935">
        <f>'Expenditures 15-22'!K280</f>
        <v>135</v>
      </c>
      <c r="G72" s="866"/>
    </row>
    <row r="73" spans="1:8" x14ac:dyDescent="0.2">
      <c r="A73" s="870" t="s">
        <v>482</v>
      </c>
      <c r="B73" s="870" t="s">
        <v>2006</v>
      </c>
      <c r="C73" s="887" t="str">
        <f>'Expenditures 15-22'!B285</f>
        <v>4000</v>
      </c>
      <c r="D73" s="888" t="str">
        <f>'Expenditures 15-22'!A285</f>
        <v>Total Payments to Other Govt Units</v>
      </c>
      <c r="E73" s="869"/>
      <c r="F73" s="1935">
        <f>'Expenditures 15-22'!K285</f>
        <v>0</v>
      </c>
      <c r="G73" s="866"/>
    </row>
    <row r="74" spans="1:8" x14ac:dyDescent="0.2">
      <c r="A74" s="870" t="s">
        <v>456</v>
      </c>
      <c r="B74" s="870" t="s">
        <v>2007</v>
      </c>
      <c r="C74" s="887" t="s">
        <v>915</v>
      </c>
      <c r="D74" s="888" t="s">
        <v>1567</v>
      </c>
      <c r="E74" s="869"/>
      <c r="F74" s="1939">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2008</v>
      </c>
      <c r="E76" s="1794" t="s">
        <v>1015</v>
      </c>
      <c r="F76" s="1798">
        <f>SUM(F18:F74)</f>
        <v>3050239</v>
      </c>
      <c r="G76" s="866"/>
    </row>
    <row r="77" spans="1:8" s="894" customFormat="1" ht="12" customHeight="1" thickTop="1" thickBot="1" x14ac:dyDescent="0.25">
      <c r="A77" s="1799"/>
      <c r="B77" s="1796"/>
      <c r="C77" s="1792"/>
      <c r="D77" s="1797" t="s">
        <v>2009</v>
      </c>
      <c r="E77" s="1794"/>
      <c r="F77" s="1800">
        <f>(F14-F76)</f>
        <v>15465607</v>
      </c>
      <c r="G77" s="870"/>
    </row>
    <row r="78" spans="1:8" s="894" customFormat="1" ht="12" customHeight="1" thickTop="1" x14ac:dyDescent="0.2">
      <c r="A78" s="1801"/>
      <c r="B78" s="1796"/>
      <c r="C78" s="1792"/>
      <c r="D78" s="1797" t="s">
        <v>2056</v>
      </c>
      <c r="E78" s="1794"/>
      <c r="F78" s="899">
        <v>1350.37</v>
      </c>
      <c r="G78" s="900"/>
      <c r="H78" s="870"/>
    </row>
    <row r="79" spans="1:8" s="894" customFormat="1" ht="12" customHeight="1" thickBot="1" x14ac:dyDescent="0.25">
      <c r="A79" s="1802"/>
      <c r="B79" s="1796"/>
      <c r="C79" s="1792"/>
      <c r="D79" s="1797" t="s">
        <v>2010</v>
      </c>
      <c r="E79" s="1794" t="s">
        <v>1015</v>
      </c>
      <c r="F79" s="1803">
        <f>IF(F78&gt;0,F77/F78," Complete Line 78")</f>
        <v>11452.86625147182</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9">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47045</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343908</v>
      </c>
      <c r="G94" s="913"/>
    </row>
    <row r="95" spans="1:7" x14ac:dyDescent="0.2">
      <c r="A95" s="909" t="s">
        <v>142</v>
      </c>
      <c r="B95" s="909" t="s">
        <v>177</v>
      </c>
      <c r="C95" s="911">
        <v>1700</v>
      </c>
      <c r="D95" s="919" t="str">
        <f>'Revenues 9-14'!A82</f>
        <v>Total District/School Activity Income</v>
      </c>
      <c r="E95" s="907"/>
      <c r="F95" s="1809">
        <f>SUM('Revenues 9-14'!C82,'Revenues 9-14'!D82)</f>
        <v>111951</v>
      </c>
      <c r="G95" s="913"/>
    </row>
    <row r="96" spans="1:7" x14ac:dyDescent="0.2">
      <c r="A96" s="909" t="s">
        <v>479</v>
      </c>
      <c r="B96" s="909" t="s">
        <v>178</v>
      </c>
      <c r="C96" s="911">
        <f>'Revenues 9-14'!B84</f>
        <v>1811</v>
      </c>
      <c r="D96" s="912" t="str">
        <f>'Revenues 9-14'!A84</f>
        <v>Rentals - Regular Textbooks</v>
      </c>
      <c r="E96" s="907"/>
      <c r="F96" s="1809">
        <f>'Revenues 9-14'!C84</f>
        <v>31763</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554</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249455</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67737</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258845</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84483</v>
      </c>
      <c r="G106" s="913"/>
    </row>
    <row r="107" spans="1:7" x14ac:dyDescent="0.2">
      <c r="A107" s="922" t="s">
        <v>685</v>
      </c>
      <c r="B107" s="909" t="s">
        <v>843</v>
      </c>
      <c r="C107" s="921">
        <v>3300</v>
      </c>
      <c r="D107" s="912" t="str">
        <f>'Revenues 9-14'!A144</f>
        <v>Total Bilingual Ed</v>
      </c>
      <c r="E107" s="907"/>
      <c r="F107" s="1809">
        <f>SUM('Revenues 9-14'!C144,'Revenues 9-14'!G144)</f>
        <v>21133</v>
      </c>
      <c r="G107" s="913"/>
    </row>
    <row r="108" spans="1:7" x14ac:dyDescent="0.2">
      <c r="A108" s="909" t="s">
        <v>479</v>
      </c>
      <c r="B108" s="909" t="s">
        <v>844</v>
      </c>
      <c r="C108" s="921">
        <f>'Revenues 9-14'!B145</f>
        <v>3360</v>
      </c>
      <c r="D108" s="912" t="str">
        <f>'Revenues 9-14'!A145</f>
        <v>State Free Lunch &amp; Breakfast</v>
      </c>
      <c r="E108" s="907"/>
      <c r="F108" s="1809">
        <f>'Revenues 9-14'!C145</f>
        <v>6465</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69745</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191395</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8">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9">
        <f>SUM('Revenues 9-14'!C166:G166)</f>
        <v>0</v>
      </c>
      <c r="G122" s="913"/>
    </row>
    <row r="123" spans="1:7" x14ac:dyDescent="0.2">
      <c r="A123" s="924" t="s">
        <v>525</v>
      </c>
      <c r="B123" s="924" t="s">
        <v>853</v>
      </c>
      <c r="C123" s="925">
        <f>'Revenues 9-14'!B167</f>
        <v>3815</v>
      </c>
      <c r="D123" s="926" t="str">
        <f>'Revenues 9-14'!A167</f>
        <v>State Charter Schools</v>
      </c>
      <c r="E123" s="907"/>
      <c r="F123" s="1929">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2341</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486881</v>
      </c>
      <c r="G129" s="931"/>
    </row>
    <row r="130" spans="1:7" x14ac:dyDescent="0.2">
      <c r="A130" s="928" t="s">
        <v>689</v>
      </c>
      <c r="B130" s="928" t="s">
        <v>804</v>
      </c>
      <c r="C130" s="933">
        <v>4300</v>
      </c>
      <c r="D130" s="934" t="str">
        <f>'Revenues 9-14'!A211</f>
        <v>Total Title I</v>
      </c>
      <c r="E130" s="907"/>
      <c r="F130" s="1809">
        <f>SUM('Revenues 9-14'!C211,'Revenues 9-14'!D211,'Revenues 9-14'!F211,'Revenues 9-14'!G211)</f>
        <v>397487</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294028</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477</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9">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387</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1478</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9">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9">
        <f>SUM('Revenues 9-14'!C268,'Revenues 9-14'!D268,'Revenues 9-14'!F268,'Revenues 9-14'!G268)</f>
        <v>62635</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22101</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28564</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4500</v>
      </c>
      <c r="G174" s="928"/>
    </row>
    <row r="175" spans="1:7" x14ac:dyDescent="0.2">
      <c r="A175" s="1940" t="s">
        <v>5</v>
      </c>
      <c r="B175" s="1941" t="s">
        <v>2055</v>
      </c>
      <c r="C175" s="1942">
        <v>3100</v>
      </c>
      <c r="D175" s="1943" t="s">
        <v>2058</v>
      </c>
      <c r="E175" s="907"/>
      <c r="F175" s="1927"/>
      <c r="G175" s="928"/>
    </row>
    <row r="176" spans="1:7" x14ac:dyDescent="0.2">
      <c r="A176" s="1940" t="s">
        <v>685</v>
      </c>
      <c r="B176" s="1941" t="s">
        <v>2055</v>
      </c>
      <c r="C176" s="1942">
        <v>3300</v>
      </c>
      <c r="D176" s="1943" t="s">
        <v>2059</v>
      </c>
      <c r="E176" s="907"/>
      <c r="F176" s="1927"/>
      <c r="G176" s="928"/>
    </row>
    <row r="177" spans="1:7" ht="6" customHeight="1" x14ac:dyDescent="0.2">
      <c r="A177" s="928"/>
      <c r="B177" s="928"/>
      <c r="C177" s="950"/>
      <c r="D177" s="928"/>
      <c r="E177" s="907"/>
      <c r="F177" s="951"/>
      <c r="G177" s="948"/>
    </row>
    <row r="178" spans="1:7" x14ac:dyDescent="0.2">
      <c r="A178" s="1790"/>
      <c r="B178" s="1804"/>
      <c r="C178" s="1805"/>
      <c r="D178" s="1806" t="s">
        <v>2011</v>
      </c>
      <c r="E178" s="1807" t="s">
        <v>1015</v>
      </c>
      <c r="F178" s="1808">
        <f>SUM(F84:F136,F161:F176)</f>
        <v>2785358</v>
      </c>
    </row>
    <row r="179" spans="1:7" ht="12" customHeight="1" x14ac:dyDescent="0.2">
      <c r="A179" s="1790"/>
      <c r="B179" s="1804"/>
      <c r="C179" s="1805"/>
      <c r="D179" s="1806" t="s">
        <v>2012</v>
      </c>
      <c r="E179" s="1807"/>
      <c r="F179" s="1809">
        <f>'PCTC-OEPP 27-28'!F77-F178</f>
        <v>12680249</v>
      </c>
    </row>
    <row r="180" spans="1:7" ht="12" customHeight="1" x14ac:dyDescent="0.2">
      <c r="A180" s="1790"/>
      <c r="B180" s="1804"/>
      <c r="C180" s="1805"/>
      <c r="D180" s="1806" t="s">
        <v>1921</v>
      </c>
      <c r="E180" s="1807"/>
      <c r="F180" s="1809">
        <f>'Cap Outlay Deprec 26'!I18</f>
        <v>1220811</v>
      </c>
    </row>
    <row r="181" spans="1:7" ht="12" customHeight="1" x14ac:dyDescent="0.2">
      <c r="A181" s="1790"/>
      <c r="B181" s="1804"/>
      <c r="C181" s="1805"/>
      <c r="D181" s="1806" t="s">
        <v>2013</v>
      </c>
      <c r="E181" s="1807"/>
      <c r="F181" s="1809">
        <f>F179+F180</f>
        <v>13901060</v>
      </c>
    </row>
    <row r="182" spans="1:7" ht="12" customHeight="1" x14ac:dyDescent="0.2">
      <c r="A182" s="1790"/>
      <c r="B182" s="1810"/>
      <c r="C182" s="1805"/>
      <c r="D182" s="1806" t="str">
        <f>D78</f>
        <v>9 Month ADA from District Average Daily Attendance/Prior General State Aid Inquiry 2017-2018</v>
      </c>
      <c r="E182" s="1807"/>
      <c r="F182" s="1811">
        <f>'PCTC-OEPP 27-28'!F78</f>
        <v>1350.37</v>
      </c>
      <c r="G182" s="931"/>
    </row>
    <row r="183" spans="1:7" ht="12" customHeight="1" thickBot="1" x14ac:dyDescent="0.25">
      <c r="A183" s="1790"/>
      <c r="B183" s="1810"/>
      <c r="C183" s="1805"/>
      <c r="D183" s="1806" t="s">
        <v>2014</v>
      </c>
      <c r="E183" s="1807" t="s">
        <v>1626</v>
      </c>
      <c r="F183" s="1812">
        <f>F181/F182</f>
        <v>10294.260091678578</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4" customFormat="1" ht="12.2" customHeight="1" x14ac:dyDescent="0.2">
      <c r="A186" s="1944" t="s">
        <v>2062</v>
      </c>
      <c r="B186" s="1945"/>
      <c r="C186" s="1946"/>
      <c r="D186" s="1945"/>
      <c r="E186" s="1946"/>
      <c r="F186" s="1945"/>
      <c r="G186" s="1945"/>
    </row>
    <row r="187" spans="1:7" s="1944" customFormat="1" ht="12.2" customHeight="1" x14ac:dyDescent="0.2">
      <c r="A187" s="1947" t="s">
        <v>2063</v>
      </c>
      <c r="C187" s="1946"/>
      <c r="D187" s="1945"/>
      <c r="E187" s="1946"/>
      <c r="F187" s="1945"/>
      <c r="G187" s="1945"/>
    </row>
    <row r="188" spans="1:7" ht="12" customHeight="1" x14ac:dyDescent="0.2">
      <c r="C188" s="950"/>
      <c r="D188" s="931"/>
      <c r="E188" s="950"/>
      <c r="F188" s="931"/>
      <c r="G188" s="931"/>
    </row>
    <row r="189" spans="1:7" x14ac:dyDescent="0.2">
      <c r="A189" s="1948" t="s">
        <v>2061</v>
      </c>
      <c r="B189" s="1949"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9" t="s">
        <v>1937</v>
      </c>
      <c r="B1" s="1680"/>
      <c r="C1" s="1680"/>
      <c r="D1" s="1680"/>
      <c r="E1" s="1680"/>
      <c r="F1" s="1680"/>
      <c r="G1" s="1680"/>
    </row>
    <row r="2" spans="1:7" x14ac:dyDescent="0.25">
      <c r="A2" s="1677"/>
      <c r="B2" s="1677"/>
      <c r="C2" s="1678" t="s">
        <v>1036</v>
      </c>
      <c r="D2" s="1677"/>
      <c r="E2" s="1677"/>
      <c r="F2" s="1677"/>
      <c r="G2" s="1677"/>
    </row>
    <row r="3" spans="1:7" ht="5.25" customHeight="1" x14ac:dyDescent="0.25">
      <c r="A3" s="1567"/>
      <c r="B3" s="1567"/>
      <c r="C3" s="1567"/>
      <c r="D3" s="1567"/>
      <c r="E3" s="1567"/>
      <c r="F3" s="1567"/>
      <c r="G3" s="1567"/>
    </row>
    <row r="4" spans="1:7" ht="18.75" customHeight="1" x14ac:dyDescent="0.25">
      <c r="A4" s="2287" t="s">
        <v>1922</v>
      </c>
      <c r="B4" s="2288"/>
      <c r="C4" s="2288"/>
      <c r="D4" s="2288"/>
      <c r="E4" s="2288"/>
      <c r="F4" s="2288"/>
      <c r="G4" s="2289"/>
    </row>
    <row r="5" spans="1:7" x14ac:dyDescent="0.25">
      <c r="A5" s="2290"/>
      <c r="B5" s="2291"/>
      <c r="C5" s="2291"/>
      <c r="D5" s="2291"/>
      <c r="E5" s="2291"/>
      <c r="F5" s="2291"/>
      <c r="G5" s="2292"/>
    </row>
    <row r="6" spans="1:7" ht="18.75" x14ac:dyDescent="0.25">
      <c r="A6" s="1556" t="s">
        <v>1923</v>
      </c>
      <c r="B6" s="1557"/>
      <c r="C6" s="1557"/>
      <c r="D6" s="1557"/>
      <c r="E6" s="1557"/>
      <c r="F6" s="1557"/>
      <c r="G6" s="1558"/>
    </row>
    <row r="7" spans="1:7" ht="30.75" customHeight="1" x14ac:dyDescent="0.25">
      <c r="A7" s="2293" t="s">
        <v>2072</v>
      </c>
      <c r="B7" s="2294"/>
      <c r="C7" s="2294"/>
      <c r="D7" s="2294"/>
      <c r="E7" s="2294"/>
      <c r="F7" s="2294"/>
      <c r="G7" s="2295"/>
    </row>
    <row r="8" spans="1:7" ht="15.75" customHeight="1" x14ac:dyDescent="0.25">
      <c r="A8" s="2296" t="s">
        <v>2021</v>
      </c>
      <c r="B8" s="2297"/>
      <c r="C8" s="2297"/>
      <c r="D8" s="2297"/>
      <c r="E8" s="2297"/>
      <c r="F8" s="2297"/>
      <c r="G8" s="2298"/>
    </row>
    <row r="9" spans="1:7" ht="35.25" customHeight="1" x14ac:dyDescent="0.25">
      <c r="A9" s="2293" t="s">
        <v>2020</v>
      </c>
      <c r="B9" s="2294"/>
      <c r="C9" s="2294"/>
      <c r="D9" s="2294"/>
      <c r="E9" s="2294"/>
      <c r="F9" s="2294"/>
      <c r="G9" s="2295"/>
    </row>
    <row r="10" spans="1:7" ht="15" customHeight="1" x14ac:dyDescent="0.25">
      <c r="A10" s="1559" t="s">
        <v>1924</v>
      </c>
      <c r="B10" s="1560"/>
      <c r="C10" s="1560"/>
      <c r="D10" s="1560"/>
      <c r="E10" s="1560"/>
      <c r="F10" s="1560"/>
      <c r="G10" s="1561"/>
    </row>
    <row r="11" spans="1:7" ht="17.25" customHeight="1" x14ac:dyDescent="0.25">
      <c r="A11" s="2293" t="s">
        <v>1938</v>
      </c>
      <c r="B11" s="2294"/>
      <c r="C11" s="2294"/>
      <c r="D11" s="2294"/>
      <c r="E11" s="2294"/>
      <c r="F11" s="2294"/>
      <c r="G11" s="2295"/>
    </row>
    <row r="12" spans="1:7" ht="15" customHeight="1" x14ac:dyDescent="0.25">
      <c r="A12" s="1559" t="s">
        <v>1929</v>
      </c>
      <c r="B12" s="1560"/>
      <c r="C12" s="1560"/>
      <c r="D12" s="1560"/>
      <c r="E12" s="1560"/>
      <c r="F12" s="1560"/>
      <c r="G12" s="1561"/>
    </row>
    <row r="13" spans="1:7" ht="32.25" customHeight="1" x14ac:dyDescent="0.25">
      <c r="A13" s="2284" t="s">
        <v>1930</v>
      </c>
      <c r="B13" s="2285"/>
      <c r="C13" s="2285"/>
      <c r="D13" s="2285"/>
      <c r="E13" s="2285"/>
      <c r="F13" s="2285"/>
      <c r="G13" s="2286"/>
    </row>
    <row r="14" spans="1:7" x14ac:dyDescent="0.25">
      <c r="A14" s="1681" t="s">
        <v>1939</v>
      </c>
      <c r="B14" s="1682"/>
      <c r="C14" s="1682"/>
      <c r="D14" s="1682"/>
      <c r="E14" s="1682"/>
      <c r="F14" s="1682"/>
      <c r="G14" s="1683"/>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3" t="s">
        <v>2191</v>
      </c>
      <c r="B17" s="1954" t="s">
        <v>2195</v>
      </c>
      <c r="C17" s="1955" t="s">
        <v>2173</v>
      </c>
      <c r="D17" s="1865">
        <v>4224</v>
      </c>
      <c r="E17" s="1562">
        <f t="shared" ref="E17:E141" si="1">IF(D17&lt;=25000,D17,IF(D17&gt;25000,25000,0))</f>
        <v>4224</v>
      </c>
      <c r="F17" s="1813">
        <f t="shared" si="0"/>
        <v>0</v>
      </c>
      <c r="G17" s="1814">
        <f>IF(F17=0,0,D17-F17)</f>
        <v>0</v>
      </c>
      <c r="H17" s="1669"/>
    </row>
    <row r="18" spans="1:8" x14ac:dyDescent="0.25">
      <c r="A18" s="1953" t="s">
        <v>2191</v>
      </c>
      <c r="B18" s="1954" t="s">
        <v>2195</v>
      </c>
      <c r="C18" s="1955" t="s">
        <v>2174</v>
      </c>
      <c r="D18" s="1865">
        <v>3004</v>
      </c>
      <c r="E18" s="1562">
        <f t="shared" ref="E18:E140" si="2">IF(D18&lt;=25000,D18,IF(D18&gt;25000,25000,0))</f>
        <v>3004</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953" t="s">
        <v>2191</v>
      </c>
      <c r="B19" s="1954" t="s">
        <v>2295</v>
      </c>
      <c r="C19" s="1955" t="s">
        <v>2175</v>
      </c>
      <c r="D19" s="1865">
        <v>105000</v>
      </c>
      <c r="E19" s="1562">
        <f t="shared" si="2"/>
        <v>25000</v>
      </c>
      <c r="F19" s="1813">
        <f t="shared" si="3"/>
        <v>25000</v>
      </c>
      <c r="G19" s="1814">
        <f t="shared" si="4"/>
        <v>80000</v>
      </c>
    </row>
    <row r="20" spans="1:8" x14ac:dyDescent="0.25">
      <c r="A20" s="1953" t="s">
        <v>2191</v>
      </c>
      <c r="B20" s="1954" t="s">
        <v>2195</v>
      </c>
      <c r="C20" s="1955" t="s">
        <v>2176</v>
      </c>
      <c r="D20" s="1865">
        <v>750</v>
      </c>
      <c r="E20" s="1562">
        <f t="shared" si="2"/>
        <v>750</v>
      </c>
      <c r="F20" s="1813">
        <f t="shared" si="3"/>
        <v>0</v>
      </c>
      <c r="G20" s="1814">
        <f t="shared" si="4"/>
        <v>0</v>
      </c>
    </row>
    <row r="21" spans="1:8" x14ac:dyDescent="0.25">
      <c r="A21" s="1953" t="s">
        <v>2191</v>
      </c>
      <c r="B21" s="1954" t="s">
        <v>2195</v>
      </c>
      <c r="C21" s="1955" t="s">
        <v>2177</v>
      </c>
      <c r="D21" s="1865">
        <v>4750</v>
      </c>
      <c r="E21" s="1562">
        <f t="shared" si="2"/>
        <v>4750</v>
      </c>
      <c r="F21" s="1813">
        <f t="shared" si="3"/>
        <v>0</v>
      </c>
      <c r="G21" s="1814">
        <f t="shared" si="4"/>
        <v>0</v>
      </c>
    </row>
    <row r="22" spans="1:8" x14ac:dyDescent="0.25">
      <c r="A22" s="1953" t="s">
        <v>2191</v>
      </c>
      <c r="B22" s="1954" t="s">
        <v>2195</v>
      </c>
      <c r="C22" s="1955" t="s">
        <v>2178</v>
      </c>
      <c r="D22" s="1865">
        <v>1771</v>
      </c>
      <c r="E22" s="1562">
        <f t="shared" si="2"/>
        <v>1771</v>
      </c>
      <c r="F22" s="1813">
        <f t="shared" si="3"/>
        <v>0</v>
      </c>
      <c r="G22" s="1814">
        <f t="shared" si="4"/>
        <v>0</v>
      </c>
    </row>
    <row r="23" spans="1:8" x14ac:dyDescent="0.25">
      <c r="A23" s="1953" t="s">
        <v>2191</v>
      </c>
      <c r="B23" s="1954" t="s">
        <v>2195</v>
      </c>
      <c r="C23" s="1955" t="s">
        <v>2179</v>
      </c>
      <c r="D23" s="1865">
        <v>4512</v>
      </c>
      <c r="E23" s="1562">
        <f t="shared" si="2"/>
        <v>4512</v>
      </c>
      <c r="F23" s="1813">
        <f t="shared" si="3"/>
        <v>0</v>
      </c>
      <c r="G23" s="1814">
        <f t="shared" si="4"/>
        <v>0</v>
      </c>
    </row>
    <row r="24" spans="1:8" x14ac:dyDescent="0.25">
      <c r="A24" s="1953" t="s">
        <v>2191</v>
      </c>
      <c r="B24" s="1954" t="s">
        <v>2195</v>
      </c>
      <c r="C24" s="1955" t="s">
        <v>2180</v>
      </c>
      <c r="D24" s="1865">
        <v>2316</v>
      </c>
      <c r="E24" s="1562">
        <f t="shared" si="2"/>
        <v>2316</v>
      </c>
      <c r="F24" s="1813">
        <f t="shared" si="3"/>
        <v>0</v>
      </c>
      <c r="G24" s="1814">
        <f t="shared" si="4"/>
        <v>0</v>
      </c>
    </row>
    <row r="25" spans="1:8" x14ac:dyDescent="0.25">
      <c r="A25" s="1953" t="s">
        <v>2191</v>
      </c>
      <c r="B25" s="1954" t="s">
        <v>2195</v>
      </c>
      <c r="C25" s="1955" t="s">
        <v>2181</v>
      </c>
      <c r="D25" s="1865">
        <v>24005</v>
      </c>
      <c r="E25" s="1562">
        <f t="shared" si="2"/>
        <v>24005</v>
      </c>
      <c r="F25" s="1813">
        <f t="shared" si="3"/>
        <v>0</v>
      </c>
      <c r="G25" s="1814">
        <f t="shared" si="4"/>
        <v>0</v>
      </c>
    </row>
    <row r="26" spans="1:8" x14ac:dyDescent="0.25">
      <c r="A26" s="1953" t="s">
        <v>2191</v>
      </c>
      <c r="B26" s="1954" t="s">
        <v>2195</v>
      </c>
      <c r="C26" s="1955" t="s">
        <v>2182</v>
      </c>
      <c r="D26" s="1865">
        <v>210</v>
      </c>
      <c r="E26" s="1562">
        <f t="shared" si="2"/>
        <v>210</v>
      </c>
      <c r="F26" s="1813">
        <f t="shared" si="3"/>
        <v>0</v>
      </c>
      <c r="G26" s="1814">
        <f t="shared" si="4"/>
        <v>0</v>
      </c>
    </row>
    <row r="27" spans="1:8" x14ac:dyDescent="0.25">
      <c r="A27" s="1953" t="s">
        <v>2191</v>
      </c>
      <c r="B27" s="1954" t="s">
        <v>2195</v>
      </c>
      <c r="C27" s="1955" t="s">
        <v>2183</v>
      </c>
      <c r="D27" s="1865">
        <v>5933</v>
      </c>
      <c r="E27" s="1562">
        <f t="shared" si="2"/>
        <v>5933</v>
      </c>
      <c r="F27" s="1813">
        <f t="shared" si="3"/>
        <v>0</v>
      </c>
      <c r="G27" s="1814">
        <f t="shared" si="4"/>
        <v>0</v>
      </c>
    </row>
    <row r="28" spans="1:8" x14ac:dyDescent="0.25">
      <c r="A28" s="1953" t="s">
        <v>2191</v>
      </c>
      <c r="B28" s="1954" t="s">
        <v>2195</v>
      </c>
      <c r="C28" s="1955" t="s">
        <v>2184</v>
      </c>
      <c r="D28" s="1865">
        <v>8117</v>
      </c>
      <c r="E28" s="1562">
        <f t="shared" si="2"/>
        <v>8117</v>
      </c>
      <c r="F28" s="1813">
        <f t="shared" si="3"/>
        <v>0</v>
      </c>
      <c r="G28" s="1814">
        <f t="shared" si="4"/>
        <v>0</v>
      </c>
    </row>
    <row r="29" spans="1:8" x14ac:dyDescent="0.25">
      <c r="A29" s="1953" t="s">
        <v>2191</v>
      </c>
      <c r="B29" s="1954" t="s">
        <v>2295</v>
      </c>
      <c r="C29" s="1955" t="s">
        <v>2185</v>
      </c>
      <c r="D29" s="1865">
        <v>30729</v>
      </c>
      <c r="E29" s="1562">
        <f t="shared" si="2"/>
        <v>25000</v>
      </c>
      <c r="F29" s="1813">
        <f t="shared" si="3"/>
        <v>25000</v>
      </c>
      <c r="G29" s="1814">
        <f t="shared" si="4"/>
        <v>5729</v>
      </c>
    </row>
    <row r="30" spans="1:8" x14ac:dyDescent="0.25">
      <c r="A30" s="1953" t="s">
        <v>2191</v>
      </c>
      <c r="B30" s="1954" t="s">
        <v>2195</v>
      </c>
      <c r="C30" s="1955" t="s">
        <v>2186</v>
      </c>
      <c r="D30" s="1865">
        <v>4855</v>
      </c>
      <c r="E30" s="1562">
        <f t="shared" si="2"/>
        <v>4855</v>
      </c>
      <c r="F30" s="1813">
        <f t="shared" si="3"/>
        <v>0</v>
      </c>
      <c r="G30" s="1814">
        <f t="shared" si="4"/>
        <v>0</v>
      </c>
    </row>
    <row r="31" spans="1:8" x14ac:dyDescent="0.25">
      <c r="A31" s="1953" t="s">
        <v>2191</v>
      </c>
      <c r="B31" s="1954" t="s">
        <v>2195</v>
      </c>
      <c r="C31" s="1955" t="s">
        <v>2187</v>
      </c>
      <c r="D31" s="1865">
        <v>1137</v>
      </c>
      <c r="E31" s="1562">
        <f t="shared" si="2"/>
        <v>1137</v>
      </c>
      <c r="F31" s="1813">
        <f t="shared" si="3"/>
        <v>0</v>
      </c>
      <c r="G31" s="1814">
        <f t="shared" si="4"/>
        <v>0</v>
      </c>
    </row>
    <row r="32" spans="1:8" x14ac:dyDescent="0.25">
      <c r="A32" s="1953" t="s">
        <v>2191</v>
      </c>
      <c r="B32" s="1954" t="s">
        <v>2195</v>
      </c>
      <c r="C32" s="1955" t="s">
        <v>2188</v>
      </c>
      <c r="D32" s="1865">
        <v>1274</v>
      </c>
      <c r="E32" s="1562">
        <f t="shared" si="2"/>
        <v>1274</v>
      </c>
      <c r="F32" s="1813">
        <f t="shared" si="3"/>
        <v>0</v>
      </c>
      <c r="G32" s="1814">
        <f t="shared" si="4"/>
        <v>0</v>
      </c>
    </row>
    <row r="33" spans="1:7" ht="30" x14ac:dyDescent="0.25">
      <c r="A33" s="1953" t="s">
        <v>2189</v>
      </c>
      <c r="B33" s="1956" t="s">
        <v>2194</v>
      </c>
      <c r="C33" s="1955" t="s">
        <v>2190</v>
      </c>
      <c r="D33" s="1865">
        <v>5491</v>
      </c>
      <c r="E33" s="1562">
        <f t="shared" si="2"/>
        <v>5491</v>
      </c>
      <c r="F33" s="1813">
        <f t="shared" si="3"/>
        <v>0</v>
      </c>
      <c r="G33" s="1814">
        <f t="shared" si="4"/>
        <v>0</v>
      </c>
    </row>
    <row r="34" spans="1:7" x14ac:dyDescent="0.25">
      <c r="A34" s="1953" t="s">
        <v>2192</v>
      </c>
      <c r="B34" s="1956" t="s">
        <v>2193</v>
      </c>
      <c r="C34" s="1955" t="s">
        <v>2196</v>
      </c>
      <c r="D34" s="1865">
        <v>1001</v>
      </c>
      <c r="E34" s="1562">
        <f t="shared" si="2"/>
        <v>1001</v>
      </c>
      <c r="F34" s="1813">
        <f t="shared" si="3"/>
        <v>0</v>
      </c>
      <c r="G34" s="1814">
        <f t="shared" si="4"/>
        <v>0</v>
      </c>
    </row>
    <row r="35" spans="1:7" x14ac:dyDescent="0.25">
      <c r="A35" s="1953" t="s">
        <v>2192</v>
      </c>
      <c r="B35" s="1956" t="s">
        <v>2193</v>
      </c>
      <c r="C35" s="1955" t="s">
        <v>2198</v>
      </c>
      <c r="D35" s="1865">
        <v>2637</v>
      </c>
      <c r="E35" s="1562">
        <f t="shared" si="2"/>
        <v>2637</v>
      </c>
      <c r="F35" s="1813">
        <f t="shared" si="3"/>
        <v>0</v>
      </c>
      <c r="G35" s="1814">
        <f t="shared" si="4"/>
        <v>0</v>
      </c>
    </row>
    <row r="36" spans="1:7" x14ac:dyDescent="0.25">
      <c r="A36" s="1953" t="s">
        <v>2192</v>
      </c>
      <c r="B36" s="1956" t="s">
        <v>2193</v>
      </c>
      <c r="C36" s="1955" t="s">
        <v>2197</v>
      </c>
      <c r="D36" s="1865">
        <v>1309</v>
      </c>
      <c r="E36" s="1562">
        <f t="shared" si="2"/>
        <v>1309</v>
      </c>
      <c r="F36" s="1813">
        <f t="shared" si="3"/>
        <v>0</v>
      </c>
      <c r="G36" s="1814">
        <f t="shared" si="4"/>
        <v>0</v>
      </c>
    </row>
    <row r="37" spans="1:7" x14ac:dyDescent="0.25">
      <c r="A37" s="1953" t="s">
        <v>2192</v>
      </c>
      <c r="B37" s="1956" t="s">
        <v>2193</v>
      </c>
      <c r="C37" s="1955" t="s">
        <v>2199</v>
      </c>
      <c r="D37" s="1865">
        <v>2178</v>
      </c>
      <c r="E37" s="1562">
        <f t="shared" si="2"/>
        <v>2178</v>
      </c>
      <c r="F37" s="1813">
        <f t="shared" si="3"/>
        <v>0</v>
      </c>
      <c r="G37" s="1814">
        <f t="shared" si="4"/>
        <v>0</v>
      </c>
    </row>
    <row r="38" spans="1:7" x14ac:dyDescent="0.25">
      <c r="A38" s="1953" t="s">
        <v>2192</v>
      </c>
      <c r="B38" s="1956" t="s">
        <v>2296</v>
      </c>
      <c r="C38" s="1955" t="s">
        <v>2200</v>
      </c>
      <c r="D38" s="1865">
        <v>41647</v>
      </c>
      <c r="E38" s="1562">
        <f t="shared" si="2"/>
        <v>25000</v>
      </c>
      <c r="F38" s="1813">
        <f t="shared" si="3"/>
        <v>25000</v>
      </c>
      <c r="G38" s="1814">
        <f t="shared" si="4"/>
        <v>16647</v>
      </c>
    </row>
    <row r="39" spans="1:7" x14ac:dyDescent="0.25">
      <c r="A39" s="1953" t="s">
        <v>2192</v>
      </c>
      <c r="B39" s="1956" t="s">
        <v>2193</v>
      </c>
      <c r="C39" s="1955" t="s">
        <v>2201</v>
      </c>
      <c r="D39" s="1865">
        <v>7278</v>
      </c>
      <c r="E39" s="1562">
        <f t="shared" si="2"/>
        <v>7278</v>
      </c>
      <c r="F39" s="1813">
        <f t="shared" si="3"/>
        <v>0</v>
      </c>
      <c r="G39" s="1814">
        <f t="shared" si="4"/>
        <v>0</v>
      </c>
    </row>
    <row r="40" spans="1:7" x14ac:dyDescent="0.25">
      <c r="A40" s="1953" t="s">
        <v>2192</v>
      </c>
      <c r="B40" s="1956" t="s">
        <v>2193</v>
      </c>
      <c r="C40" s="1955" t="s">
        <v>2184</v>
      </c>
      <c r="D40" s="1865">
        <v>1882</v>
      </c>
      <c r="E40" s="1562">
        <f t="shared" si="2"/>
        <v>1882</v>
      </c>
      <c r="F40" s="1813">
        <f t="shared" si="3"/>
        <v>0</v>
      </c>
      <c r="G40" s="1814">
        <f t="shared" si="4"/>
        <v>0</v>
      </c>
    </row>
    <row r="41" spans="1:7" x14ac:dyDescent="0.25">
      <c r="A41" s="1953" t="s">
        <v>2192</v>
      </c>
      <c r="B41" s="1956" t="s">
        <v>2193</v>
      </c>
      <c r="C41" s="1955" t="s">
        <v>2203</v>
      </c>
      <c r="D41" s="1865">
        <v>5803</v>
      </c>
      <c r="E41" s="1562">
        <f t="shared" si="2"/>
        <v>5803</v>
      </c>
      <c r="F41" s="1813">
        <f t="shared" si="3"/>
        <v>0</v>
      </c>
      <c r="G41" s="1814">
        <f t="shared" si="4"/>
        <v>0</v>
      </c>
    </row>
    <row r="42" spans="1:7" x14ac:dyDescent="0.25">
      <c r="A42" s="1953" t="s">
        <v>2192</v>
      </c>
      <c r="B42" s="1956" t="s">
        <v>2193</v>
      </c>
      <c r="C42" s="1955" t="s">
        <v>2188</v>
      </c>
      <c r="D42" s="1865">
        <v>2996</v>
      </c>
      <c r="E42" s="1562">
        <f t="shared" si="2"/>
        <v>2996</v>
      </c>
      <c r="F42" s="1813">
        <f t="shared" si="3"/>
        <v>0</v>
      </c>
      <c r="G42" s="1814">
        <f t="shared" si="4"/>
        <v>0</v>
      </c>
    </row>
    <row r="43" spans="1:7" x14ac:dyDescent="0.25">
      <c r="A43" s="1953" t="s">
        <v>2192</v>
      </c>
      <c r="B43" s="1956" t="s">
        <v>2193</v>
      </c>
      <c r="C43" s="1955" t="s">
        <v>2202</v>
      </c>
      <c r="D43" s="1865">
        <v>133</v>
      </c>
      <c r="E43" s="1562">
        <f t="shared" si="2"/>
        <v>133</v>
      </c>
      <c r="F43" s="1813">
        <f t="shared" si="3"/>
        <v>0</v>
      </c>
      <c r="G43" s="1814">
        <f t="shared" si="4"/>
        <v>0</v>
      </c>
    </row>
    <row r="44" spans="1:7" x14ac:dyDescent="0.25">
      <c r="A44" s="1953" t="s">
        <v>2204</v>
      </c>
      <c r="B44" s="1954" t="s">
        <v>2205</v>
      </c>
      <c r="C44" s="1955" t="s">
        <v>2206</v>
      </c>
      <c r="D44" s="1865">
        <v>255</v>
      </c>
      <c r="E44" s="1562">
        <f t="shared" si="2"/>
        <v>255</v>
      </c>
      <c r="F44" s="1813">
        <f t="shared" si="3"/>
        <v>0</v>
      </c>
      <c r="G44" s="1814">
        <f t="shared" si="4"/>
        <v>0</v>
      </c>
    </row>
    <row r="45" spans="1:7" x14ac:dyDescent="0.25">
      <c r="A45" s="1953" t="s">
        <v>2204</v>
      </c>
      <c r="B45" s="1954" t="s">
        <v>2205</v>
      </c>
      <c r="C45" s="1955" t="s">
        <v>2207</v>
      </c>
      <c r="D45" s="1865">
        <v>600</v>
      </c>
      <c r="E45" s="1562">
        <f t="shared" si="2"/>
        <v>600</v>
      </c>
      <c r="F45" s="1813">
        <f t="shared" si="3"/>
        <v>0</v>
      </c>
      <c r="G45" s="1814">
        <f t="shared" si="4"/>
        <v>0</v>
      </c>
    </row>
    <row r="46" spans="1:7" x14ac:dyDescent="0.25">
      <c r="A46" s="1953" t="s">
        <v>2204</v>
      </c>
      <c r="B46" s="1954" t="s">
        <v>2297</v>
      </c>
      <c r="C46" s="1955" t="s">
        <v>2208</v>
      </c>
      <c r="D46" s="1865">
        <v>73815</v>
      </c>
      <c r="E46" s="1562">
        <f t="shared" si="2"/>
        <v>25000</v>
      </c>
      <c r="F46" s="1813">
        <f t="shared" si="3"/>
        <v>25000</v>
      </c>
      <c r="G46" s="1814">
        <f t="shared" si="4"/>
        <v>48815</v>
      </c>
    </row>
    <row r="47" spans="1:7" x14ac:dyDescent="0.25">
      <c r="A47" s="1953" t="s">
        <v>2204</v>
      </c>
      <c r="B47" s="1954" t="s">
        <v>2205</v>
      </c>
      <c r="C47" s="1955" t="s">
        <v>2209</v>
      </c>
      <c r="D47" s="1865">
        <v>2147</v>
      </c>
      <c r="E47" s="1562">
        <f t="shared" si="2"/>
        <v>2147</v>
      </c>
      <c r="F47" s="1813">
        <f t="shared" si="3"/>
        <v>0</v>
      </c>
      <c r="G47" s="1814">
        <f t="shared" si="4"/>
        <v>0</v>
      </c>
    </row>
    <row r="48" spans="1:7" x14ac:dyDescent="0.25">
      <c r="A48" s="1953" t="s">
        <v>2204</v>
      </c>
      <c r="B48" s="1954" t="s">
        <v>2205</v>
      </c>
      <c r="C48" s="1955" t="s">
        <v>2210</v>
      </c>
      <c r="D48" s="1865">
        <v>5990</v>
      </c>
      <c r="E48" s="1562">
        <f t="shared" si="2"/>
        <v>5990</v>
      </c>
      <c r="F48" s="1813">
        <f t="shared" si="3"/>
        <v>0</v>
      </c>
      <c r="G48" s="1814">
        <f t="shared" si="4"/>
        <v>0</v>
      </c>
    </row>
    <row r="49" spans="1:7" x14ac:dyDescent="0.25">
      <c r="A49" s="1953" t="s">
        <v>2204</v>
      </c>
      <c r="B49" s="1954" t="s">
        <v>2205</v>
      </c>
      <c r="C49" s="1955" t="s">
        <v>2211</v>
      </c>
      <c r="D49" s="1865">
        <v>1682</v>
      </c>
      <c r="E49" s="1562">
        <f t="shared" si="2"/>
        <v>1682</v>
      </c>
      <c r="F49" s="1813">
        <f t="shared" si="3"/>
        <v>0</v>
      </c>
      <c r="G49" s="1814">
        <f t="shared" si="4"/>
        <v>0</v>
      </c>
    </row>
    <row r="50" spans="1:7" x14ac:dyDescent="0.25">
      <c r="A50" s="1953" t="s">
        <v>2204</v>
      </c>
      <c r="B50" s="1954" t="s">
        <v>2205</v>
      </c>
      <c r="C50" s="1955" t="s">
        <v>2212</v>
      </c>
      <c r="D50" s="1865">
        <v>11220</v>
      </c>
      <c r="E50" s="1562">
        <f t="shared" si="2"/>
        <v>11220</v>
      </c>
      <c r="F50" s="1813">
        <f t="shared" si="3"/>
        <v>0</v>
      </c>
      <c r="G50" s="1814">
        <f t="shared" si="4"/>
        <v>0</v>
      </c>
    </row>
    <row r="51" spans="1:7" x14ac:dyDescent="0.25">
      <c r="A51" s="1953" t="s">
        <v>2204</v>
      </c>
      <c r="B51" s="1954" t="s">
        <v>2205</v>
      </c>
      <c r="C51" s="1955" t="s">
        <v>2213</v>
      </c>
      <c r="D51" s="1865">
        <v>8185</v>
      </c>
      <c r="E51" s="1562">
        <f t="shared" si="2"/>
        <v>8185</v>
      </c>
      <c r="F51" s="1813">
        <f t="shared" si="3"/>
        <v>0</v>
      </c>
      <c r="G51" s="1814">
        <f t="shared" si="4"/>
        <v>0</v>
      </c>
    </row>
    <row r="52" spans="1:7" x14ac:dyDescent="0.25">
      <c r="A52" s="1953" t="s">
        <v>2204</v>
      </c>
      <c r="B52" s="1954" t="s">
        <v>2205</v>
      </c>
      <c r="C52" s="1955" t="s">
        <v>2214</v>
      </c>
      <c r="D52" s="1865">
        <v>15800</v>
      </c>
      <c r="E52" s="1562">
        <f t="shared" si="2"/>
        <v>15800</v>
      </c>
      <c r="F52" s="1813">
        <f t="shared" si="3"/>
        <v>0</v>
      </c>
      <c r="G52" s="1814">
        <f t="shared" si="4"/>
        <v>0</v>
      </c>
    </row>
    <row r="53" spans="1:7" x14ac:dyDescent="0.25">
      <c r="A53" s="1953" t="s">
        <v>2204</v>
      </c>
      <c r="B53" s="1954" t="s">
        <v>2205</v>
      </c>
      <c r="C53" s="1955" t="s">
        <v>2215</v>
      </c>
      <c r="D53" s="1865">
        <v>1941</v>
      </c>
      <c r="E53" s="1562">
        <f t="shared" si="2"/>
        <v>1941</v>
      </c>
      <c r="F53" s="1813">
        <f t="shared" si="3"/>
        <v>0</v>
      </c>
      <c r="G53" s="1814">
        <f t="shared" si="4"/>
        <v>0</v>
      </c>
    </row>
    <row r="54" spans="1:7" x14ac:dyDescent="0.25">
      <c r="A54" s="1953" t="s">
        <v>2204</v>
      </c>
      <c r="B54" s="1954" t="s">
        <v>2205</v>
      </c>
      <c r="C54" s="1955" t="s">
        <v>2216</v>
      </c>
      <c r="D54" s="1865">
        <v>450</v>
      </c>
      <c r="E54" s="1562">
        <f t="shared" si="2"/>
        <v>450</v>
      </c>
      <c r="F54" s="1813">
        <f t="shared" si="3"/>
        <v>0</v>
      </c>
      <c r="G54" s="1814">
        <f t="shared" si="4"/>
        <v>0</v>
      </c>
    </row>
    <row r="55" spans="1:7" x14ac:dyDescent="0.25">
      <c r="A55" s="1953" t="s">
        <v>2204</v>
      </c>
      <c r="B55" s="1954" t="s">
        <v>2297</v>
      </c>
      <c r="C55" s="1955" t="s">
        <v>2217</v>
      </c>
      <c r="D55" s="1865">
        <v>108200</v>
      </c>
      <c r="E55" s="1562">
        <f t="shared" si="2"/>
        <v>25000</v>
      </c>
      <c r="F55" s="1813">
        <f t="shared" si="3"/>
        <v>25000</v>
      </c>
      <c r="G55" s="1814">
        <f t="shared" si="4"/>
        <v>83200</v>
      </c>
    </row>
    <row r="56" spans="1:7" x14ac:dyDescent="0.25">
      <c r="A56" s="1953" t="s">
        <v>2204</v>
      </c>
      <c r="B56" s="1954" t="s">
        <v>2205</v>
      </c>
      <c r="C56" s="1955" t="s">
        <v>2218</v>
      </c>
      <c r="D56" s="1865">
        <v>5225</v>
      </c>
      <c r="E56" s="1562">
        <f t="shared" si="2"/>
        <v>5225</v>
      </c>
      <c r="F56" s="1813">
        <f t="shared" si="3"/>
        <v>0</v>
      </c>
      <c r="G56" s="1814">
        <f t="shared" si="4"/>
        <v>0</v>
      </c>
    </row>
    <row r="57" spans="1:7" x14ac:dyDescent="0.25">
      <c r="A57" s="1953" t="s">
        <v>2204</v>
      </c>
      <c r="B57" s="1954" t="s">
        <v>2205</v>
      </c>
      <c r="C57" s="1955" t="s">
        <v>2219</v>
      </c>
      <c r="D57" s="1865">
        <v>4445</v>
      </c>
      <c r="E57" s="1562">
        <f t="shared" si="2"/>
        <v>4445</v>
      </c>
      <c r="F57" s="1813">
        <f t="shared" si="3"/>
        <v>0</v>
      </c>
      <c r="G57" s="1814">
        <f t="shared" si="4"/>
        <v>0</v>
      </c>
    </row>
    <row r="58" spans="1:7" x14ac:dyDescent="0.25">
      <c r="A58" s="1953" t="s">
        <v>2204</v>
      </c>
      <c r="B58" s="1954" t="s">
        <v>2205</v>
      </c>
      <c r="C58" s="1955" t="s">
        <v>2220</v>
      </c>
      <c r="D58" s="1865">
        <v>2311</v>
      </c>
      <c r="E58" s="1562">
        <f t="shared" si="2"/>
        <v>2311</v>
      </c>
      <c r="F58" s="1813">
        <f t="shared" si="3"/>
        <v>0</v>
      </c>
      <c r="G58" s="1814">
        <f t="shared" si="4"/>
        <v>0</v>
      </c>
    </row>
    <row r="59" spans="1:7" x14ac:dyDescent="0.25">
      <c r="A59" s="1953" t="s">
        <v>2204</v>
      </c>
      <c r="B59" s="1954" t="s">
        <v>2205</v>
      </c>
      <c r="C59" s="1955" t="s">
        <v>2221</v>
      </c>
      <c r="D59" s="1865">
        <v>1524</v>
      </c>
      <c r="E59" s="1562">
        <f t="shared" si="2"/>
        <v>1524</v>
      </c>
      <c r="F59" s="1813">
        <f t="shared" si="3"/>
        <v>0</v>
      </c>
      <c r="G59" s="1814">
        <f t="shared" si="4"/>
        <v>0</v>
      </c>
    </row>
    <row r="60" spans="1:7" x14ac:dyDescent="0.25">
      <c r="A60" s="1953" t="s">
        <v>2204</v>
      </c>
      <c r="B60" s="1954" t="s">
        <v>2205</v>
      </c>
      <c r="C60" s="1955" t="s">
        <v>2222</v>
      </c>
      <c r="D60" s="1865">
        <v>5890</v>
      </c>
      <c r="E60" s="1562">
        <f t="shared" si="2"/>
        <v>5890</v>
      </c>
      <c r="F60" s="1813">
        <f t="shared" si="3"/>
        <v>0</v>
      </c>
      <c r="G60" s="1814">
        <f t="shared" si="4"/>
        <v>0</v>
      </c>
    </row>
    <row r="61" spans="1:7" x14ac:dyDescent="0.25">
      <c r="A61" s="1953" t="s">
        <v>2204</v>
      </c>
      <c r="B61" s="1954" t="s">
        <v>2205</v>
      </c>
      <c r="C61" s="1955" t="s">
        <v>2223</v>
      </c>
      <c r="D61" s="1865">
        <v>145</v>
      </c>
      <c r="E61" s="1562">
        <f t="shared" si="2"/>
        <v>145</v>
      </c>
      <c r="F61" s="1813">
        <f t="shared" si="3"/>
        <v>0</v>
      </c>
      <c r="G61" s="1814">
        <f t="shared" si="4"/>
        <v>0</v>
      </c>
    </row>
    <row r="62" spans="1:7" x14ac:dyDescent="0.25">
      <c r="A62" s="1953" t="s">
        <v>2204</v>
      </c>
      <c r="B62" s="1954" t="s">
        <v>2205</v>
      </c>
      <c r="C62" s="1955" t="s">
        <v>2224</v>
      </c>
      <c r="D62" s="1865">
        <v>130</v>
      </c>
      <c r="E62" s="1562">
        <f t="shared" si="2"/>
        <v>130</v>
      </c>
      <c r="F62" s="1813">
        <f t="shared" si="3"/>
        <v>0</v>
      </c>
      <c r="G62" s="1814">
        <f t="shared" si="4"/>
        <v>0</v>
      </c>
    </row>
    <row r="63" spans="1:7" x14ac:dyDescent="0.25">
      <c r="A63" s="1953" t="s">
        <v>2204</v>
      </c>
      <c r="B63" s="1954" t="s">
        <v>2205</v>
      </c>
      <c r="C63" s="1955" t="s">
        <v>2225</v>
      </c>
      <c r="D63" s="1865">
        <v>2735</v>
      </c>
      <c r="E63" s="1562">
        <f t="shared" si="2"/>
        <v>2735</v>
      </c>
      <c r="F63" s="1813">
        <f t="shared" si="3"/>
        <v>0</v>
      </c>
      <c r="G63" s="1814">
        <f t="shared" si="4"/>
        <v>0</v>
      </c>
    </row>
    <row r="64" spans="1:7" x14ac:dyDescent="0.25">
      <c r="A64" s="1953" t="s">
        <v>2204</v>
      </c>
      <c r="B64" s="1954" t="s">
        <v>2297</v>
      </c>
      <c r="C64" s="1955" t="s">
        <v>2201</v>
      </c>
      <c r="D64" s="1865">
        <v>83125</v>
      </c>
      <c r="E64" s="1562">
        <f t="shared" si="2"/>
        <v>25000</v>
      </c>
      <c r="F64" s="1813">
        <f t="shared" si="3"/>
        <v>25000</v>
      </c>
      <c r="G64" s="1814">
        <f t="shared" si="4"/>
        <v>58125</v>
      </c>
    </row>
    <row r="65" spans="1:7" x14ac:dyDescent="0.25">
      <c r="A65" s="1953" t="s">
        <v>2204</v>
      </c>
      <c r="B65" s="1954" t="s">
        <v>2205</v>
      </c>
      <c r="C65" s="1955" t="s">
        <v>2226</v>
      </c>
      <c r="D65" s="1865">
        <v>1160</v>
      </c>
      <c r="E65" s="1562">
        <f t="shared" si="2"/>
        <v>1160</v>
      </c>
      <c r="F65" s="1813">
        <f t="shared" si="3"/>
        <v>0</v>
      </c>
      <c r="G65" s="1814">
        <f t="shared" si="4"/>
        <v>0</v>
      </c>
    </row>
    <row r="66" spans="1:7" x14ac:dyDescent="0.25">
      <c r="A66" s="1953" t="s">
        <v>2204</v>
      </c>
      <c r="B66" s="1954" t="s">
        <v>2205</v>
      </c>
      <c r="C66" s="1955" t="s">
        <v>2227</v>
      </c>
      <c r="D66" s="1865">
        <v>215</v>
      </c>
      <c r="E66" s="1562">
        <f t="shared" si="2"/>
        <v>215</v>
      </c>
      <c r="F66" s="1813">
        <f t="shared" si="3"/>
        <v>0</v>
      </c>
      <c r="G66" s="1814">
        <f t="shared" si="4"/>
        <v>0</v>
      </c>
    </row>
    <row r="67" spans="1:7" x14ac:dyDescent="0.25">
      <c r="A67" s="1953" t="s">
        <v>2204</v>
      </c>
      <c r="B67" s="1954" t="s">
        <v>2205</v>
      </c>
      <c r="C67" s="1955" t="s">
        <v>2228</v>
      </c>
      <c r="D67" s="1865">
        <v>2750</v>
      </c>
      <c r="E67" s="1562">
        <f t="shared" si="2"/>
        <v>2750</v>
      </c>
      <c r="F67" s="1813">
        <f t="shared" si="3"/>
        <v>0</v>
      </c>
      <c r="G67" s="1814">
        <f t="shared" si="4"/>
        <v>0</v>
      </c>
    </row>
    <row r="68" spans="1:7" x14ac:dyDescent="0.25">
      <c r="A68" s="1953" t="s">
        <v>2204</v>
      </c>
      <c r="B68" s="1954" t="s">
        <v>2205</v>
      </c>
      <c r="C68" s="1955" t="s">
        <v>2229</v>
      </c>
      <c r="D68" s="1865">
        <v>12118</v>
      </c>
      <c r="E68" s="1562">
        <f t="shared" si="2"/>
        <v>12118</v>
      </c>
      <c r="F68" s="1813">
        <f t="shared" si="3"/>
        <v>0</v>
      </c>
      <c r="G68" s="1814">
        <f t="shared" si="4"/>
        <v>0</v>
      </c>
    </row>
    <row r="69" spans="1:7" x14ac:dyDescent="0.25">
      <c r="A69" s="1953" t="s">
        <v>2204</v>
      </c>
      <c r="B69" s="1954" t="s">
        <v>2205</v>
      </c>
      <c r="C69" s="1955" t="s">
        <v>2202</v>
      </c>
      <c r="D69" s="1865">
        <v>1613</v>
      </c>
      <c r="E69" s="1562">
        <f t="shared" si="2"/>
        <v>1613</v>
      </c>
      <c r="F69" s="1813">
        <f t="shared" si="3"/>
        <v>0</v>
      </c>
      <c r="G69" s="1814">
        <f t="shared" si="4"/>
        <v>0</v>
      </c>
    </row>
    <row r="70" spans="1:7" x14ac:dyDescent="0.25">
      <c r="A70" s="1953" t="s">
        <v>2230</v>
      </c>
      <c r="B70" s="1954" t="s">
        <v>2231</v>
      </c>
      <c r="C70" s="1955" t="s">
        <v>2232</v>
      </c>
      <c r="D70" s="1865">
        <v>32400</v>
      </c>
      <c r="E70" s="1562">
        <f t="shared" si="2"/>
        <v>25000</v>
      </c>
      <c r="F70" s="1813">
        <f t="shared" si="3"/>
        <v>0</v>
      </c>
      <c r="G70" s="1814">
        <f t="shared" si="4"/>
        <v>0</v>
      </c>
    </row>
    <row r="71" spans="1:7" x14ac:dyDescent="0.25">
      <c r="A71" s="1953" t="s">
        <v>2230</v>
      </c>
      <c r="B71" s="1954" t="s">
        <v>2231</v>
      </c>
      <c r="C71" s="1955" t="s">
        <v>2233</v>
      </c>
      <c r="D71" s="1865">
        <v>1975</v>
      </c>
      <c r="E71" s="1562">
        <f t="shared" si="2"/>
        <v>1975</v>
      </c>
      <c r="F71" s="1813">
        <f t="shared" si="3"/>
        <v>0</v>
      </c>
      <c r="G71" s="1814">
        <f t="shared" si="4"/>
        <v>0</v>
      </c>
    </row>
    <row r="72" spans="1:7" x14ac:dyDescent="0.25">
      <c r="A72" s="1953" t="s">
        <v>2230</v>
      </c>
      <c r="B72" s="1954" t="s">
        <v>2231</v>
      </c>
      <c r="C72" s="1955" t="s">
        <v>2234</v>
      </c>
      <c r="D72" s="1865">
        <v>559131</v>
      </c>
      <c r="E72" s="1562">
        <f t="shared" si="2"/>
        <v>25000</v>
      </c>
      <c r="F72" s="1813">
        <f t="shared" si="3"/>
        <v>0</v>
      </c>
      <c r="G72" s="1814">
        <f t="shared" si="4"/>
        <v>0</v>
      </c>
    </row>
    <row r="73" spans="1:7" x14ac:dyDescent="0.25">
      <c r="A73" s="1953" t="s">
        <v>2230</v>
      </c>
      <c r="B73" s="1954" t="s">
        <v>2231</v>
      </c>
      <c r="C73" s="1955" t="s">
        <v>2235</v>
      </c>
      <c r="D73" s="1865">
        <v>23793</v>
      </c>
      <c r="E73" s="1562">
        <f t="shared" ref="E73:E84" si="5">IF(D73&lt;=25000,D73,IF(D73&gt;25000,25000,0))</f>
        <v>23793</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x14ac:dyDescent="0.25">
      <c r="A74" s="1953" t="s">
        <v>2230</v>
      </c>
      <c r="B74" s="1954" t="s">
        <v>2231</v>
      </c>
      <c r="C74" s="1955" t="s">
        <v>2236</v>
      </c>
      <c r="D74" s="1865">
        <v>5750</v>
      </c>
      <c r="E74" s="1562">
        <f t="shared" si="5"/>
        <v>5750</v>
      </c>
      <c r="F74" s="1813">
        <f t="shared" si="6"/>
        <v>0</v>
      </c>
      <c r="G74" s="1814">
        <f t="shared" si="7"/>
        <v>0</v>
      </c>
    </row>
    <row r="75" spans="1:7" x14ac:dyDescent="0.25">
      <c r="A75" s="1953" t="s">
        <v>2237</v>
      </c>
      <c r="B75" s="1954" t="s">
        <v>2238</v>
      </c>
      <c r="C75" s="1955" t="s">
        <v>2239</v>
      </c>
      <c r="D75" s="1865">
        <v>900</v>
      </c>
      <c r="E75" s="1562">
        <f t="shared" si="5"/>
        <v>900</v>
      </c>
      <c r="F75" s="1813">
        <f t="shared" si="6"/>
        <v>900</v>
      </c>
      <c r="G75" s="1814">
        <f t="shared" si="7"/>
        <v>0</v>
      </c>
    </row>
    <row r="76" spans="1:7" x14ac:dyDescent="0.25">
      <c r="A76" s="1953" t="s">
        <v>2237</v>
      </c>
      <c r="B76" s="1954" t="s">
        <v>2238</v>
      </c>
      <c r="C76" s="1955" t="s">
        <v>2240</v>
      </c>
      <c r="D76" s="1865">
        <v>29559</v>
      </c>
      <c r="E76" s="1562">
        <f t="shared" si="5"/>
        <v>25000</v>
      </c>
      <c r="F76" s="1813">
        <f t="shared" si="6"/>
        <v>25000</v>
      </c>
      <c r="G76" s="1814">
        <f t="shared" si="7"/>
        <v>4559</v>
      </c>
    </row>
    <row r="77" spans="1:7" x14ac:dyDescent="0.25">
      <c r="A77" s="1953" t="s">
        <v>2237</v>
      </c>
      <c r="B77" s="1954" t="s">
        <v>2238</v>
      </c>
      <c r="C77" s="1955" t="s">
        <v>2208</v>
      </c>
      <c r="D77" s="1865">
        <v>7280</v>
      </c>
      <c r="E77" s="1562">
        <f t="shared" si="5"/>
        <v>7280</v>
      </c>
      <c r="F77" s="1813">
        <f t="shared" si="6"/>
        <v>7280</v>
      </c>
      <c r="G77" s="1814">
        <f t="shared" si="7"/>
        <v>0</v>
      </c>
    </row>
    <row r="78" spans="1:7" x14ac:dyDescent="0.25">
      <c r="A78" s="1953" t="s">
        <v>2237</v>
      </c>
      <c r="B78" s="1954" t="s">
        <v>2238</v>
      </c>
      <c r="C78" s="1955" t="s">
        <v>2241</v>
      </c>
      <c r="D78" s="1865">
        <v>4800</v>
      </c>
      <c r="E78" s="1562">
        <f t="shared" si="5"/>
        <v>4800</v>
      </c>
      <c r="F78" s="1813">
        <f t="shared" si="6"/>
        <v>4800</v>
      </c>
      <c r="G78" s="1814">
        <f t="shared" si="7"/>
        <v>0</v>
      </c>
    </row>
    <row r="79" spans="1:7" x14ac:dyDescent="0.25">
      <c r="A79" s="1953" t="s">
        <v>2237</v>
      </c>
      <c r="B79" s="1954" t="s">
        <v>2238</v>
      </c>
      <c r="C79" s="1955" t="s">
        <v>2242</v>
      </c>
      <c r="D79" s="1865">
        <v>19833</v>
      </c>
      <c r="E79" s="1562">
        <f t="shared" si="5"/>
        <v>19833</v>
      </c>
      <c r="F79" s="1813">
        <f t="shared" si="6"/>
        <v>19833</v>
      </c>
      <c r="G79" s="1814">
        <f t="shared" si="7"/>
        <v>0</v>
      </c>
    </row>
    <row r="80" spans="1:7" x14ac:dyDescent="0.25">
      <c r="A80" s="1953" t="s">
        <v>2237</v>
      </c>
      <c r="B80" s="1954" t="s">
        <v>2238</v>
      </c>
      <c r="C80" s="1955" t="s">
        <v>2243</v>
      </c>
      <c r="D80" s="1865">
        <v>100</v>
      </c>
      <c r="E80" s="1562">
        <f t="shared" si="5"/>
        <v>100</v>
      </c>
      <c r="F80" s="1813">
        <f t="shared" si="6"/>
        <v>100</v>
      </c>
      <c r="G80" s="1814">
        <f t="shared" si="7"/>
        <v>0</v>
      </c>
    </row>
    <row r="81" spans="1:7" x14ac:dyDescent="0.25">
      <c r="A81" s="1953" t="s">
        <v>2237</v>
      </c>
      <c r="B81" s="1954" t="s">
        <v>2238</v>
      </c>
      <c r="C81" s="1955" t="s">
        <v>2244</v>
      </c>
      <c r="D81" s="1865">
        <v>2877</v>
      </c>
      <c r="E81" s="1562">
        <f t="shared" si="5"/>
        <v>2877</v>
      </c>
      <c r="F81" s="1813">
        <f t="shared" si="6"/>
        <v>2877</v>
      </c>
      <c r="G81" s="1814">
        <f t="shared" si="7"/>
        <v>0</v>
      </c>
    </row>
    <row r="82" spans="1:7" x14ac:dyDescent="0.25">
      <c r="A82" s="1953" t="s">
        <v>2237</v>
      </c>
      <c r="B82" s="1954" t="s">
        <v>2238</v>
      </c>
      <c r="C82" s="1955" t="s">
        <v>2245</v>
      </c>
      <c r="D82" s="1865">
        <v>700</v>
      </c>
      <c r="E82" s="1562">
        <f t="shared" si="5"/>
        <v>700</v>
      </c>
      <c r="F82" s="1813">
        <f t="shared" si="6"/>
        <v>700</v>
      </c>
      <c r="G82" s="1814">
        <f t="shared" si="7"/>
        <v>0</v>
      </c>
    </row>
    <row r="83" spans="1:7" x14ac:dyDescent="0.25">
      <c r="A83" s="1953" t="s">
        <v>2237</v>
      </c>
      <c r="B83" s="1954" t="s">
        <v>2238</v>
      </c>
      <c r="C83" s="1955" t="s">
        <v>2250</v>
      </c>
      <c r="D83" s="1865">
        <v>199</v>
      </c>
      <c r="E83" s="1562">
        <f t="shared" si="5"/>
        <v>199</v>
      </c>
      <c r="F83" s="1813">
        <f t="shared" si="6"/>
        <v>199</v>
      </c>
      <c r="G83" s="1814">
        <f t="shared" si="7"/>
        <v>0</v>
      </c>
    </row>
    <row r="84" spans="1:7" x14ac:dyDescent="0.25">
      <c r="A84" s="1953" t="s">
        <v>2237</v>
      </c>
      <c r="B84" s="1954" t="s">
        <v>2238</v>
      </c>
      <c r="C84" s="1955" t="s">
        <v>2246</v>
      </c>
      <c r="D84" s="1865">
        <v>400</v>
      </c>
      <c r="E84" s="1562">
        <f t="shared" si="5"/>
        <v>400</v>
      </c>
      <c r="F84" s="1813">
        <f t="shared" si="6"/>
        <v>400</v>
      </c>
      <c r="G84" s="1814">
        <f t="shared" si="7"/>
        <v>0</v>
      </c>
    </row>
    <row r="85" spans="1:7" x14ac:dyDescent="0.25">
      <c r="A85" s="1953" t="s">
        <v>2237</v>
      </c>
      <c r="B85" s="1954" t="s">
        <v>2238</v>
      </c>
      <c r="C85" s="1955" t="s">
        <v>2247</v>
      </c>
      <c r="D85" s="1865">
        <v>16400</v>
      </c>
      <c r="E85" s="1562">
        <f t="shared" si="2"/>
        <v>16400</v>
      </c>
      <c r="F85" s="1813">
        <f t="shared" si="3"/>
        <v>16400</v>
      </c>
      <c r="G85" s="1814">
        <f t="shared" si="4"/>
        <v>0</v>
      </c>
    </row>
    <row r="86" spans="1:7" x14ac:dyDescent="0.25">
      <c r="A86" s="1953" t="s">
        <v>2237</v>
      </c>
      <c r="B86" s="1954" t="s">
        <v>2238</v>
      </c>
      <c r="C86" s="1955" t="s">
        <v>2248</v>
      </c>
      <c r="D86" s="1865">
        <v>765</v>
      </c>
      <c r="E86" s="1562">
        <f t="shared" si="2"/>
        <v>765</v>
      </c>
      <c r="F86" s="1813">
        <f t="shared" si="3"/>
        <v>765</v>
      </c>
      <c r="G86" s="1814">
        <f t="shared" si="4"/>
        <v>0</v>
      </c>
    </row>
    <row r="87" spans="1:7" x14ac:dyDescent="0.25">
      <c r="A87" s="1953" t="s">
        <v>2237</v>
      </c>
      <c r="B87" s="1954" t="s">
        <v>2238</v>
      </c>
      <c r="C87" s="1955" t="s">
        <v>2249</v>
      </c>
      <c r="D87" s="1865">
        <v>3875</v>
      </c>
      <c r="E87" s="1562">
        <f t="shared" si="2"/>
        <v>3875</v>
      </c>
      <c r="F87" s="1813">
        <f t="shared" si="3"/>
        <v>3875</v>
      </c>
      <c r="G87" s="1814">
        <f t="shared" si="4"/>
        <v>0</v>
      </c>
    </row>
    <row r="88" spans="1:7" x14ac:dyDescent="0.25">
      <c r="A88" s="1953" t="s">
        <v>2237</v>
      </c>
      <c r="B88" s="1954" t="s">
        <v>2238</v>
      </c>
      <c r="C88" s="1955" t="s">
        <v>2251</v>
      </c>
      <c r="D88" s="1865">
        <v>3000</v>
      </c>
      <c r="E88" s="1562">
        <f t="shared" si="2"/>
        <v>3000</v>
      </c>
      <c r="F88" s="1813">
        <f t="shared" si="3"/>
        <v>3000</v>
      </c>
      <c r="G88" s="1814">
        <f t="shared" si="4"/>
        <v>0</v>
      </c>
    </row>
    <row r="89" spans="1:7" x14ac:dyDescent="0.25">
      <c r="A89" s="1953" t="s">
        <v>2237</v>
      </c>
      <c r="B89" s="1954" t="s">
        <v>2238</v>
      </c>
      <c r="C89" s="1955" t="s">
        <v>2252</v>
      </c>
      <c r="D89" s="1865">
        <v>350</v>
      </c>
      <c r="E89" s="1562">
        <f t="shared" si="2"/>
        <v>350</v>
      </c>
      <c r="F89" s="1813">
        <f t="shared" si="3"/>
        <v>350</v>
      </c>
      <c r="G89" s="1814">
        <f t="shared" si="4"/>
        <v>0</v>
      </c>
    </row>
    <row r="90" spans="1:7" x14ac:dyDescent="0.25">
      <c r="A90" s="1953" t="s">
        <v>2237</v>
      </c>
      <c r="B90" s="1954" t="s">
        <v>2238</v>
      </c>
      <c r="C90" s="1955" t="s">
        <v>2253</v>
      </c>
      <c r="D90" s="1865">
        <v>880</v>
      </c>
      <c r="E90" s="1562">
        <f t="shared" si="2"/>
        <v>880</v>
      </c>
      <c r="F90" s="1813">
        <f t="shared" si="3"/>
        <v>880</v>
      </c>
      <c r="G90" s="1814">
        <f t="shared" si="4"/>
        <v>0</v>
      </c>
    </row>
    <row r="91" spans="1:7" x14ac:dyDescent="0.25">
      <c r="A91" s="1953" t="s">
        <v>2237</v>
      </c>
      <c r="B91" s="1954" t="s">
        <v>2238</v>
      </c>
      <c r="C91" s="1955" t="s">
        <v>2188</v>
      </c>
      <c r="D91" s="1865">
        <v>637</v>
      </c>
      <c r="E91" s="1562">
        <f t="shared" si="2"/>
        <v>637</v>
      </c>
      <c r="F91" s="1813">
        <f t="shared" si="3"/>
        <v>637</v>
      </c>
      <c r="G91" s="1814">
        <f t="shared" si="4"/>
        <v>0</v>
      </c>
    </row>
    <row r="92" spans="1:7" x14ac:dyDescent="0.25">
      <c r="A92" s="1953" t="s">
        <v>2237</v>
      </c>
      <c r="B92" s="1954" t="s">
        <v>2238</v>
      </c>
      <c r="C92" s="1955" t="s">
        <v>2254</v>
      </c>
      <c r="D92" s="1865">
        <v>4000</v>
      </c>
      <c r="E92" s="1562">
        <f t="shared" si="2"/>
        <v>4000</v>
      </c>
      <c r="F92" s="1813">
        <f t="shared" si="3"/>
        <v>4000</v>
      </c>
      <c r="G92" s="1814">
        <f t="shared" si="4"/>
        <v>0</v>
      </c>
    </row>
    <row r="93" spans="1:7" x14ac:dyDescent="0.25">
      <c r="A93" s="1953" t="s">
        <v>2237</v>
      </c>
      <c r="B93" s="1954" t="s">
        <v>2238</v>
      </c>
      <c r="C93" s="1955" t="s">
        <v>2255</v>
      </c>
      <c r="D93" s="1865">
        <v>1729</v>
      </c>
      <c r="E93" s="1562">
        <f t="shared" ref="E93" si="8">IF(D93&lt;=25000,D93,IF(D93&gt;25000,25000,0))</f>
        <v>1729</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1729</v>
      </c>
      <c r="G93" s="1814">
        <f t="shared" ref="G93" si="10">IF(F93=0,0,D93-F93)</f>
        <v>0</v>
      </c>
    </row>
    <row r="94" spans="1:7" x14ac:dyDescent="0.25">
      <c r="A94" s="1953" t="s">
        <v>2256</v>
      </c>
      <c r="B94" s="1954" t="s">
        <v>2257</v>
      </c>
      <c r="C94" s="1955" t="s">
        <v>2240</v>
      </c>
      <c r="D94" s="1865">
        <v>3745</v>
      </c>
      <c r="E94" s="1562">
        <f t="shared" si="2"/>
        <v>3745</v>
      </c>
      <c r="F94" s="1813">
        <f t="shared" si="3"/>
        <v>3745</v>
      </c>
      <c r="G94" s="1814">
        <f t="shared" si="4"/>
        <v>0</v>
      </c>
    </row>
    <row r="95" spans="1:7" x14ac:dyDescent="0.25">
      <c r="A95" s="1953" t="s">
        <v>2256</v>
      </c>
      <c r="B95" s="1954" t="s">
        <v>2257</v>
      </c>
      <c r="C95" s="1955" t="s">
        <v>2199</v>
      </c>
      <c r="D95" s="1865">
        <v>2560</v>
      </c>
      <c r="E95" s="1562">
        <f t="shared" ref="E95:E98" si="11">IF(D95&lt;=25000,D95,IF(D95&gt;25000,25000,0))</f>
        <v>2560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2560</v>
      </c>
      <c r="G95" s="1814">
        <f t="shared" ref="G95:G98" si="13">IF(F95=0,0,D95-F95)</f>
        <v>0</v>
      </c>
    </row>
    <row r="96" spans="1:7" x14ac:dyDescent="0.25">
      <c r="A96" s="1953" t="s">
        <v>2256</v>
      </c>
      <c r="B96" s="1954" t="s">
        <v>2257</v>
      </c>
      <c r="C96" s="1955" t="s">
        <v>2258</v>
      </c>
      <c r="D96" s="1865">
        <v>120</v>
      </c>
      <c r="E96" s="1562">
        <f t="shared" si="11"/>
        <v>120</v>
      </c>
      <c r="F96" s="1813">
        <f t="shared" si="12"/>
        <v>120</v>
      </c>
      <c r="G96" s="1814">
        <f t="shared" si="13"/>
        <v>0</v>
      </c>
    </row>
    <row r="97" spans="1:7" x14ac:dyDescent="0.25">
      <c r="A97" s="1953" t="s">
        <v>2256</v>
      </c>
      <c r="B97" s="1954" t="s">
        <v>2257</v>
      </c>
      <c r="C97" s="1955" t="s">
        <v>2259</v>
      </c>
      <c r="D97" s="1865">
        <v>5000</v>
      </c>
      <c r="E97" s="1562">
        <f t="shared" si="11"/>
        <v>5000</v>
      </c>
      <c r="F97" s="1813">
        <f t="shared" si="12"/>
        <v>5000</v>
      </c>
      <c r="G97" s="1814">
        <f t="shared" si="13"/>
        <v>0</v>
      </c>
    </row>
    <row r="98" spans="1:7" x14ac:dyDescent="0.25">
      <c r="A98" s="1953" t="s">
        <v>2260</v>
      </c>
      <c r="B98" s="1954" t="s">
        <v>2261</v>
      </c>
      <c r="C98" s="1955" t="s">
        <v>2240</v>
      </c>
      <c r="D98" s="1865">
        <v>2672</v>
      </c>
      <c r="E98" s="1562">
        <f t="shared" si="11"/>
        <v>2672</v>
      </c>
      <c r="F98" s="1813">
        <f t="shared" si="12"/>
        <v>2672</v>
      </c>
      <c r="G98" s="1814">
        <f t="shared" si="13"/>
        <v>0</v>
      </c>
    </row>
    <row r="99" spans="1:7" x14ac:dyDescent="0.25">
      <c r="A99" s="1953" t="s">
        <v>2260</v>
      </c>
      <c r="B99" s="1954" t="s">
        <v>2261</v>
      </c>
      <c r="C99" s="1955" t="s">
        <v>2262</v>
      </c>
      <c r="D99" s="1865">
        <v>9772</v>
      </c>
      <c r="E99" s="1562">
        <f t="shared" ref="E99" si="14">IF(D99&lt;=25000,D99,IF(D99&gt;25000,25000,0))</f>
        <v>9772</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9772</v>
      </c>
      <c r="G99" s="1814">
        <f t="shared" ref="G99" si="16">IF(F99=0,0,D99-F99)</f>
        <v>0</v>
      </c>
    </row>
    <row r="100" spans="1:7" x14ac:dyDescent="0.25">
      <c r="A100" s="1953" t="s">
        <v>2260</v>
      </c>
      <c r="B100" s="1954" t="s">
        <v>2261</v>
      </c>
      <c r="C100" s="1955" t="s">
        <v>2263</v>
      </c>
      <c r="D100" s="1865">
        <v>318</v>
      </c>
      <c r="E100" s="1562">
        <f t="shared" ref="E100:E112" si="17">IF(D100&lt;=25000,D100,IF(D100&gt;25000,25000,0))</f>
        <v>318</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318</v>
      </c>
      <c r="G100" s="1814">
        <f t="shared" ref="G100:G112" si="19">IF(F100=0,0,D100-F100)</f>
        <v>0</v>
      </c>
    </row>
    <row r="101" spans="1:7" x14ac:dyDescent="0.25">
      <c r="A101" s="1953" t="s">
        <v>2260</v>
      </c>
      <c r="B101" s="1954" t="s">
        <v>2261</v>
      </c>
      <c r="C101" s="1955" t="s">
        <v>2212</v>
      </c>
      <c r="D101" s="1865">
        <v>99199</v>
      </c>
      <c r="E101" s="1562">
        <f t="shared" si="17"/>
        <v>25000</v>
      </c>
      <c r="F101" s="1813">
        <f t="shared" si="18"/>
        <v>25000</v>
      </c>
      <c r="G101" s="1814">
        <f t="shared" si="19"/>
        <v>74199</v>
      </c>
    </row>
    <row r="102" spans="1:7" x14ac:dyDescent="0.25">
      <c r="A102" s="1953" t="s">
        <v>2260</v>
      </c>
      <c r="B102" s="1954" t="s">
        <v>2261</v>
      </c>
      <c r="C102" s="1955" t="s">
        <v>2200</v>
      </c>
      <c r="D102" s="1865">
        <v>32260</v>
      </c>
      <c r="E102" s="1562">
        <f t="shared" si="17"/>
        <v>25000</v>
      </c>
      <c r="F102" s="1813">
        <f t="shared" si="18"/>
        <v>25000</v>
      </c>
      <c r="G102" s="1814">
        <f t="shared" si="19"/>
        <v>7260</v>
      </c>
    </row>
    <row r="103" spans="1:7" x14ac:dyDescent="0.25">
      <c r="A103" s="1953" t="s">
        <v>2260</v>
      </c>
      <c r="B103" s="1954" t="s">
        <v>2261</v>
      </c>
      <c r="C103" s="1955" t="s">
        <v>2264</v>
      </c>
      <c r="D103" s="1865">
        <v>2250</v>
      </c>
      <c r="E103" s="1562">
        <f t="shared" si="17"/>
        <v>2250</v>
      </c>
      <c r="F103" s="1813">
        <f t="shared" si="18"/>
        <v>2250</v>
      </c>
      <c r="G103" s="1814">
        <f t="shared" si="19"/>
        <v>0</v>
      </c>
    </row>
    <row r="104" spans="1:7" x14ac:dyDescent="0.25">
      <c r="A104" s="1953" t="s">
        <v>2260</v>
      </c>
      <c r="B104" s="1954" t="s">
        <v>2261</v>
      </c>
      <c r="C104" s="1955" t="s">
        <v>2265</v>
      </c>
      <c r="D104" s="1865">
        <v>2000</v>
      </c>
      <c r="E104" s="1562">
        <f t="shared" si="17"/>
        <v>2000</v>
      </c>
      <c r="F104" s="1813">
        <f t="shared" si="18"/>
        <v>2000</v>
      </c>
      <c r="G104" s="1814">
        <f t="shared" si="19"/>
        <v>0</v>
      </c>
    </row>
    <row r="105" spans="1:7" x14ac:dyDescent="0.25">
      <c r="A105" s="1953" t="s">
        <v>2260</v>
      </c>
      <c r="B105" s="1954" t="s">
        <v>2261</v>
      </c>
      <c r="C105" s="1955" t="s">
        <v>2266</v>
      </c>
      <c r="D105" s="1865">
        <v>2200</v>
      </c>
      <c r="E105" s="1562">
        <f t="shared" si="17"/>
        <v>2200</v>
      </c>
      <c r="F105" s="1813">
        <f t="shared" si="18"/>
        <v>2200</v>
      </c>
      <c r="G105" s="1814">
        <f t="shared" si="19"/>
        <v>0</v>
      </c>
    </row>
    <row r="106" spans="1:7" x14ac:dyDescent="0.25">
      <c r="A106" s="1953" t="s">
        <v>2260</v>
      </c>
      <c r="B106" s="1954" t="s">
        <v>2261</v>
      </c>
      <c r="C106" s="1955" t="s">
        <v>2267</v>
      </c>
      <c r="D106" s="1865">
        <v>5903</v>
      </c>
      <c r="E106" s="1562">
        <f t="shared" si="17"/>
        <v>5903</v>
      </c>
      <c r="F106" s="1813">
        <f t="shared" si="18"/>
        <v>5903</v>
      </c>
      <c r="G106" s="1814">
        <f t="shared" si="19"/>
        <v>0</v>
      </c>
    </row>
    <row r="107" spans="1:7" x14ac:dyDescent="0.25">
      <c r="A107" s="1953" t="s">
        <v>2260</v>
      </c>
      <c r="B107" s="1954" t="s">
        <v>2261</v>
      </c>
      <c r="C107" s="1955" t="s">
        <v>2291</v>
      </c>
      <c r="D107" s="1865">
        <v>6851</v>
      </c>
      <c r="E107" s="1562">
        <f t="shared" si="17"/>
        <v>6851</v>
      </c>
      <c r="F107" s="1813">
        <f t="shared" si="18"/>
        <v>6851</v>
      </c>
      <c r="G107" s="1814">
        <f t="shared" si="19"/>
        <v>0</v>
      </c>
    </row>
    <row r="108" spans="1:7" x14ac:dyDescent="0.25">
      <c r="A108" s="1953" t="s">
        <v>2260</v>
      </c>
      <c r="B108" s="1954" t="s">
        <v>2261</v>
      </c>
      <c r="C108" s="1955" t="s">
        <v>2292</v>
      </c>
      <c r="D108" s="1865">
        <v>8604</v>
      </c>
      <c r="E108" s="1562">
        <f t="shared" si="17"/>
        <v>8604</v>
      </c>
      <c r="F108" s="1813">
        <f t="shared" si="18"/>
        <v>8604</v>
      </c>
      <c r="G108" s="1814">
        <f t="shared" si="19"/>
        <v>0</v>
      </c>
    </row>
    <row r="109" spans="1:7" x14ac:dyDescent="0.25">
      <c r="A109" s="1953" t="s">
        <v>2260</v>
      </c>
      <c r="B109" s="1954" t="s">
        <v>2261</v>
      </c>
      <c r="C109" s="1955" t="s">
        <v>2265</v>
      </c>
      <c r="D109" s="1865">
        <v>9277</v>
      </c>
      <c r="E109" s="1562">
        <f t="shared" si="17"/>
        <v>9277</v>
      </c>
      <c r="F109" s="1813">
        <f t="shared" si="18"/>
        <v>9277</v>
      </c>
      <c r="G109" s="1814">
        <f t="shared" si="19"/>
        <v>0</v>
      </c>
    </row>
    <row r="110" spans="1:7" x14ac:dyDescent="0.25">
      <c r="A110" s="1953" t="s">
        <v>2268</v>
      </c>
      <c r="B110" s="1954" t="s">
        <v>2269</v>
      </c>
      <c r="C110" s="1955" t="s">
        <v>2270</v>
      </c>
      <c r="D110" s="1865">
        <v>14162</v>
      </c>
      <c r="E110" s="1562">
        <f t="shared" si="17"/>
        <v>14162</v>
      </c>
      <c r="F110" s="1813">
        <f t="shared" si="18"/>
        <v>14162</v>
      </c>
      <c r="G110" s="1814">
        <f t="shared" si="19"/>
        <v>0</v>
      </c>
    </row>
    <row r="111" spans="1:7" x14ac:dyDescent="0.25">
      <c r="A111" s="1953" t="s">
        <v>2268</v>
      </c>
      <c r="B111" s="1954" t="s">
        <v>2269</v>
      </c>
      <c r="C111" s="1955" t="s">
        <v>2271</v>
      </c>
      <c r="D111" s="1865">
        <v>200</v>
      </c>
      <c r="E111" s="1562">
        <f t="shared" si="17"/>
        <v>200</v>
      </c>
      <c r="F111" s="1813">
        <f t="shared" si="18"/>
        <v>200</v>
      </c>
      <c r="G111" s="1814">
        <f t="shared" si="19"/>
        <v>0</v>
      </c>
    </row>
    <row r="112" spans="1:7" x14ac:dyDescent="0.25">
      <c r="A112" s="1953" t="s">
        <v>2268</v>
      </c>
      <c r="B112" s="1954" t="s">
        <v>2269</v>
      </c>
      <c r="C112" s="1955" t="s">
        <v>2213</v>
      </c>
      <c r="D112" s="1865">
        <v>2968</v>
      </c>
      <c r="E112" s="1562">
        <f t="shared" si="17"/>
        <v>2968</v>
      </c>
      <c r="F112" s="1813">
        <f t="shared" si="18"/>
        <v>2968</v>
      </c>
      <c r="G112" s="1814">
        <f t="shared" si="19"/>
        <v>0</v>
      </c>
    </row>
    <row r="113" spans="1:7" x14ac:dyDescent="0.25">
      <c r="A113" s="1953" t="s">
        <v>2268</v>
      </c>
      <c r="B113" s="1954" t="s">
        <v>2269</v>
      </c>
      <c r="C113" s="1955" t="s">
        <v>2272</v>
      </c>
      <c r="D113" s="1865">
        <v>100</v>
      </c>
      <c r="E113" s="1562">
        <f t="shared" ref="E113:E125" si="20">IF(D113&lt;=25000,D113,IF(D113&gt;25000,25000,0))</f>
        <v>100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100</v>
      </c>
      <c r="G113" s="1814">
        <f t="shared" ref="G113:G125" si="22">IF(F113=0,0,D113-F113)</f>
        <v>0</v>
      </c>
    </row>
    <row r="114" spans="1:7" x14ac:dyDescent="0.25">
      <c r="A114" s="1953" t="s">
        <v>2268</v>
      </c>
      <c r="B114" s="1954" t="s">
        <v>2269</v>
      </c>
      <c r="C114" s="1955" t="s">
        <v>2273</v>
      </c>
      <c r="D114" s="1865">
        <v>6971</v>
      </c>
      <c r="E114" s="1562">
        <f t="shared" si="20"/>
        <v>6971</v>
      </c>
      <c r="F114" s="1813">
        <f t="shared" si="21"/>
        <v>6971</v>
      </c>
      <c r="G114" s="1814">
        <f t="shared" si="22"/>
        <v>0</v>
      </c>
    </row>
    <row r="115" spans="1:7" x14ac:dyDescent="0.25">
      <c r="A115" s="1953" t="s">
        <v>2268</v>
      </c>
      <c r="B115" s="1954" t="s">
        <v>2269</v>
      </c>
      <c r="C115" s="1955" t="s">
        <v>2274</v>
      </c>
      <c r="D115" s="1865">
        <v>4513</v>
      </c>
      <c r="E115" s="1562">
        <f t="shared" si="20"/>
        <v>4513</v>
      </c>
      <c r="F115" s="1813">
        <f t="shared" si="21"/>
        <v>4513</v>
      </c>
      <c r="G115" s="1814">
        <f t="shared" si="22"/>
        <v>0</v>
      </c>
    </row>
    <row r="116" spans="1:7" x14ac:dyDescent="0.25">
      <c r="A116" s="1953" t="s">
        <v>2289</v>
      </c>
      <c r="B116" s="1954" t="s">
        <v>2290</v>
      </c>
      <c r="C116" s="1955" t="s">
        <v>2240</v>
      </c>
      <c r="D116" s="1865">
        <v>8400</v>
      </c>
      <c r="E116" s="1562">
        <f t="shared" si="20"/>
        <v>8400</v>
      </c>
      <c r="F116" s="1813">
        <f t="shared" si="21"/>
        <v>8400</v>
      </c>
      <c r="G116" s="1814">
        <f t="shared" si="22"/>
        <v>0</v>
      </c>
    </row>
    <row r="117" spans="1:7" x14ac:dyDescent="0.25">
      <c r="A117" s="1953" t="s">
        <v>2277</v>
      </c>
      <c r="B117" s="1954" t="s">
        <v>2275</v>
      </c>
      <c r="C117" s="1955" t="s">
        <v>2240</v>
      </c>
      <c r="D117" s="1865">
        <v>1666</v>
      </c>
      <c r="E117" s="1562">
        <f t="shared" si="20"/>
        <v>1666</v>
      </c>
      <c r="F117" s="1813">
        <f t="shared" si="21"/>
        <v>0</v>
      </c>
      <c r="G117" s="1814">
        <f t="shared" si="22"/>
        <v>0</v>
      </c>
    </row>
    <row r="118" spans="1:7" x14ac:dyDescent="0.25">
      <c r="A118" s="1953" t="s">
        <v>2277</v>
      </c>
      <c r="B118" s="1954" t="s">
        <v>2275</v>
      </c>
      <c r="C118" s="1955" t="s">
        <v>2276</v>
      </c>
      <c r="D118" s="1865">
        <v>2406</v>
      </c>
      <c r="E118" s="1562">
        <f t="shared" si="20"/>
        <v>2406</v>
      </c>
      <c r="F118" s="1813">
        <f t="shared" si="21"/>
        <v>0</v>
      </c>
      <c r="G118" s="1814">
        <f t="shared" si="22"/>
        <v>0</v>
      </c>
    </row>
    <row r="119" spans="1:7" x14ac:dyDescent="0.25">
      <c r="A119" s="1953" t="s">
        <v>2277</v>
      </c>
      <c r="B119" s="1954" t="s">
        <v>2275</v>
      </c>
      <c r="C119" s="1955" t="s">
        <v>2184</v>
      </c>
      <c r="D119" s="1865">
        <v>8137</v>
      </c>
      <c r="E119" s="1562">
        <f t="shared" si="20"/>
        <v>8137</v>
      </c>
      <c r="F119" s="1813">
        <f t="shared" si="21"/>
        <v>0</v>
      </c>
      <c r="G119" s="1814">
        <f t="shared" si="22"/>
        <v>0</v>
      </c>
    </row>
    <row r="120" spans="1:7" x14ac:dyDescent="0.25">
      <c r="A120" s="1953" t="s">
        <v>2278</v>
      </c>
      <c r="B120" s="1954" t="s">
        <v>2279</v>
      </c>
      <c r="C120" s="1955" t="s">
        <v>2280</v>
      </c>
      <c r="D120" s="1865">
        <v>4013</v>
      </c>
      <c r="E120" s="1562">
        <f t="shared" si="20"/>
        <v>4013</v>
      </c>
      <c r="F120" s="1813">
        <f t="shared" si="21"/>
        <v>0</v>
      </c>
      <c r="G120" s="1814">
        <f t="shared" si="22"/>
        <v>0</v>
      </c>
    </row>
    <row r="121" spans="1:7" x14ac:dyDescent="0.25">
      <c r="A121" s="1953" t="s">
        <v>2278</v>
      </c>
      <c r="B121" s="1954" t="s">
        <v>2279</v>
      </c>
      <c r="C121" s="1955" t="s">
        <v>2281</v>
      </c>
      <c r="D121" s="1865">
        <v>275</v>
      </c>
      <c r="E121" s="1562">
        <f t="shared" si="20"/>
        <v>275</v>
      </c>
      <c r="F121" s="1813">
        <f t="shared" si="21"/>
        <v>0</v>
      </c>
      <c r="G121" s="1814">
        <f t="shared" si="22"/>
        <v>0</v>
      </c>
    </row>
    <row r="122" spans="1:7" x14ac:dyDescent="0.25">
      <c r="A122" s="1953" t="s">
        <v>2278</v>
      </c>
      <c r="B122" s="1954" t="s">
        <v>2279</v>
      </c>
      <c r="C122" s="1955" t="s">
        <v>2282</v>
      </c>
      <c r="D122" s="1865">
        <v>8640</v>
      </c>
      <c r="E122" s="1562">
        <f t="shared" si="20"/>
        <v>8640</v>
      </c>
      <c r="F122" s="1813">
        <f t="shared" si="21"/>
        <v>0</v>
      </c>
      <c r="G122" s="1814">
        <f t="shared" si="22"/>
        <v>0</v>
      </c>
    </row>
    <row r="123" spans="1:7" x14ac:dyDescent="0.25">
      <c r="A123" s="1953" t="s">
        <v>2278</v>
      </c>
      <c r="B123" s="1954" t="s">
        <v>2279</v>
      </c>
      <c r="C123" s="1955" t="s">
        <v>2283</v>
      </c>
      <c r="D123" s="1865">
        <v>565</v>
      </c>
      <c r="E123" s="1562">
        <f t="shared" si="20"/>
        <v>565</v>
      </c>
      <c r="F123" s="1813">
        <f t="shared" si="21"/>
        <v>0</v>
      </c>
      <c r="G123" s="1814">
        <f t="shared" si="22"/>
        <v>0</v>
      </c>
    </row>
    <row r="124" spans="1:7" x14ac:dyDescent="0.25">
      <c r="A124" s="1953" t="s">
        <v>2284</v>
      </c>
      <c r="B124" s="1954" t="s">
        <v>2287</v>
      </c>
      <c r="C124" s="1955" t="s">
        <v>2285</v>
      </c>
      <c r="D124" s="1865">
        <v>60000</v>
      </c>
      <c r="E124" s="1562">
        <f t="shared" si="20"/>
        <v>25000</v>
      </c>
      <c r="F124" s="1813">
        <f t="shared" si="21"/>
        <v>25000</v>
      </c>
      <c r="G124" s="1814">
        <f t="shared" si="22"/>
        <v>35000</v>
      </c>
    </row>
    <row r="125" spans="1:7" x14ac:dyDescent="0.25">
      <c r="A125" s="1953" t="s">
        <v>2286</v>
      </c>
      <c r="B125" s="1954" t="s">
        <v>2288</v>
      </c>
      <c r="C125" s="1955" t="s">
        <v>2093</v>
      </c>
      <c r="D125" s="1865">
        <v>191167</v>
      </c>
      <c r="E125" s="1562">
        <f t="shared" si="20"/>
        <v>25000</v>
      </c>
      <c r="F125" s="1813">
        <f t="shared" si="21"/>
        <v>0</v>
      </c>
      <c r="G125" s="1814">
        <f t="shared" si="22"/>
        <v>0</v>
      </c>
    </row>
    <row r="126" spans="1:7" x14ac:dyDescent="0.25">
      <c r="A126" s="1675"/>
      <c r="B126" s="1687"/>
      <c r="C126" s="1676"/>
      <c r="D126" s="1865"/>
      <c r="E126" s="1562">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5"/>
      <c r="B127" s="1687"/>
      <c r="C127" s="1676"/>
      <c r="D127" s="1865"/>
      <c r="E127" s="1562">
        <f t="shared" si="23"/>
        <v>0</v>
      </c>
      <c r="F127" s="1813">
        <f t="shared" si="24"/>
        <v>0</v>
      </c>
      <c r="G127" s="1814">
        <f t="shared" si="25"/>
        <v>0</v>
      </c>
    </row>
    <row r="128" spans="1:7" x14ac:dyDescent="0.25">
      <c r="A128" s="1675"/>
      <c r="B128" s="1687"/>
      <c r="C128" s="1676"/>
      <c r="D128" s="1865"/>
      <c r="E128" s="1562">
        <f t="shared" si="23"/>
        <v>0</v>
      </c>
      <c r="F128" s="1813">
        <f t="shared" si="24"/>
        <v>0</v>
      </c>
      <c r="G128" s="1814">
        <f t="shared" si="25"/>
        <v>0</v>
      </c>
    </row>
    <row r="129" spans="1:7" x14ac:dyDescent="0.25">
      <c r="A129" s="1675"/>
      <c r="B129" s="1687"/>
      <c r="C129" s="1676"/>
      <c r="D129" s="1865"/>
      <c r="E129" s="1562">
        <f t="shared" si="23"/>
        <v>0</v>
      </c>
      <c r="F129" s="1813">
        <f t="shared" si="24"/>
        <v>0</v>
      </c>
      <c r="G129" s="1814">
        <f t="shared" si="25"/>
        <v>0</v>
      </c>
    </row>
    <row r="130" spans="1:7" x14ac:dyDescent="0.25">
      <c r="A130" s="1675"/>
      <c r="B130" s="1687"/>
      <c r="C130" s="1676"/>
      <c r="D130" s="1865"/>
      <c r="E130" s="1562">
        <f t="shared" si="23"/>
        <v>0</v>
      </c>
      <c r="F130" s="1813">
        <f t="shared" si="24"/>
        <v>0</v>
      </c>
      <c r="G130" s="1814">
        <f t="shared" si="25"/>
        <v>0</v>
      </c>
    </row>
    <row r="131" spans="1:7" x14ac:dyDescent="0.25">
      <c r="A131" s="1675"/>
      <c r="B131" s="1858"/>
      <c r="C131" s="1676"/>
      <c r="D131" s="1865"/>
      <c r="E131" s="1562">
        <f t="shared" si="23"/>
        <v>0</v>
      </c>
      <c r="F131" s="1813">
        <f t="shared" si="24"/>
        <v>0</v>
      </c>
      <c r="G131" s="1814">
        <f t="shared" si="25"/>
        <v>0</v>
      </c>
    </row>
    <row r="132" spans="1:7" x14ac:dyDescent="0.25">
      <c r="A132" s="1675"/>
      <c r="B132" s="1858"/>
      <c r="C132" s="1676"/>
      <c r="D132" s="1865"/>
      <c r="E132" s="1562">
        <f t="shared" si="23"/>
        <v>0</v>
      </c>
      <c r="F132" s="1813">
        <f t="shared" si="24"/>
        <v>0</v>
      </c>
      <c r="G132" s="1814">
        <f t="shared" si="25"/>
        <v>0</v>
      </c>
    </row>
    <row r="133" spans="1:7" x14ac:dyDescent="0.25">
      <c r="A133" s="1675"/>
      <c r="B133" s="1687"/>
      <c r="C133" s="1676"/>
      <c r="D133" s="1865"/>
      <c r="E133" s="1562">
        <f t="shared" si="23"/>
        <v>0</v>
      </c>
      <c r="F133" s="1813">
        <f t="shared" si="24"/>
        <v>0</v>
      </c>
      <c r="G133" s="1814">
        <f t="shared" si="25"/>
        <v>0</v>
      </c>
    </row>
    <row r="134" spans="1:7" x14ac:dyDescent="0.25">
      <c r="A134" s="1675"/>
      <c r="B134" s="1687"/>
      <c r="C134" s="1676"/>
      <c r="D134" s="1865"/>
      <c r="E134" s="1562">
        <f t="shared" si="23"/>
        <v>0</v>
      </c>
      <c r="F134" s="1813">
        <f t="shared" si="24"/>
        <v>0</v>
      </c>
      <c r="G134" s="1814">
        <f t="shared" si="25"/>
        <v>0</v>
      </c>
    </row>
    <row r="135" spans="1:7" x14ac:dyDescent="0.25">
      <c r="A135" s="1675"/>
      <c r="B135" s="1687"/>
      <c r="C135" s="1676"/>
      <c r="D135" s="1865"/>
      <c r="E135" s="1562">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5"/>
      <c r="B136" s="1687"/>
      <c r="C136" s="1676"/>
      <c r="D136" s="1865"/>
      <c r="E136" s="1562">
        <f t="shared" si="26"/>
        <v>0</v>
      </c>
      <c r="F136" s="1813">
        <f t="shared" si="27"/>
        <v>0</v>
      </c>
      <c r="G136" s="1814">
        <f t="shared" si="28"/>
        <v>0</v>
      </c>
    </row>
    <row r="137" spans="1:7" x14ac:dyDescent="0.25">
      <c r="A137" s="1675"/>
      <c r="B137" s="1687"/>
      <c r="C137" s="1676"/>
      <c r="D137" s="1865"/>
      <c r="E137" s="1562">
        <f t="shared" si="26"/>
        <v>0</v>
      </c>
      <c r="F137" s="1813">
        <f t="shared" si="27"/>
        <v>0</v>
      </c>
      <c r="G137" s="1814">
        <f t="shared" si="28"/>
        <v>0</v>
      </c>
    </row>
    <row r="138" spans="1:7" x14ac:dyDescent="0.25">
      <c r="A138" s="1675"/>
      <c r="B138" s="1687"/>
      <c r="C138" s="1676"/>
      <c r="D138" s="1865"/>
      <c r="E138" s="1562">
        <f t="shared" si="26"/>
        <v>0</v>
      </c>
      <c r="F138" s="1813">
        <f t="shared" si="27"/>
        <v>0</v>
      </c>
      <c r="G138" s="1814">
        <f t="shared" si="28"/>
        <v>0</v>
      </c>
    </row>
    <row r="139" spans="1:7" x14ac:dyDescent="0.25">
      <c r="A139" s="1675"/>
      <c r="B139" s="1687"/>
      <c r="C139" s="1676"/>
      <c r="D139" s="1865"/>
      <c r="E139" s="1562">
        <f t="shared" si="26"/>
        <v>0</v>
      </c>
      <c r="F139" s="1813">
        <f t="shared" si="27"/>
        <v>0</v>
      </c>
      <c r="G139" s="1814">
        <f t="shared" si="28"/>
        <v>0</v>
      </c>
    </row>
    <row r="140" spans="1:7" x14ac:dyDescent="0.25">
      <c r="A140" s="1675"/>
      <c r="B140" s="1686"/>
      <c r="C140" s="1676"/>
      <c r="D140" s="1865"/>
      <c r="E140" s="1562">
        <f t="shared" si="2"/>
        <v>0</v>
      </c>
      <c r="F140" s="1813">
        <f t="shared" si="3"/>
        <v>0</v>
      </c>
      <c r="G140" s="1814">
        <f t="shared" si="4"/>
        <v>0</v>
      </c>
    </row>
    <row r="141" spans="1:7" x14ac:dyDescent="0.25">
      <c r="A141" s="1817" t="s">
        <v>158</v>
      </c>
      <c r="B141" s="1818"/>
      <c r="C141" s="1819"/>
      <c r="D141" s="1815">
        <f>SUM(D17:D140)</f>
        <v>1856860</v>
      </c>
      <c r="E141" s="1563">
        <f t="shared" si="1"/>
        <v>25000</v>
      </c>
      <c r="F141" s="1815">
        <f>SUM(F17:F140)</f>
        <v>417311</v>
      </c>
      <c r="G141" s="1816">
        <f>SUM(G17:G140)</f>
        <v>413534</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1" colorId="8" zoomScale="110" zoomScaleNormal="110" workbookViewId="0">
      <selection activeCell="A29" sqref="A2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04" t="s">
        <v>1942</v>
      </c>
      <c r="B11" s="2305"/>
      <c r="C11" s="2305"/>
      <c r="D11" s="2306"/>
      <c r="E11" s="978">
        <v>75495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8825849</v>
      </c>
      <c r="F19" s="1820"/>
      <c r="G19" s="1822">
        <f>'Expenditures 15-22'!K33-SUM('Expenditures 15-22'!G33,'Expenditures 15-22'!I33)+'Expenditures 15-22'!D229</f>
        <v>8825849</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787029</v>
      </c>
      <c r="F21" s="1823"/>
      <c r="G21" s="1826">
        <f>'Expenditures 15-22'!K42-SUM('Expenditures 15-22'!G42,'Expenditures 15-22'!I42)+'Expenditures 15-22'!K120-SUM('Expenditures 15-22'!G120,'Expenditures 15-22'!I120)+'Expenditures 15-22'!K180-SUM('Expenditures 15-22'!G180,'Expenditures 15-22'!I180)+'Expenditures 15-22'!D238</f>
        <v>787029</v>
      </c>
      <c r="H21" s="988"/>
      <c r="I21" s="162"/>
    </row>
    <row r="22" spans="1:9" s="669" customFormat="1" ht="12" customHeight="1" x14ac:dyDescent="0.2">
      <c r="A22" s="995" t="s">
        <v>585</v>
      </c>
      <c r="B22" s="996"/>
      <c r="C22" s="994">
        <v>2200</v>
      </c>
      <c r="D22" s="1823"/>
      <c r="E22" s="1825">
        <f>'Expenditures 15-22'!K47-SUM('Expenditures 15-22'!G47,'Expenditures 15-22'!I47)+'Expenditures 15-22'!D243</f>
        <v>578816</v>
      </c>
      <c r="F22" s="1823"/>
      <c r="G22" s="1826">
        <f>'Expenditures 15-22'!K47-SUM('Expenditures 15-22'!G47,'Expenditures 15-22'!I47)+'Expenditures 15-22'!D243</f>
        <v>578816</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1018066</v>
      </c>
      <c r="F23" s="1823"/>
      <c r="G23" s="1825">
        <f>'Expenditures 15-22'!K53-SUM('Expenditures 15-22'!G53,'Expenditures 15-22'!I53)+'Expenditures 15-22'!D257+'Expenditures 15-22'!K330-SUM('Expenditures 15-22'!G330,'Expenditures 15-22'!I330)</f>
        <v>1018066</v>
      </c>
      <c r="H23" s="988"/>
      <c r="I23" s="162"/>
    </row>
    <row r="24" spans="1:9" s="669" customFormat="1" ht="12" customHeight="1" x14ac:dyDescent="0.2">
      <c r="A24" s="995" t="s">
        <v>587</v>
      </c>
      <c r="B24" s="996"/>
      <c r="C24" s="994">
        <v>2400</v>
      </c>
      <c r="D24" s="1823"/>
      <c r="E24" s="1825">
        <f>'Expenditures 15-22'!K57-SUM('Expenditures 15-22'!G57,'Expenditures 15-22'!I57)+'Expenditures 15-22'!D261</f>
        <v>749218</v>
      </c>
      <c r="F24" s="1823"/>
      <c r="G24" s="1826">
        <f>'Expenditures 15-22'!K57-SUM('Expenditures 15-22'!G57,'Expenditures 15-22'!I57)+'Expenditures 15-22'!D261</f>
        <v>749218</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150043</v>
      </c>
      <c r="E26" s="1825">
        <f>'Expenditures 15-22'!K122-SUM('Expenditures 15-22'!G122,'Expenditures 15-22'!I122)+E7</f>
        <v>18239</v>
      </c>
      <c r="F26" s="1825">
        <f>'Expenditures 15-22'!K59-SUM('Expenditures 15-22'!G59,'Expenditures 15-22'!I59)+'Expenditures 15-22'!D263-E7</f>
        <v>150043</v>
      </c>
      <c r="G26" s="1826">
        <f>'Expenditures 15-22'!K122-SUM('Expenditures 15-22'!G122,'Expenditures 15-22'!I122)+E7</f>
        <v>18239</v>
      </c>
      <c r="H26" s="988"/>
      <c r="I26" s="162"/>
    </row>
    <row r="27" spans="1:9" s="669" customFormat="1" ht="12" customHeight="1" x14ac:dyDescent="0.2">
      <c r="A27" s="995" t="s">
        <v>483</v>
      </c>
      <c r="B27" s="998"/>
      <c r="C27" s="994">
        <v>2520</v>
      </c>
      <c r="D27" s="1825">
        <f>'Expenditures 15-22'!K60-SUM('Expenditures 15-22'!G60,'Expenditures 15-22'!I60)+'Expenditures 15-22'!D264-E8</f>
        <v>102597</v>
      </c>
      <c r="E27" s="1825">
        <f>E8</f>
        <v>0</v>
      </c>
      <c r="F27" s="1825">
        <f>'Expenditures 15-22'!K60-SUM('Expenditures 15-22'!G60,'Expenditures 15-22'!I60)+'Expenditures 15-22'!D264-E8</f>
        <v>102597</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1652063</v>
      </c>
      <c r="F28" s="1827">
        <f>'Expenditures 15-22'!K61-SUM('Expenditures 15-22'!G61,'Expenditures 15-22'!I61)+'Expenditures 15-22'!K124-SUM('Expenditures 15-22'!G124,'Expenditures 15-22'!I124)+'Expenditures 15-22'!D266-E9</f>
        <v>1652063</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840422</v>
      </c>
      <c r="F29" s="1823"/>
      <c r="G29" s="1826">
        <f>'Expenditures 15-22'!K62-SUM('Expenditures 15-22'!G62,'Expenditures 15-22'!I62)+'Expenditures 15-22'!K125-SUM('Expenditures 15-22'!G125,'Expenditures 15-22'!I125)+'Expenditures 15-22'!K182-SUM('Expenditures 15-22'!G182,'Expenditures 15-22'!I182)+'Expenditures 15-22'!D267</f>
        <v>840422</v>
      </c>
      <c r="H29" s="986"/>
    </row>
    <row r="30" spans="1:9" ht="12" customHeight="1" x14ac:dyDescent="0.2">
      <c r="A30" s="995" t="s">
        <v>102</v>
      </c>
      <c r="B30" s="998"/>
      <c r="C30" s="994">
        <v>2560</v>
      </c>
      <c r="D30" s="1823"/>
      <c r="E30" s="1825">
        <f>'Expenditures 15-22'!K63-SUM('Expenditures 15-22'!G63,'Expenditures 15-22'!I63)+'Expenditures 15-22'!D268-E10</f>
        <v>725008</v>
      </c>
      <c r="F30" s="1823"/>
      <c r="G30" s="1825">
        <f>'Expenditures 15-22'!K63-SUM('Expenditures 15-22'!G63,'Expenditures 15-22'!I63)+'Expenditures 15-22'!D268-E10</f>
        <v>725008</v>
      </c>
    </row>
    <row r="31" spans="1:9" ht="12" customHeight="1" x14ac:dyDescent="0.2">
      <c r="A31" s="995" t="s">
        <v>103</v>
      </c>
      <c r="B31" s="998"/>
      <c r="C31" s="994">
        <v>2570</v>
      </c>
      <c r="D31" s="1825">
        <f>'Expenditures 15-22'!K64-SUM('Expenditures 15-22'!G64,'Expenditures 15-22'!I64)+'Expenditures 15-22'!D269-E12</f>
        <v>5222</v>
      </c>
      <c r="E31" s="1825">
        <f>E12</f>
        <v>0</v>
      </c>
      <c r="F31" s="1825">
        <f>'Expenditures 15-22'!K64-SUM('Expenditures 15-22'!G64,'Expenditures 15-22'!I64)+'Expenditures 15-22'!D269-E12</f>
        <v>5222</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5" t="s">
        <v>423</v>
      </c>
      <c r="B36" s="998"/>
      <c r="C36" s="994">
        <v>2640</v>
      </c>
      <c r="D36" s="1825">
        <f>'Expenditures 15-22'!K70-SUM('Expenditures 15-22'!G70,'Expenditures 15-22'!I70)+'Expenditures 15-22'!D275-E13</f>
        <v>60954</v>
      </c>
      <c r="E36" s="1825">
        <f>E13</f>
        <v>0</v>
      </c>
      <c r="F36" s="1825">
        <f>'Expenditures 15-22'!K70-SUM('Expenditures 15-22'!G70,'Expenditures 15-22'!I70)+'Expenditures 15-22'!D275-E13</f>
        <v>60954</v>
      </c>
      <c r="G36" s="1825">
        <f>E13</f>
        <v>0</v>
      </c>
    </row>
    <row r="37" spans="1:7" ht="12" customHeight="1" x14ac:dyDescent="0.2">
      <c r="A37" s="995" t="s">
        <v>424</v>
      </c>
      <c r="B37" s="998"/>
      <c r="C37" s="994">
        <v>2660</v>
      </c>
      <c r="D37" s="1825">
        <f>'Expenditures 15-22'!K71-SUM('Expenditures 15-22'!G71,'Expenditures 15-22'!I71)+'Expenditures 15-22'!D276-E14</f>
        <v>92930</v>
      </c>
      <c r="E37" s="1825">
        <f>E14</f>
        <v>0</v>
      </c>
      <c r="F37" s="1825">
        <f>'Expenditures 15-22'!K71-SUM('Expenditures 15-22'!G71,'Expenditures 15-22'!I71)+'Expenditures 15-22'!D276-E14</f>
        <v>92930</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63424</v>
      </c>
      <c r="F39" s="1823"/>
      <c r="G39" s="1825">
        <f>'Expenditures 15-22'!K75-SUM('Expenditures 15-22'!G75,'Expenditures 15-22'!I75)+'Expenditures 15-22'!K130-SUM('Expenditures 15-22'!G130,'Expenditures 15-22'!I130)+'Expenditures 15-22'!K185-SUM('Expenditures 15-22'!G185,'Expenditures 15-22'!I185)+'Expenditures 15-22'!D280</f>
        <v>63424</v>
      </c>
    </row>
    <row r="40" spans="1:7" ht="12" customHeight="1" x14ac:dyDescent="0.2">
      <c r="A40" s="991" t="s">
        <v>1927</v>
      </c>
      <c r="B40" s="992"/>
      <c r="C40" s="994"/>
      <c r="D40" s="1823"/>
      <c r="E40" s="1827">
        <f>-'Contracts Paid in CY 29'!G141</f>
        <v>-413534</v>
      </c>
      <c r="F40" s="1823"/>
      <c r="G40" s="1827">
        <f>-'Contracts Paid in CY 29'!G141</f>
        <v>-413534</v>
      </c>
    </row>
    <row r="41" spans="1:7" ht="12" customHeight="1" x14ac:dyDescent="0.2">
      <c r="A41" s="999" t="s">
        <v>158</v>
      </c>
      <c r="B41" s="1000"/>
      <c r="C41" s="1001"/>
      <c r="D41" s="1827">
        <f>SUM(D19:D39)</f>
        <v>411746</v>
      </c>
      <c r="E41" s="1827">
        <f>SUM(E19:E40)</f>
        <v>14844600</v>
      </c>
      <c r="F41" s="1827">
        <f>SUM(F19:F39)</f>
        <v>2063809</v>
      </c>
      <c r="G41" s="1827">
        <f>SUM(G19:G40)</f>
        <v>13192537</v>
      </c>
    </row>
    <row r="42" spans="1:7" x14ac:dyDescent="0.2">
      <c r="A42" s="988"/>
      <c r="B42" s="162"/>
      <c r="C42" s="1002"/>
      <c r="D42" s="2302" t="s">
        <v>543</v>
      </c>
      <c r="E42" s="2303"/>
      <c r="F42" s="1003" t="s">
        <v>544</v>
      </c>
      <c r="G42" s="1004"/>
    </row>
    <row r="43" spans="1:7" ht="12" customHeight="1" x14ac:dyDescent="0.2">
      <c r="A43" s="988"/>
      <c r="B43" s="162"/>
      <c r="C43" s="1002"/>
      <c r="D43" s="1828" t="s">
        <v>493</v>
      </c>
      <c r="E43" s="1829">
        <f>D41</f>
        <v>411746</v>
      </c>
      <c r="F43" s="1828" t="s">
        <v>495</v>
      </c>
      <c r="G43" s="1829">
        <f>F41</f>
        <v>2063809</v>
      </c>
    </row>
    <row r="44" spans="1:7" ht="12" customHeight="1" x14ac:dyDescent="0.2">
      <c r="A44" s="988"/>
      <c r="B44" s="162"/>
      <c r="C44" s="1002"/>
      <c r="D44" s="1828" t="s">
        <v>494</v>
      </c>
      <c r="E44" s="1829">
        <f>E41</f>
        <v>14844600</v>
      </c>
      <c r="F44" s="1828" t="s">
        <v>494</v>
      </c>
      <c r="G44" s="1829">
        <f>G41</f>
        <v>13192537</v>
      </c>
    </row>
    <row r="45" spans="1:7" ht="12" customHeight="1" x14ac:dyDescent="0.2">
      <c r="A45" s="988"/>
      <c r="B45" s="162"/>
      <c r="C45" s="162"/>
      <c r="D45" s="1830" t="s">
        <v>1063</v>
      </c>
      <c r="E45" s="1831">
        <f>(E43/E44)</f>
        <v>2.77370895813966E-2</v>
      </c>
      <c r="F45" s="1830" t="s">
        <v>1063</v>
      </c>
      <c r="G45" s="1831">
        <f>(G43/G44)</f>
        <v>0.15643761317478208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21" t="s">
        <v>1446</v>
      </c>
      <c r="B1" s="2321"/>
      <c r="C1" s="2321"/>
      <c r="D1" s="2321"/>
      <c r="E1" s="2321"/>
      <c r="F1" s="2321"/>
    </row>
    <row r="2" spans="1:10" x14ac:dyDescent="0.2">
      <c r="A2" s="1908" t="s">
        <v>2045</v>
      </c>
      <c r="B2" s="1869"/>
      <c r="C2" s="1908"/>
      <c r="D2" s="1869"/>
      <c r="E2" s="1869"/>
      <c r="F2" s="1870"/>
    </row>
    <row r="3" spans="1:10" x14ac:dyDescent="0.2">
      <c r="A3" s="1908" t="s">
        <v>1700</v>
      </c>
      <c r="B3" s="1869"/>
      <c r="C3" s="1908"/>
      <c r="D3" s="1869"/>
      <c r="E3" s="1869"/>
      <c r="F3" s="1870"/>
    </row>
    <row r="4" spans="1:10" ht="3.75" customHeight="1" x14ac:dyDescent="0.2">
      <c r="A4" s="1869"/>
      <c r="B4" s="1869"/>
      <c r="C4" s="1869"/>
      <c r="D4" s="1869"/>
      <c r="E4" s="1869"/>
      <c r="F4" s="1870"/>
    </row>
    <row r="5" spans="1:10" ht="15" x14ac:dyDescent="0.25">
      <c r="A5" s="2322" t="s">
        <v>1627</v>
      </c>
      <c r="B5" s="2323"/>
      <c r="C5" s="2324"/>
      <c r="D5" s="2324"/>
      <c r="E5" s="2324"/>
      <c r="F5" s="2324"/>
    </row>
    <row r="6" spans="1:10" ht="12" customHeight="1" x14ac:dyDescent="0.25">
      <c r="A6" s="1871"/>
      <c r="B6" s="1872"/>
      <c r="C6" s="2325" t="str">
        <f>COVER!A17</f>
        <v>United Twp HSD 30</v>
      </c>
      <c r="D6" s="2325"/>
      <c r="E6" s="2325"/>
      <c r="F6" s="1873"/>
    </row>
    <row r="7" spans="1:10" ht="11.25" customHeight="1" thickBot="1" x14ac:dyDescent="0.3">
      <c r="A7" s="1871"/>
      <c r="B7" s="1872"/>
      <c r="C7" s="2326">
        <f>COVER!A13</f>
        <v>49081030017</v>
      </c>
      <c r="D7" s="2326"/>
      <c r="E7" s="2326"/>
      <c r="F7" s="1873"/>
    </row>
    <row r="8" spans="1:10" ht="25.5" customHeight="1" thickBot="1" x14ac:dyDescent="0.25">
      <c r="A8" s="1914" t="s">
        <v>2022</v>
      </c>
      <c r="B8" s="1874"/>
      <c r="C8" s="1910" t="s">
        <v>1780</v>
      </c>
      <c r="D8" s="1909" t="s">
        <v>1781</v>
      </c>
      <c r="E8" s="1911" t="s">
        <v>1447</v>
      </c>
      <c r="F8" s="1909"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2" t="s">
        <v>1448</v>
      </c>
      <c r="F10" s="1913" t="s">
        <v>1449</v>
      </c>
    </row>
    <row r="11" spans="1:10" ht="12" customHeight="1" x14ac:dyDescent="0.2">
      <c r="A11" s="1884" t="s">
        <v>1450</v>
      </c>
      <c r="B11" s="1885"/>
      <c r="C11" s="1886" t="s">
        <v>2074</v>
      </c>
      <c r="D11" s="1886" t="s">
        <v>2074</v>
      </c>
      <c r="E11" s="1887"/>
      <c r="F11" s="1888" t="s">
        <v>2091</v>
      </c>
      <c r="H11" s="1899">
        <f>IF(C11="X",5,0)</f>
        <v>5</v>
      </c>
      <c r="I11" s="1899">
        <f>IF(D11="X",5,0)</f>
        <v>5</v>
      </c>
      <c r="J11" s="1899">
        <f>IF(E11="X",5,0)</f>
        <v>0</v>
      </c>
    </row>
    <row r="12" spans="1:10" ht="12" customHeight="1" x14ac:dyDescent="0.2">
      <c r="A12" s="1884" t="s">
        <v>1451</v>
      </c>
      <c r="B12" s="1885"/>
      <c r="C12" s="1886" t="s">
        <v>2074</v>
      </c>
      <c r="D12" s="1886" t="s">
        <v>2074</v>
      </c>
      <c r="E12" s="1889"/>
      <c r="F12" s="1888" t="s">
        <v>2092</v>
      </c>
      <c r="H12" s="1899">
        <f t="shared" ref="H12:H33" si="0">IF(C12="X",5,0)</f>
        <v>5</v>
      </c>
      <c r="I12" s="1899">
        <f t="shared" ref="I12:I33" si="1">IF(D12="X",5,0)</f>
        <v>5</v>
      </c>
      <c r="J12" s="1899">
        <f t="shared" ref="J12:J33" si="2">IF(E12="X",5,0)</f>
        <v>0</v>
      </c>
    </row>
    <row r="13" spans="1:10" ht="12" customHeight="1" x14ac:dyDescent="0.2">
      <c r="A13" s="1884" t="s">
        <v>1452</v>
      </c>
      <c r="B13" s="1885"/>
      <c r="C13" s="1886"/>
      <c r="D13" s="1886"/>
      <c r="E13" s="1889"/>
      <c r="F13" s="1888"/>
      <c r="H13" s="1899">
        <f t="shared" si="0"/>
        <v>0</v>
      </c>
      <c r="I13" s="1899">
        <f t="shared" si="1"/>
        <v>0</v>
      </c>
      <c r="J13" s="1899">
        <f t="shared" si="2"/>
        <v>0</v>
      </c>
    </row>
    <row r="14" spans="1:10" ht="12" customHeight="1" x14ac:dyDescent="0.2">
      <c r="A14" s="1884" t="s">
        <v>1453</v>
      </c>
      <c r="B14" s="1885"/>
      <c r="C14" s="1886" t="s">
        <v>2074</v>
      </c>
      <c r="D14" s="1886" t="s">
        <v>2074</v>
      </c>
      <c r="E14" s="1889"/>
      <c r="F14" s="1888" t="s">
        <v>2092</v>
      </c>
      <c r="H14" s="1899">
        <f t="shared" si="0"/>
        <v>5</v>
      </c>
      <c r="I14" s="1899">
        <f t="shared" si="1"/>
        <v>5</v>
      </c>
      <c r="J14" s="1899">
        <f t="shared" si="2"/>
        <v>0</v>
      </c>
    </row>
    <row r="15" spans="1:10" ht="12" customHeight="1" x14ac:dyDescent="0.2">
      <c r="A15" s="1884" t="s">
        <v>1454</v>
      </c>
      <c r="B15" s="1885"/>
      <c r="C15" s="1886"/>
      <c r="D15" s="1886"/>
      <c r="E15" s="1889"/>
      <c r="F15" s="1888"/>
      <c r="H15" s="1899">
        <f t="shared" si="0"/>
        <v>0</v>
      </c>
      <c r="I15" s="1899">
        <f t="shared" si="1"/>
        <v>0</v>
      </c>
      <c r="J15" s="1899">
        <f t="shared" si="2"/>
        <v>0</v>
      </c>
    </row>
    <row r="16" spans="1:10" ht="12" customHeight="1" x14ac:dyDescent="0.2">
      <c r="A16" s="1884" t="s">
        <v>1455</v>
      </c>
      <c r="B16" s="1885"/>
      <c r="C16" s="1886" t="s">
        <v>2074</v>
      </c>
      <c r="D16" s="1886" t="s">
        <v>2074</v>
      </c>
      <c r="E16" s="1889"/>
      <c r="F16" s="1888" t="s">
        <v>2093</v>
      </c>
      <c r="H16" s="1899">
        <f t="shared" si="0"/>
        <v>5</v>
      </c>
      <c r="I16" s="1899">
        <f t="shared" si="1"/>
        <v>5</v>
      </c>
      <c r="J16" s="1899">
        <f t="shared" si="2"/>
        <v>0</v>
      </c>
    </row>
    <row r="17" spans="1:12" ht="12" customHeight="1" x14ac:dyDescent="0.2">
      <c r="A17" s="1884" t="s">
        <v>1456</v>
      </c>
      <c r="B17" s="1885"/>
      <c r="C17" s="1886"/>
      <c r="D17" s="1886"/>
      <c r="E17" s="1889"/>
      <c r="F17" s="1888"/>
      <c r="H17" s="1899">
        <f t="shared" si="0"/>
        <v>0</v>
      </c>
      <c r="I17" s="1899">
        <f t="shared" si="1"/>
        <v>0</v>
      </c>
      <c r="J17" s="1899">
        <f t="shared" si="2"/>
        <v>0</v>
      </c>
    </row>
    <row r="18" spans="1:12" ht="12" customHeight="1" x14ac:dyDescent="0.2">
      <c r="A18" s="1884" t="s">
        <v>1457</v>
      </c>
      <c r="B18" s="1885"/>
      <c r="C18" s="1886" t="s">
        <v>2074</v>
      </c>
      <c r="D18" s="1886" t="s">
        <v>2074</v>
      </c>
      <c r="E18" s="1889"/>
      <c r="F18" s="1888" t="s">
        <v>2092</v>
      </c>
      <c r="H18" s="1899">
        <f t="shared" si="0"/>
        <v>5</v>
      </c>
      <c r="I18" s="1899">
        <f t="shared" si="1"/>
        <v>5</v>
      </c>
      <c r="J18" s="1899">
        <f t="shared" si="2"/>
        <v>0</v>
      </c>
    </row>
    <row r="19" spans="1:12" ht="12" customHeight="1" x14ac:dyDescent="0.2">
      <c r="A19" s="1884" t="s">
        <v>1608</v>
      </c>
      <c r="B19" s="1885"/>
      <c r="C19" s="1886"/>
      <c r="D19" s="1886"/>
      <c r="E19" s="1889"/>
      <c r="F19" s="1888"/>
      <c r="H19" s="1899">
        <f t="shared" si="0"/>
        <v>0</v>
      </c>
      <c r="I19" s="1899">
        <f t="shared" si="1"/>
        <v>0</v>
      </c>
      <c r="J19" s="1899">
        <f t="shared" si="2"/>
        <v>0</v>
      </c>
    </row>
    <row r="20" spans="1:12" ht="12" customHeight="1" x14ac:dyDescent="0.2">
      <c r="A20" s="1884" t="s">
        <v>1609</v>
      </c>
      <c r="B20" s="1885"/>
      <c r="C20" s="1886"/>
      <c r="D20" s="1886"/>
      <c r="E20" s="1889"/>
      <c r="F20" s="1888"/>
      <c r="H20" s="1899">
        <f t="shared" si="0"/>
        <v>0</v>
      </c>
      <c r="I20" s="1899">
        <f t="shared" si="1"/>
        <v>0</v>
      </c>
      <c r="J20" s="1899">
        <f t="shared" si="2"/>
        <v>0</v>
      </c>
    </row>
    <row r="21" spans="1:12" ht="12" customHeight="1" x14ac:dyDescent="0.2">
      <c r="A21" s="1884" t="s">
        <v>1610</v>
      </c>
      <c r="B21" s="1885"/>
      <c r="C21" s="1886" t="s">
        <v>2074</v>
      </c>
      <c r="D21" s="1886" t="s">
        <v>2074</v>
      </c>
      <c r="E21" s="1889"/>
      <c r="F21" s="1888" t="s">
        <v>2092</v>
      </c>
      <c r="H21" s="1899">
        <f t="shared" si="0"/>
        <v>5</v>
      </c>
      <c r="I21" s="1899">
        <f t="shared" si="1"/>
        <v>5</v>
      </c>
      <c r="J21" s="1899">
        <f t="shared" si="2"/>
        <v>0</v>
      </c>
    </row>
    <row r="22" spans="1:12" ht="12" customHeight="1" x14ac:dyDescent="0.2">
      <c r="A22" s="1884" t="s">
        <v>1611</v>
      </c>
      <c r="B22" s="1885"/>
      <c r="C22" s="1886" t="s">
        <v>2074</v>
      </c>
      <c r="D22" s="1886" t="s">
        <v>2074</v>
      </c>
      <c r="E22" s="1889"/>
      <c r="F22" s="1888" t="s">
        <v>2092</v>
      </c>
      <c r="H22" s="1899">
        <f t="shared" si="0"/>
        <v>5</v>
      </c>
      <c r="I22" s="1899">
        <f t="shared" si="1"/>
        <v>5</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t="s">
        <v>2074</v>
      </c>
      <c r="D24" s="1886" t="s">
        <v>2074</v>
      </c>
      <c r="E24" s="1889"/>
      <c r="F24" s="1888" t="s">
        <v>2092</v>
      </c>
      <c r="H24" s="1899">
        <f t="shared" si="0"/>
        <v>5</v>
      </c>
      <c r="I24" s="1899">
        <f t="shared" si="1"/>
        <v>5</v>
      </c>
      <c r="J24" s="1899">
        <f t="shared" si="2"/>
        <v>0</v>
      </c>
    </row>
    <row r="25" spans="1:12" ht="12" customHeight="1" x14ac:dyDescent="0.2">
      <c r="A25" s="1884" t="s">
        <v>1614</v>
      </c>
      <c r="B25" s="1885"/>
      <c r="C25" s="1886" t="s">
        <v>2074</v>
      </c>
      <c r="D25" s="1886" t="s">
        <v>2074</v>
      </c>
      <c r="E25" s="1889"/>
      <c r="F25" s="1888" t="s">
        <v>2092</v>
      </c>
      <c r="H25" s="1899">
        <f t="shared" si="0"/>
        <v>5</v>
      </c>
      <c r="I25" s="1899">
        <f t="shared" si="1"/>
        <v>5</v>
      </c>
      <c r="J25" s="1899">
        <f t="shared" si="2"/>
        <v>0</v>
      </c>
    </row>
    <row r="26" spans="1:12" ht="12" customHeight="1" x14ac:dyDescent="0.2">
      <c r="A26" s="1884" t="s">
        <v>1615</v>
      </c>
      <c r="B26" s="1885"/>
      <c r="C26" s="1886" t="s">
        <v>2074</v>
      </c>
      <c r="D26" s="1886" t="s">
        <v>2074</v>
      </c>
      <c r="E26" s="1889"/>
      <c r="F26" s="1888" t="s">
        <v>2094</v>
      </c>
      <c r="H26" s="1899">
        <f t="shared" si="0"/>
        <v>5</v>
      </c>
      <c r="I26" s="1899">
        <f t="shared" si="1"/>
        <v>5</v>
      </c>
      <c r="J26" s="1899">
        <f t="shared" si="2"/>
        <v>0</v>
      </c>
    </row>
    <row r="27" spans="1:12" ht="18.75" x14ac:dyDescent="0.2">
      <c r="A27" s="1884" t="s">
        <v>1616</v>
      </c>
      <c r="B27" s="1885"/>
      <c r="C27" s="1886"/>
      <c r="D27" s="1886"/>
      <c r="E27" s="1889"/>
      <c r="F27" s="1888"/>
      <c r="H27" s="1899">
        <f t="shared" si="0"/>
        <v>0</v>
      </c>
      <c r="I27" s="1899">
        <f t="shared" si="1"/>
        <v>0</v>
      </c>
      <c r="J27" s="1899">
        <f t="shared" si="2"/>
        <v>0</v>
      </c>
    </row>
    <row r="28" spans="1:12" ht="12" customHeight="1" x14ac:dyDescent="0.2">
      <c r="A28" s="1884" t="s">
        <v>1617</v>
      </c>
      <c r="B28" s="1885"/>
      <c r="C28" s="1886" t="s">
        <v>2074</v>
      </c>
      <c r="D28" s="1886" t="s">
        <v>2074</v>
      </c>
      <c r="E28" s="1889"/>
      <c r="F28" s="1888" t="s">
        <v>2095</v>
      </c>
      <c r="H28" s="1899">
        <f t="shared" si="0"/>
        <v>5</v>
      </c>
      <c r="I28" s="1899">
        <f t="shared" si="1"/>
        <v>5</v>
      </c>
      <c r="J28" s="1899">
        <f t="shared" si="2"/>
        <v>0</v>
      </c>
    </row>
    <row r="29" spans="1:12" ht="12" customHeight="1" x14ac:dyDescent="0.2">
      <c r="A29" s="1884" t="s">
        <v>1618</v>
      </c>
      <c r="B29" s="1885"/>
      <c r="C29" s="1886" t="s">
        <v>2074</v>
      </c>
      <c r="D29" s="1886" t="s">
        <v>2074</v>
      </c>
      <c r="E29" s="1889"/>
      <c r="F29" s="1888" t="s">
        <v>2092</v>
      </c>
      <c r="H29" s="1899">
        <f t="shared" si="0"/>
        <v>5</v>
      </c>
      <c r="I29" s="1899">
        <f t="shared" si="1"/>
        <v>5</v>
      </c>
      <c r="J29" s="1899">
        <f t="shared" si="2"/>
        <v>0</v>
      </c>
    </row>
    <row r="30" spans="1:12" ht="12" customHeight="1" x14ac:dyDescent="0.2">
      <c r="A30" s="1884" t="s">
        <v>1619</v>
      </c>
      <c r="B30" s="1885"/>
      <c r="C30" s="1886" t="s">
        <v>2074</v>
      </c>
      <c r="D30" s="1886" t="s">
        <v>2074</v>
      </c>
      <c r="E30" s="1889"/>
      <c r="F30" s="1888" t="s">
        <v>2096</v>
      </c>
      <c r="H30" s="1899">
        <f t="shared" si="0"/>
        <v>5</v>
      </c>
      <c r="I30" s="1899">
        <f t="shared" si="1"/>
        <v>5</v>
      </c>
      <c r="J30" s="1899">
        <f t="shared" si="2"/>
        <v>0</v>
      </c>
    </row>
    <row r="31" spans="1:12" ht="12" customHeight="1" x14ac:dyDescent="0.2">
      <c r="A31" s="1884" t="s">
        <v>1620</v>
      </c>
      <c r="B31" s="1885"/>
      <c r="C31" s="1886" t="s">
        <v>2074</v>
      </c>
      <c r="D31" s="1886" t="s">
        <v>2074</v>
      </c>
      <c r="E31" s="1889"/>
      <c r="F31" s="1888" t="s">
        <v>2092</v>
      </c>
      <c r="H31" s="1899">
        <f t="shared" si="0"/>
        <v>5</v>
      </c>
      <c r="I31" s="1899">
        <f t="shared" si="1"/>
        <v>5</v>
      </c>
      <c r="J31" s="1899">
        <f t="shared" si="2"/>
        <v>0</v>
      </c>
      <c r="L31" s="1890"/>
    </row>
    <row r="32" spans="1:12" ht="12" customHeight="1" x14ac:dyDescent="0.2">
      <c r="A32" s="1884" t="s">
        <v>1621</v>
      </c>
      <c r="B32" s="1885"/>
      <c r="C32" s="1886"/>
      <c r="D32" s="1886"/>
      <c r="E32" s="1889"/>
      <c r="F32" s="1888"/>
      <c r="H32" s="1899">
        <f t="shared" si="0"/>
        <v>0</v>
      </c>
      <c r="I32" s="1899">
        <f t="shared" si="1"/>
        <v>0</v>
      </c>
      <c r="J32" s="1899">
        <f t="shared" si="2"/>
        <v>0</v>
      </c>
    </row>
    <row r="33" spans="1:11" ht="12" customHeight="1" x14ac:dyDescent="0.2">
      <c r="A33" s="1884" t="s">
        <v>1622</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70</v>
      </c>
      <c r="I34" s="1899">
        <f>SUM(I11:I32)</f>
        <v>70</v>
      </c>
      <c r="J34" s="1899">
        <f>SUM(J11:J32)</f>
        <v>0</v>
      </c>
      <c r="K34" s="1899">
        <f>SUM(H34:J34)</f>
        <v>140</v>
      </c>
    </row>
    <row r="35" spans="1:11" ht="12" customHeight="1" x14ac:dyDescent="0.2">
      <c r="A35" s="1892" t="s">
        <v>1459</v>
      </c>
      <c r="B35" s="1893"/>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4"/>
      <c r="B39" s="1894"/>
      <c r="C39" s="1894"/>
      <c r="D39" s="1894"/>
      <c r="E39" s="1894"/>
      <c r="F39" s="1894"/>
    </row>
    <row r="40" spans="1:11" s="1891" customFormat="1" ht="12" customHeight="1" x14ac:dyDescent="0.25">
      <c r="A40" s="1895" t="s">
        <v>1458</v>
      </c>
      <c r="B40" s="1896"/>
      <c r="C40" s="2316"/>
      <c r="D40" s="2316"/>
      <c r="E40" s="2316"/>
      <c r="F40" s="2317"/>
      <c r="H40" s="1900"/>
      <c r="I40" s="1900"/>
      <c r="J40" s="1900"/>
      <c r="K40" s="1900"/>
    </row>
    <row r="41" spans="1:11" s="1891" customFormat="1" ht="12" customHeight="1" x14ac:dyDescent="0.25">
      <c r="A41" s="2318" t="s">
        <v>2097</v>
      </c>
      <c r="B41" s="2319"/>
      <c r="C41" s="2319"/>
      <c r="D41" s="2319"/>
      <c r="E41" s="2319"/>
      <c r="F41" s="2320"/>
      <c r="H41" s="1900"/>
      <c r="I41" s="1900"/>
      <c r="J41" s="1900"/>
      <c r="K41" s="1900"/>
    </row>
    <row r="42" spans="1:11" s="1891" customFormat="1" ht="12" customHeight="1" x14ac:dyDescent="0.25">
      <c r="A42" s="2318"/>
      <c r="B42" s="2319"/>
      <c r="C42" s="2319"/>
      <c r="D42" s="2319"/>
      <c r="E42" s="2319"/>
      <c r="F42" s="2320"/>
      <c r="H42" s="1900"/>
      <c r="I42" s="1900"/>
      <c r="J42" s="1900"/>
      <c r="K42" s="1900"/>
    </row>
    <row r="43" spans="1:11" s="1891" customFormat="1" ht="15" x14ac:dyDescent="0.25">
      <c r="A43" s="2307"/>
      <c r="B43" s="2308"/>
      <c r="C43" s="2308"/>
      <c r="D43" s="2308"/>
      <c r="E43" s="2308"/>
      <c r="F43" s="2309"/>
      <c r="H43" s="1900"/>
      <c r="I43" s="1900"/>
      <c r="J43" s="1900"/>
      <c r="K43" s="1900"/>
    </row>
    <row r="44" spans="1:11" s="1891" customFormat="1" ht="12" hidden="1" customHeight="1" x14ac:dyDescent="0.25">
      <c r="A44" s="2307"/>
      <c r="B44" s="2308"/>
      <c r="C44" s="2308"/>
      <c r="D44" s="2308"/>
      <c r="E44" s="2308"/>
      <c r="F44" s="2309"/>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O29" sqref="O2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5" t="s">
        <v>693</v>
      </c>
      <c r="B6" s="1664"/>
      <c r="C6" s="1664"/>
      <c r="D6" s="1664"/>
      <c r="E6" s="1665"/>
      <c r="F6" s="1016"/>
      <c r="G6" s="1010"/>
      <c r="H6" s="1017" t="s">
        <v>1086</v>
      </c>
      <c r="I6" s="2334" t="str">
        <f>COVER!A17</f>
        <v>United Twp HSD 30</v>
      </c>
      <c r="J6" s="2335"/>
      <c r="Q6" s="1684"/>
    </row>
    <row r="7" spans="1:17" x14ac:dyDescent="0.2">
      <c r="A7" s="2336" t="s">
        <v>924</v>
      </c>
      <c r="B7" s="2337"/>
      <c r="C7" s="2337"/>
      <c r="D7" s="2337"/>
      <c r="E7" s="2338"/>
      <c r="F7" s="1018"/>
      <c r="G7" s="1010"/>
      <c r="H7" s="1017" t="s">
        <v>390</v>
      </c>
      <c r="I7" s="2339">
        <f>COVER!A13</f>
        <v>49081030017</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6" t="s">
        <v>1701</v>
      </c>
      <c r="F9" s="1024"/>
      <c r="G9" s="1024"/>
      <c r="H9" s="1917"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214548</v>
      </c>
      <c r="F12" s="1040"/>
      <c r="G12" s="1832">
        <f t="shared" ref="G12:G18" si="0">SUM(E12:F12)</f>
        <v>214548</v>
      </c>
      <c r="H12" s="1041">
        <v>220111</v>
      </c>
      <c r="I12" s="1040"/>
      <c r="J12" s="1832">
        <f t="shared" ref="J12:J18" si="1">SUM(H12:I12)</f>
        <v>220111</v>
      </c>
    </row>
    <row r="13" spans="1:17" ht="15" customHeight="1" x14ac:dyDescent="0.2">
      <c r="A13" s="1036">
        <v>2</v>
      </c>
      <c r="B13" s="1037" t="s">
        <v>44</v>
      </c>
      <c r="C13" s="1038"/>
      <c r="D13" s="1039">
        <v>2330</v>
      </c>
      <c r="E13" s="1832">
        <f>'Expenditures 15-22'!K51</f>
        <v>0</v>
      </c>
      <c r="F13" s="1040"/>
      <c r="G13" s="1832">
        <f t="shared" si="0"/>
        <v>0</v>
      </c>
      <c r="H13" s="1041"/>
      <c r="I13" s="1040"/>
      <c r="J13" s="1832">
        <f t="shared" si="1"/>
        <v>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125842</v>
      </c>
      <c r="F15" s="1832">
        <f>'Expenditures 15-22'!K122</f>
        <v>18239</v>
      </c>
      <c r="G15" s="1832">
        <f t="shared" si="0"/>
        <v>144081</v>
      </c>
      <c r="H15" s="1041">
        <v>131530</v>
      </c>
      <c r="I15" s="1041">
        <v>19119</v>
      </c>
      <c r="J15" s="1832">
        <f t="shared" si="1"/>
        <v>150649</v>
      </c>
    </row>
    <row r="16" spans="1:17" ht="15" customHeight="1" x14ac:dyDescent="0.2">
      <c r="A16" s="1036">
        <v>5</v>
      </c>
      <c r="B16" s="1037" t="s">
        <v>103</v>
      </c>
      <c r="C16" s="1038"/>
      <c r="D16" s="1039">
        <v>2570</v>
      </c>
      <c r="E16" s="1832">
        <f>'Expenditures 15-22'!K64</f>
        <v>5222</v>
      </c>
      <c r="F16" s="1040"/>
      <c r="G16" s="1832">
        <f t="shared" si="0"/>
        <v>5222</v>
      </c>
      <c r="H16" s="1041">
        <v>7710</v>
      </c>
      <c r="I16" s="1040"/>
      <c r="J16" s="1832">
        <f t="shared" si="1"/>
        <v>7710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43" t="s">
        <v>7</v>
      </c>
      <c r="C18" s="2344"/>
      <c r="D18" s="2345"/>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345612</v>
      </c>
      <c r="F19" s="1834">
        <f t="shared" si="2"/>
        <v>18239</v>
      </c>
      <c r="G19" s="1834">
        <f t="shared" si="2"/>
        <v>363851</v>
      </c>
      <c r="H19" s="1834">
        <f t="shared" si="2"/>
        <v>359351</v>
      </c>
      <c r="I19" s="1834">
        <f t="shared" si="2"/>
        <v>19119</v>
      </c>
      <c r="J19" s="1834">
        <f t="shared" si="2"/>
        <v>378470</v>
      </c>
    </row>
    <row r="20" spans="1:10" ht="13.5" thickTop="1" x14ac:dyDescent="0.2">
      <c r="A20" s="1036">
        <v>9</v>
      </c>
      <c r="B20" s="2346" t="s">
        <v>1703</v>
      </c>
      <c r="C20" s="2346"/>
      <c r="D20" s="2347"/>
      <c r="E20" s="1047"/>
      <c r="F20" s="1047"/>
      <c r="G20" s="1047"/>
      <c r="H20" s="1047"/>
      <c r="I20" s="1047"/>
      <c r="J20" s="1835">
        <f>IF(AND(G19&gt;0,J19&gt;0),(((J19-G19)/G19)),"Enter Budget Data")</f>
        <v>4.017853461994058E-2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1941</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A13" sqref="A1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2165</v>
      </c>
    </row>
    <row r="6" spans="1:2" x14ac:dyDescent="0.2">
      <c r="A6" s="1069">
        <v>2</v>
      </c>
      <c r="B6" s="329" t="s">
        <v>2166</v>
      </c>
    </row>
    <row r="7" spans="1:2" x14ac:dyDescent="0.2">
      <c r="A7" s="1069">
        <v>3</v>
      </c>
      <c r="B7" s="329" t="s">
        <v>2167</v>
      </c>
    </row>
    <row r="8" spans="1:2" x14ac:dyDescent="0.2">
      <c r="A8" s="1069">
        <v>4</v>
      </c>
      <c r="B8" s="329" t="s">
        <v>2168</v>
      </c>
    </row>
    <row r="9" spans="1:2" x14ac:dyDescent="0.2">
      <c r="A9" s="1069">
        <v>5</v>
      </c>
      <c r="B9" s="329" t="s">
        <v>2169</v>
      </c>
    </row>
    <row r="10" spans="1:2" x14ac:dyDescent="0.2">
      <c r="A10" s="1069">
        <v>6</v>
      </c>
      <c r="B10" s="329" t="s">
        <v>2170</v>
      </c>
    </row>
    <row r="11" spans="1:2" x14ac:dyDescent="0.2">
      <c r="A11" s="1070">
        <v>7</v>
      </c>
      <c r="B11" s="329" t="s">
        <v>2171</v>
      </c>
    </row>
    <row r="12" spans="1:2" x14ac:dyDescent="0.2">
      <c r="A12" s="1070">
        <v>8</v>
      </c>
      <c r="B12" s="329" t="s">
        <v>2172</v>
      </c>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United Twp HSD 30</v>
      </c>
    </row>
    <row r="65" spans="2:2" x14ac:dyDescent="0.2">
      <c r="B65" s="1071">
        <f>COVER!A13</f>
        <v>49081030017</v>
      </c>
    </row>
  </sheetData>
  <phoneticPr fontId="13" type="noConversion"/>
  <pageMargins left="0.2" right="0.2" top="1.17" bottom="0.75" header="0.19" footer="0.16"/>
  <pageSetup scale="78"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7" t="s">
        <v>1709</v>
      </c>
    </row>
    <row r="23" spans="1:5" x14ac:dyDescent="0.2">
      <c r="A23" s="168"/>
      <c r="B23" s="162" t="s">
        <v>1966</v>
      </c>
      <c r="D23" s="167" t="s">
        <v>658</v>
      </c>
      <c r="E23" s="1857"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M15" sqref="M1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1" r:id="rId4">
          <objectPr defaultSize="0" r:id="rId5">
            <anchor moveWithCells="1">
              <from>
                <xdr:col>4</xdr:col>
                <xdr:colOff>0</xdr:colOff>
                <xdr:row>14</xdr:row>
                <xdr:rowOff>0</xdr:rowOff>
              </from>
              <to>
                <xdr:col>5</xdr:col>
                <xdr:colOff>285750</xdr:colOff>
                <xdr:row>15</xdr:row>
                <xdr:rowOff>514350</xdr:rowOff>
              </to>
            </anchor>
          </objectPr>
        </oleObject>
      </mc:Choice>
      <mc:Fallback>
        <oleObject progId="AcroExch.Document.7" dvAspect="DVASPECT_ICON" shapeId="35841" r:id="rId4"/>
      </mc:Fallback>
    </mc:AlternateContent>
    <mc:AlternateContent xmlns:mc="http://schemas.openxmlformats.org/markup-compatibility/2006">
      <mc:Choice Requires="x14">
        <oleObject progId="AcroExch.Document.7" dvAspect="DVASPECT_ICON" shapeId="35842" r:id="rId6">
          <objectPr defaultSize="0" r:id="rId7">
            <anchor moveWithCells="1">
              <from>
                <xdr:col>6</xdr:col>
                <xdr:colOff>0</xdr:colOff>
                <xdr:row>14</xdr:row>
                <xdr:rowOff>0</xdr:rowOff>
              </from>
              <to>
                <xdr:col>7</xdr:col>
                <xdr:colOff>285750</xdr:colOff>
                <xdr:row>15</xdr:row>
                <xdr:rowOff>514350</xdr:rowOff>
              </to>
            </anchor>
          </objectPr>
        </oleObject>
      </mc:Choice>
      <mc:Fallback>
        <oleObject progId="AcroExch.Document.7" dvAspect="DVASPECT_ICON" shapeId="35842" r:id="rId6"/>
      </mc:Fallback>
    </mc:AlternateContent>
    <mc:AlternateContent xmlns:mc="http://schemas.openxmlformats.org/markup-compatibility/2006">
      <mc:Choice Requires="x14">
        <oleObject progId="AcroExch.Document.7" dvAspect="DVASPECT_ICON" shapeId="35843" r:id="rId8">
          <objectPr defaultSize="0" r:id="rId9">
            <anchor moveWithCells="1">
              <from>
                <xdr:col>8</xdr:col>
                <xdr:colOff>0</xdr:colOff>
                <xdr:row>14</xdr:row>
                <xdr:rowOff>0</xdr:rowOff>
              </from>
              <to>
                <xdr:col>9</xdr:col>
                <xdr:colOff>285750</xdr:colOff>
                <xdr:row>15</xdr:row>
                <xdr:rowOff>514350</xdr:rowOff>
              </to>
            </anchor>
          </objectPr>
        </oleObject>
      </mc:Choice>
      <mc:Fallback>
        <oleObject progId="AcroExch.Document.7" dvAspect="DVASPECT_ICON" shapeId="35843" r:id="rId8"/>
      </mc:Fallback>
    </mc:AlternateContent>
    <mc:AlternateContent xmlns:mc="http://schemas.openxmlformats.org/markup-compatibility/2006">
      <mc:Choice Requires="x14">
        <oleObject progId="AcroExch.Document.7" dvAspect="DVASPECT_ICON" shapeId="35844" r:id="rId10">
          <objectPr defaultSize="0" r:id="rId11">
            <anchor moveWithCells="1">
              <from>
                <xdr:col>10</xdr:col>
                <xdr:colOff>0</xdr:colOff>
                <xdr:row>14</xdr:row>
                <xdr:rowOff>0</xdr:rowOff>
              </from>
              <to>
                <xdr:col>11</xdr:col>
                <xdr:colOff>285750</xdr:colOff>
                <xdr:row>15</xdr:row>
                <xdr:rowOff>514350</xdr:rowOff>
              </to>
            </anchor>
          </objectPr>
        </oleObject>
      </mc:Choice>
      <mc:Fallback>
        <oleObject progId="AcroExch.Document.7" dvAspect="DVASPECT_ICON" shapeId="35844" r:id="rId10"/>
      </mc:Fallback>
    </mc:AlternateContent>
    <mc:AlternateContent xmlns:mc="http://schemas.openxmlformats.org/markup-compatibility/2006">
      <mc:Choice Requires="x14">
        <oleObject progId="AcroExch.Document.7" dvAspect="DVASPECT_ICON" shapeId="35845" r:id="rId12">
          <objectPr defaultSize="0" r:id="rId13">
            <anchor moveWithCells="1">
              <from>
                <xdr:col>12</xdr:col>
                <xdr:colOff>0</xdr:colOff>
                <xdr:row>14</xdr:row>
                <xdr:rowOff>0</xdr:rowOff>
              </from>
              <to>
                <xdr:col>13</xdr:col>
                <xdr:colOff>304800</xdr:colOff>
                <xdr:row>15</xdr:row>
                <xdr:rowOff>523875</xdr:rowOff>
              </to>
            </anchor>
          </objectPr>
        </oleObject>
      </mc:Choice>
      <mc:Fallback>
        <oleObject progId="AcroExch.Document.7" dvAspect="DVASPECT_ICON" shapeId="3584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2053</v>
      </c>
      <c r="B4" s="2374"/>
      <c r="C4" s="2374"/>
      <c r="D4" s="2374"/>
      <c r="E4" s="2374"/>
      <c r="F4" s="2375"/>
      <c r="G4" s="1075"/>
      <c r="H4" s="1075"/>
    </row>
    <row r="5" spans="1:8" ht="14.25" customHeight="1" x14ac:dyDescent="0.2">
      <c r="A5" s="2376" t="s">
        <v>2054</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14036170</v>
      </c>
      <c r="C8" s="1836">
        <f>'Acct Summary 7-8'!D8</f>
        <v>1983552</v>
      </c>
      <c r="D8" s="1836">
        <f>'Acct Summary 7-8'!F8</f>
        <v>987971</v>
      </c>
      <c r="E8" s="1836">
        <f>'Acct Summary 7-8'!I8</f>
        <v>299660</v>
      </c>
      <c r="F8" s="1836">
        <f>SUM(B8:E8)</f>
        <v>17307353</v>
      </c>
    </row>
    <row r="9" spans="1:8" s="1080" customFormat="1" ht="14.25" customHeight="1" thickBot="1" x14ac:dyDescent="0.25">
      <c r="A9" s="1079" t="s">
        <v>1436</v>
      </c>
      <c r="B9" s="1837">
        <f>'Acct Summary 7-8'!C17</f>
        <v>13477204</v>
      </c>
      <c r="C9" s="1837">
        <f>'Acct Summary 7-8'!D17</f>
        <v>1645788</v>
      </c>
      <c r="D9" s="1837">
        <f>'Acct Summary 7-8'!F17</f>
        <v>986752</v>
      </c>
      <c r="E9" s="1836"/>
      <c r="F9" s="1836">
        <f>SUM(B9:E9)</f>
        <v>16109744</v>
      </c>
    </row>
    <row r="10" spans="1:8" s="1080" customFormat="1" ht="14.25" thickTop="1" thickBot="1" x14ac:dyDescent="0.25">
      <c r="A10" s="1081" t="s">
        <v>1437</v>
      </c>
      <c r="B10" s="1838">
        <f>(B8-B9)</f>
        <v>558966</v>
      </c>
      <c r="C10" s="1838">
        <f>(C8-C9)</f>
        <v>337764</v>
      </c>
      <c r="D10" s="1838">
        <f>(D8-D9)</f>
        <v>1219</v>
      </c>
      <c r="E10" s="1837">
        <f>(E8-E9)</f>
        <v>299660</v>
      </c>
      <c r="F10" s="1839">
        <f>SUM(F8-F9)</f>
        <v>1197609</v>
      </c>
    </row>
    <row r="11" spans="1:8" s="1080" customFormat="1" ht="14.25" thickTop="1" thickBot="1" x14ac:dyDescent="0.25">
      <c r="A11" s="1082" t="s">
        <v>1785</v>
      </c>
      <c r="B11" s="1840">
        <f>'Acct Summary 7-8'!C81</f>
        <v>5597257</v>
      </c>
      <c r="C11" s="1840">
        <f>'Acct Summary 7-8'!D81</f>
        <v>3756502</v>
      </c>
      <c r="D11" s="1840">
        <f>'Acct Summary 7-8'!F81</f>
        <v>1947727</v>
      </c>
      <c r="E11" s="1840">
        <f>'Acct Summary 7-8'!I81</f>
        <v>2297774</v>
      </c>
      <c r="F11" s="1841">
        <f>SUM(B11:E11)</f>
        <v>13599260</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3" colorId="8" zoomScale="110" zoomScaleNormal="110" workbookViewId="0">
      <selection activeCell="C87" sqref="C87"/>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8"/>
      <c r="B2" s="1919"/>
      <c r="C2" s="1920"/>
      <c r="D2" s="1921"/>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49081030017</v>
      </c>
    </row>
    <row r="3" spans="1:2" x14ac:dyDescent="0.2">
      <c r="A3" t="s">
        <v>1013</v>
      </c>
      <c r="B3" s="138" t="str">
        <f>COVER!A15</f>
        <v>Rock Island</v>
      </c>
    </row>
    <row r="4" spans="1:2" x14ac:dyDescent="0.2">
      <c r="A4" t="s">
        <v>1064</v>
      </c>
      <c r="B4" s="138" t="str">
        <f>COVER!A17</f>
        <v>United Twp HSD 30</v>
      </c>
    </row>
    <row r="5" spans="1:2" x14ac:dyDescent="0.2">
      <c r="A5" t="s">
        <v>728</v>
      </c>
      <c r="B5" s="138" t="str">
        <f>COVER!A38</f>
        <v>Dr. Jay Morrow</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066.004397</v>
      </c>
    </row>
    <row r="16" spans="1:2" x14ac:dyDescent="0.2">
      <c r="A16" t="s">
        <v>442</v>
      </c>
      <c r="B16" s="138" t="str">
        <f>COVER!T13</f>
        <v>Bohnsack &amp; Frommelt, LLP</v>
      </c>
    </row>
    <row r="17" spans="1:2" x14ac:dyDescent="0.2">
      <c r="A17" t="s">
        <v>939</v>
      </c>
      <c r="B17" s="138" t="str">
        <f>COVER!T15</f>
        <v>Sarah Bohnsack</v>
      </c>
    </row>
    <row r="18" spans="1:2" x14ac:dyDescent="0.2">
      <c r="A18" t="s">
        <v>1212</v>
      </c>
      <c r="B18" s="138" t="str">
        <f>COVER!T17</f>
        <v>1500 River Drive, Suite 200</v>
      </c>
    </row>
    <row r="19" spans="1:2" x14ac:dyDescent="0.2">
      <c r="A19" t="s">
        <v>941</v>
      </c>
      <c r="B19" s="138">
        <f>COVER!T25</f>
        <v>0</v>
      </c>
    </row>
    <row r="20" spans="1:2" x14ac:dyDescent="0.2">
      <c r="A20" t="s">
        <v>942</v>
      </c>
      <c r="B20" s="138" t="str">
        <f>COVER!T19</f>
        <v>Moline</v>
      </c>
    </row>
    <row r="21" spans="1:2" x14ac:dyDescent="0.2">
      <c r="A21" t="s">
        <v>500</v>
      </c>
      <c r="B21" s="138" t="str">
        <f>COVER!X19</f>
        <v>IL</v>
      </c>
    </row>
    <row r="22" spans="1:2" x14ac:dyDescent="0.2">
      <c r="A22" t="s">
        <v>943</v>
      </c>
      <c r="B22" s="138">
        <f>COVER!Z19</f>
        <v>61265</v>
      </c>
    </row>
    <row r="23" spans="1:2" x14ac:dyDescent="0.2">
      <c r="A23" t="s">
        <v>1214</v>
      </c>
      <c r="B23" s="138" t="str">
        <f>COVER!T21</f>
        <v>563-343-9595</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5597257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5597257</v>
      </c>
      <c r="D92" s="2" t="str">
        <f t="shared" si="0"/>
        <v>Error?</v>
      </c>
    </row>
    <row r="93" spans="1:4" x14ac:dyDescent="0.2">
      <c r="A93" s="5">
        <v>32</v>
      </c>
      <c r="B93" s="138">
        <f>'Assets-Liab 5-6'!C41</f>
        <v>5597257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3756502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3756502</v>
      </c>
      <c r="D123" s="2" t="str">
        <f t="shared" si="0"/>
        <v>Error?</v>
      </c>
    </row>
    <row r="124" spans="1:4" x14ac:dyDescent="0.2">
      <c r="A124" s="5">
        <v>63</v>
      </c>
      <c r="B124" s="138">
        <f>'Assets-Liab 5-6'!D41</f>
        <v>3756502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483121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483121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1947727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1947727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1437791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1437791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405308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405308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563816</v>
      </c>
      <c r="D273" s="2" t="str">
        <f t="shared" si="3"/>
        <v>Error?</v>
      </c>
    </row>
    <row r="274" spans="1:4" x14ac:dyDescent="0.2">
      <c r="A274" s="5">
        <v>213</v>
      </c>
      <c r="B274" s="138">
        <f>'Assets-Liab 5-6'!M17</f>
        <v>12718262</v>
      </c>
      <c r="D274" s="2" t="str">
        <f t="shared" si="3"/>
        <v>Error?</v>
      </c>
    </row>
    <row r="275" spans="1:4" x14ac:dyDescent="0.2">
      <c r="A275" s="5">
        <v>214</v>
      </c>
      <c r="B275" s="138">
        <f>'Assets-Liab 5-6'!M18</f>
        <v>5884829</v>
      </c>
      <c r="D275" s="2" t="str">
        <f t="shared" si="3"/>
        <v>Error?</v>
      </c>
    </row>
    <row r="276" spans="1:4" x14ac:dyDescent="0.2">
      <c r="A276" s="5">
        <v>215</v>
      </c>
      <c r="B276" s="138">
        <f>'Assets-Liab 5-6'!M19</f>
        <v>773283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20898687</v>
      </c>
      <c r="C279" s="2" t="s">
        <v>594</v>
      </c>
      <c r="D279" s="2" t="str">
        <f t="shared" si="3"/>
        <v>Error?</v>
      </c>
    </row>
    <row r="280" spans="1:4" x14ac:dyDescent="0.2">
      <c r="A280" s="5">
        <v>219</v>
      </c>
      <c r="B280" s="138">
        <f>'Assets-Liab 5-6'!M40</f>
        <v>20898687</v>
      </c>
      <c r="D280" s="2" t="str">
        <f t="shared" si="3"/>
        <v>Error?</v>
      </c>
    </row>
    <row r="281" spans="1:4" x14ac:dyDescent="0.2">
      <c r="A281" s="5">
        <v>220</v>
      </c>
      <c r="B281" s="138">
        <f>'Assets-Liab 5-6'!M41</f>
        <v>20898687</v>
      </c>
      <c r="C281" s="2" t="s">
        <v>594</v>
      </c>
      <c r="D281" s="2" t="str">
        <f t="shared" si="3"/>
        <v>Error?</v>
      </c>
    </row>
    <row r="282" spans="1:4" x14ac:dyDescent="0.2">
      <c r="A282" s="5">
        <v>221</v>
      </c>
      <c r="B282" s="138">
        <f>'Assets-Liab 5-6'!N21</f>
        <v>483121</v>
      </c>
      <c r="D282" s="2" t="str">
        <f t="shared" si="3"/>
        <v>Error?</v>
      </c>
    </row>
    <row r="283" spans="1:4" x14ac:dyDescent="0.2">
      <c r="A283" s="5">
        <v>222</v>
      </c>
      <c r="B283" s="138">
        <f>'Assets-Liab 5-6'!N22</f>
        <v>516879</v>
      </c>
      <c r="D283" s="2" t="str">
        <f t="shared" si="3"/>
        <v>Error?</v>
      </c>
    </row>
    <row r="284" spans="1:4" x14ac:dyDescent="0.2">
      <c r="A284" s="5">
        <v>223</v>
      </c>
      <c r="B284" s="138">
        <f>'Assets-Liab 5-6'!N23</f>
        <v>1000000</v>
      </c>
      <c r="C284" s="2" t="s">
        <v>594</v>
      </c>
      <c r="D284" s="2" t="str">
        <f t="shared" si="3"/>
        <v>Error?</v>
      </c>
    </row>
    <row r="285" spans="1:4" x14ac:dyDescent="0.2">
      <c r="A285" s="5">
        <v>224</v>
      </c>
      <c r="B285" s="138">
        <f>'Assets-Liab 5-6'!N36</f>
        <v>1000000</v>
      </c>
      <c r="D285" s="2" t="str">
        <f t="shared" si="3"/>
        <v>Error?</v>
      </c>
    </row>
    <row r="286" spans="1:4" x14ac:dyDescent="0.2">
      <c r="A286" s="10">
        <v>225</v>
      </c>
      <c r="D286" s="2" t="str">
        <f t="shared" si="3"/>
        <v>OK</v>
      </c>
    </row>
    <row r="287" spans="1:4" x14ac:dyDescent="0.2">
      <c r="A287" s="5">
        <v>226</v>
      </c>
      <c r="B287" s="138">
        <f>'Assets-Liab 5-6'!N37</f>
        <v>1000000</v>
      </c>
      <c r="C287" s="2" t="s">
        <v>594</v>
      </c>
      <c r="D287" s="2" t="str">
        <f t="shared" si="3"/>
        <v>Error?</v>
      </c>
    </row>
    <row r="288" spans="1:4" x14ac:dyDescent="0.2">
      <c r="A288" s="5">
        <v>227</v>
      </c>
      <c r="B288" s="138">
        <f>'Assets-Liab 5-6'!N41</f>
        <v>1000000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1000000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4043796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80315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595483</v>
      </c>
      <c r="D717" s="2" t="str">
        <f t="shared" si="10"/>
        <v>Error?</v>
      </c>
    </row>
    <row r="718" spans="1:4" x14ac:dyDescent="0.2">
      <c r="A718" s="5">
        <v>657</v>
      </c>
      <c r="B718" s="138">
        <f>'Expenditures 15-22'!C14</f>
        <v>498509</v>
      </c>
      <c r="D718" s="2" t="str">
        <f t="shared" si="10"/>
        <v>Error?</v>
      </c>
    </row>
    <row r="719" spans="1:4" x14ac:dyDescent="0.2">
      <c r="A719" s="5">
        <v>658</v>
      </c>
      <c r="B719" s="138">
        <f>'Expenditures 15-22'!C15</f>
        <v>3225</v>
      </c>
      <c r="D719" s="2" t="str">
        <f t="shared" si="10"/>
        <v>Error?</v>
      </c>
    </row>
    <row r="720" spans="1:4" x14ac:dyDescent="0.2">
      <c r="A720" s="5">
        <v>659</v>
      </c>
      <c r="B720" s="138">
        <f>'Expenditures 15-22'!C33</f>
        <v>6735527</v>
      </c>
      <c r="C720" s="2" t="s">
        <v>594</v>
      </c>
      <c r="D720" s="2" t="str">
        <f t="shared" si="10"/>
        <v>Error?</v>
      </c>
    </row>
    <row r="721" spans="1:4" x14ac:dyDescent="0.2">
      <c r="A721" s="5">
        <v>660</v>
      </c>
      <c r="B721" s="138">
        <f>'Expenditures 15-22'!C36</f>
        <v>220808</v>
      </c>
      <c r="D721" s="2" t="str">
        <f t="shared" si="10"/>
        <v>Error?</v>
      </c>
    </row>
    <row r="722" spans="1:4" x14ac:dyDescent="0.2">
      <c r="A722" s="5">
        <v>661</v>
      </c>
      <c r="B722" s="138">
        <f>'Expenditures 15-22'!C37</f>
        <v>342998</v>
      </c>
      <c r="D722" s="2" t="str">
        <f t="shared" si="10"/>
        <v>Error?</v>
      </c>
    </row>
    <row r="723" spans="1:4" x14ac:dyDescent="0.2">
      <c r="A723" s="5">
        <v>662</v>
      </c>
      <c r="B723" s="138">
        <f>'Expenditures 15-22'!C38</f>
        <v>20975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18826</v>
      </c>
      <c r="D725" s="2" t="str">
        <f t="shared" si="10"/>
        <v>Error?</v>
      </c>
    </row>
    <row r="726" spans="1:4" x14ac:dyDescent="0.2">
      <c r="A726" s="5">
        <v>665</v>
      </c>
      <c r="B726" s="138">
        <f>'Expenditures 15-22'!C41</f>
        <v>253</v>
      </c>
      <c r="D726" s="2" t="str">
        <f t="shared" si="10"/>
        <v>Error?</v>
      </c>
    </row>
    <row r="727" spans="1:4" x14ac:dyDescent="0.2">
      <c r="A727" s="5">
        <v>666</v>
      </c>
      <c r="B727" s="138">
        <f>'Expenditures 15-22'!C42</f>
        <v>603860</v>
      </c>
      <c r="C727" s="2" t="s">
        <v>594</v>
      </c>
      <c r="D727" s="2" t="str">
        <f t="shared" si="10"/>
        <v>Error?</v>
      </c>
    </row>
    <row r="728" spans="1:4" x14ac:dyDescent="0.2">
      <c r="A728" s="5">
        <v>667</v>
      </c>
      <c r="B728" s="138">
        <f>'Expenditures 15-22'!C44</f>
        <v>118694</v>
      </c>
      <c r="D728" s="2" t="str">
        <f t="shared" si="10"/>
        <v>Error?</v>
      </c>
    </row>
    <row r="729" spans="1:4" x14ac:dyDescent="0.2">
      <c r="A729" s="5">
        <v>668</v>
      </c>
      <c r="B729" s="138">
        <f>'Expenditures 15-22'!C45</f>
        <v>142322</v>
      </c>
      <c r="D729" s="2" t="str">
        <f t="shared" si="10"/>
        <v>Error?</v>
      </c>
    </row>
    <row r="730" spans="1:4" x14ac:dyDescent="0.2">
      <c r="A730" s="5">
        <v>669</v>
      </c>
      <c r="B730" s="138">
        <f>'Expenditures 15-22'!C46</f>
        <v>425</v>
      </c>
      <c r="D730" s="2" t="str">
        <f t="shared" si="10"/>
        <v>Error?</v>
      </c>
    </row>
    <row r="731" spans="1:4" x14ac:dyDescent="0.2">
      <c r="A731" s="5">
        <v>670</v>
      </c>
      <c r="B731" s="138">
        <f>'Expenditures 15-22'!C47</f>
        <v>261441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173292</v>
      </c>
      <c r="D733" s="2" t="str">
        <f t="shared" si="10"/>
        <v>Error?</v>
      </c>
    </row>
    <row r="734" spans="1:4" x14ac:dyDescent="0.2">
      <c r="A734" s="5">
        <v>673</v>
      </c>
      <c r="B734" s="138">
        <f>'Expenditures 15-22'!C53</f>
        <v>173292</v>
      </c>
      <c r="C734" s="2" t="s">
        <v>594</v>
      </c>
      <c r="D734" s="2" t="str">
        <f t="shared" si="10"/>
        <v>Error?</v>
      </c>
    </row>
    <row r="735" spans="1:4" x14ac:dyDescent="0.2">
      <c r="A735" s="5">
        <v>674</v>
      </c>
      <c r="B735" s="138">
        <f>'Expenditures 15-22'!C55</f>
        <v>571952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571952</v>
      </c>
      <c r="C737" s="2" t="s">
        <v>594</v>
      </c>
      <c r="D737" s="2" t="str">
        <f t="shared" si="10"/>
        <v>Error?</v>
      </c>
    </row>
    <row r="738" spans="1:4" x14ac:dyDescent="0.2">
      <c r="A738" s="5">
        <v>677</v>
      </c>
      <c r="B738" s="138">
        <f>'Expenditures 15-22'!C59</f>
        <v>108102</v>
      </c>
      <c r="D738" s="2" t="str">
        <f t="shared" si="10"/>
        <v>Error?</v>
      </c>
    </row>
    <row r="739" spans="1:4" x14ac:dyDescent="0.2">
      <c r="A739" s="5">
        <v>678</v>
      </c>
      <c r="B739" s="138">
        <f>'Expenditures 15-22'!C60</f>
        <v>79042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273722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460866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36428</v>
      </c>
      <c r="D749" s="2" t="str">
        <f t="shared" si="10"/>
        <v>Error?</v>
      </c>
    </row>
    <row r="750" spans="1:4" x14ac:dyDescent="0.2">
      <c r="A750" s="10">
        <v>689</v>
      </c>
      <c r="D750" s="2" t="str">
        <f t="shared" si="10"/>
        <v>OK</v>
      </c>
    </row>
    <row r="751" spans="1:4" x14ac:dyDescent="0.2">
      <c r="A751" s="5">
        <v>690</v>
      </c>
      <c r="B751" s="138">
        <f>'Expenditures 15-22'!C71</f>
        <v>59684</v>
      </c>
      <c r="D751" s="2" t="str">
        <f t="shared" si="10"/>
        <v>Error?</v>
      </c>
    </row>
    <row r="752" spans="1:4" x14ac:dyDescent="0.2">
      <c r="A752" s="10">
        <v>691</v>
      </c>
      <c r="D752" s="2" t="str">
        <f t="shared" si="10"/>
        <v>OK</v>
      </c>
    </row>
    <row r="753" spans="1:4" x14ac:dyDescent="0.2">
      <c r="A753" s="5">
        <v>692</v>
      </c>
      <c r="B753" s="138">
        <f>'Expenditures 15-22'!C72</f>
        <v>96112</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2167523</v>
      </c>
      <c r="C755" s="2" t="s">
        <v>594</v>
      </c>
      <c r="D755" s="2" t="str">
        <f t="shared" si="10"/>
        <v>Error?</v>
      </c>
    </row>
    <row r="756" spans="1:4" x14ac:dyDescent="0.2">
      <c r="A756" s="5">
        <v>695</v>
      </c>
      <c r="B756" s="138">
        <f>'Expenditures 15-22'!C75</f>
        <v>2525</v>
      </c>
      <c r="D756" s="2" t="str">
        <f t="shared" si="10"/>
        <v>Error?</v>
      </c>
    </row>
    <row r="757" spans="1:4" x14ac:dyDescent="0.2">
      <c r="A757" s="5">
        <v>696</v>
      </c>
      <c r="B757" s="138">
        <f>'Expenditures 15-22'!C114</f>
        <v>8905575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882025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20982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120750</v>
      </c>
      <c r="D775" s="2" t="str">
        <f t="shared" si="11"/>
        <v>Error?</v>
      </c>
    </row>
    <row r="776" spans="1:4" x14ac:dyDescent="0.2">
      <c r="A776" s="5">
        <v>715</v>
      </c>
      <c r="B776" s="138">
        <f>'Expenditures 15-22'!D14</f>
        <v>43560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1390541</v>
      </c>
      <c r="C778" s="2" t="s">
        <v>594</v>
      </c>
      <c r="D778" s="2" t="str">
        <f t="shared" si="11"/>
        <v>Error?</v>
      </c>
    </row>
    <row r="779" spans="1:4" x14ac:dyDescent="0.2">
      <c r="A779" s="5">
        <v>718</v>
      </c>
      <c r="B779" s="138">
        <f>'Expenditures 15-22'!D36</f>
        <v>45799</v>
      </c>
      <c r="D779" s="2" t="str">
        <f t="shared" si="11"/>
        <v>Error?</v>
      </c>
    </row>
    <row r="780" spans="1:4" x14ac:dyDescent="0.2">
      <c r="A780" s="5">
        <v>719</v>
      </c>
      <c r="B780" s="138">
        <f>'Expenditures 15-22'!D37</f>
        <v>62452</v>
      </c>
      <c r="D780" s="2" t="str">
        <f t="shared" si="11"/>
        <v>Error?</v>
      </c>
    </row>
    <row r="781" spans="1:4" x14ac:dyDescent="0.2">
      <c r="A781" s="5">
        <v>720</v>
      </c>
      <c r="B781" s="138">
        <f>'Expenditures 15-22'!D38</f>
        <v>35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3413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111699</v>
      </c>
      <c r="C785" s="2" t="s">
        <v>594</v>
      </c>
      <c r="D785" s="2" t="str">
        <f t="shared" si="11"/>
        <v>Error?</v>
      </c>
    </row>
    <row r="786" spans="1:4" x14ac:dyDescent="0.2">
      <c r="A786" s="5">
        <v>725</v>
      </c>
      <c r="B786" s="138">
        <f>'Expenditures 15-22'!D44</f>
        <v>28170</v>
      </c>
      <c r="D786" s="2" t="str">
        <f t="shared" si="11"/>
        <v>Error?</v>
      </c>
    </row>
    <row r="787" spans="1:4" x14ac:dyDescent="0.2">
      <c r="A787" s="5">
        <v>726</v>
      </c>
      <c r="B787" s="138">
        <f>'Expenditures 15-22'!D45</f>
        <v>22598</v>
      </c>
      <c r="D787" s="2" t="str">
        <f t="shared" si="11"/>
        <v>Error?</v>
      </c>
    </row>
    <row r="788" spans="1:4" x14ac:dyDescent="0.2">
      <c r="A788" s="5">
        <v>727</v>
      </c>
      <c r="B788" s="138">
        <f>'Expenditures 15-22'!D46</f>
        <v>7</v>
      </c>
      <c r="D788" s="2" t="str">
        <f t="shared" si="11"/>
        <v>Error?</v>
      </c>
    </row>
    <row r="789" spans="1:4" x14ac:dyDescent="0.2">
      <c r="A789" s="5">
        <v>728</v>
      </c>
      <c r="B789" s="138">
        <f>'Expenditures 15-22'!D47</f>
        <v>50775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35433</v>
      </c>
      <c r="D791" s="2" t="str">
        <f t="shared" si="11"/>
        <v>Error?</v>
      </c>
    </row>
    <row r="792" spans="1:4" x14ac:dyDescent="0.2">
      <c r="A792" s="5">
        <v>731</v>
      </c>
      <c r="B792" s="138">
        <f>'Expenditures 15-22'!D53</f>
        <v>35433</v>
      </c>
      <c r="C792" s="2" t="s">
        <v>594</v>
      </c>
      <c r="D792" s="2" t="str">
        <f t="shared" si="11"/>
        <v>Error?</v>
      </c>
    </row>
    <row r="793" spans="1:4" x14ac:dyDescent="0.2">
      <c r="A793" s="5">
        <v>732</v>
      </c>
      <c r="B793" s="138">
        <f>'Expenditures 15-22'!D55</f>
        <v>113747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113747</v>
      </c>
      <c r="C795" s="2" t="s">
        <v>594</v>
      </c>
      <c r="D795" s="2" t="str">
        <f t="shared" si="11"/>
        <v>Error?</v>
      </c>
    </row>
    <row r="796" spans="1:4" x14ac:dyDescent="0.2">
      <c r="A796" s="5">
        <v>735</v>
      </c>
      <c r="B796" s="138">
        <f>'Expenditures 15-22'!D59</f>
        <v>15884</v>
      </c>
      <c r="D796" s="2" t="str">
        <f t="shared" si="11"/>
        <v>Error?</v>
      </c>
    </row>
    <row r="797" spans="1:4" x14ac:dyDescent="0.2">
      <c r="A797" s="5">
        <v>736</v>
      </c>
      <c r="B797" s="138">
        <f>'Expenditures 15-22'!D60</f>
        <v>5705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48658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70247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9660</v>
      </c>
      <c r="D807" s="2" t="str">
        <f t="shared" si="11"/>
        <v>Error?</v>
      </c>
    </row>
    <row r="808" spans="1:4" x14ac:dyDescent="0.2">
      <c r="A808" s="10">
        <v>747</v>
      </c>
      <c r="D808" s="2" t="str">
        <f t="shared" si="11"/>
        <v>OK</v>
      </c>
    </row>
    <row r="809" spans="1:4" x14ac:dyDescent="0.2">
      <c r="A809" s="5">
        <v>748</v>
      </c>
      <c r="B809" s="138">
        <f>'Expenditures 15-22'!D71</f>
        <v>9679</v>
      </c>
      <c r="D809" s="2" t="str">
        <f t="shared" si="11"/>
        <v>Error?</v>
      </c>
    </row>
    <row r="810" spans="1:4" x14ac:dyDescent="0.2">
      <c r="A810" s="10">
        <v>749</v>
      </c>
      <c r="D810" s="2" t="str">
        <f t="shared" si="11"/>
        <v>OK</v>
      </c>
    </row>
    <row r="811" spans="1:4" x14ac:dyDescent="0.2">
      <c r="A811" s="5">
        <v>750</v>
      </c>
      <c r="B811" s="138">
        <f>'Expenditures 15-22'!D72</f>
        <v>19339</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401240</v>
      </c>
      <c r="C813" s="2" t="s">
        <v>594</v>
      </c>
      <c r="D813" s="2" t="str">
        <f t="shared" si="11"/>
        <v>Error?</v>
      </c>
    </row>
    <row r="814" spans="1:4" x14ac:dyDescent="0.2">
      <c r="A814" s="5">
        <v>753</v>
      </c>
      <c r="B814" s="138">
        <f>'Expenditures 15-22'!D75</f>
        <v>43</v>
      </c>
      <c r="D814" s="2" t="str">
        <f t="shared" si="11"/>
        <v>Error?</v>
      </c>
    </row>
    <row r="815" spans="1:4" x14ac:dyDescent="0.2">
      <c r="A815" s="5">
        <v>754</v>
      </c>
      <c r="B815" s="138">
        <f>'Expenditures 15-22'!D114</f>
        <v>1791824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81154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1761</v>
      </c>
      <c r="D833" s="2" t="str">
        <f t="shared" si="12"/>
        <v>Error?</v>
      </c>
    </row>
    <row r="834" spans="1:4" x14ac:dyDescent="0.2">
      <c r="A834" s="5">
        <v>773</v>
      </c>
      <c r="B834" s="138">
        <f>'Expenditures 15-22'!E14</f>
        <v>51545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164672</v>
      </c>
      <c r="C836" s="2" t="s">
        <v>594</v>
      </c>
      <c r="D836" s="2" t="str">
        <f t="shared" si="12"/>
        <v>Error?</v>
      </c>
    </row>
    <row r="837" spans="1:4" x14ac:dyDescent="0.2">
      <c r="A837" s="5">
        <v>776</v>
      </c>
      <c r="B837" s="138">
        <f>'Expenditures 15-22'!E36</f>
        <v>2680</v>
      </c>
      <c r="D837" s="2" t="str">
        <f t="shared" si="12"/>
        <v>Error?</v>
      </c>
    </row>
    <row r="838" spans="1:4" x14ac:dyDescent="0.2">
      <c r="A838" s="5">
        <v>777</v>
      </c>
      <c r="B838" s="138">
        <f>'Expenditures 15-22'!E37</f>
        <v>4241</v>
      </c>
      <c r="D838" s="2" t="str">
        <f t="shared" si="12"/>
        <v>Error?</v>
      </c>
    </row>
    <row r="839" spans="1:4" x14ac:dyDescent="0.2">
      <c r="A839" s="5">
        <v>778</v>
      </c>
      <c r="B839" s="138">
        <f>'Expenditures 15-22'!E38</f>
        <v>27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5000</v>
      </c>
      <c r="D842" s="2" t="str">
        <f t="shared" si="12"/>
        <v>Error?</v>
      </c>
    </row>
    <row r="843" spans="1:4" x14ac:dyDescent="0.2">
      <c r="A843" s="5">
        <v>782</v>
      </c>
      <c r="B843" s="138">
        <f>'Expenditures 15-22'!E42</f>
        <v>11948</v>
      </c>
      <c r="C843" s="2" t="s">
        <v>594</v>
      </c>
      <c r="D843" s="2" t="str">
        <f t="shared" si="12"/>
        <v>Error?</v>
      </c>
    </row>
    <row r="844" spans="1:4" x14ac:dyDescent="0.2">
      <c r="A844" s="5">
        <v>783</v>
      </c>
      <c r="B844" s="138">
        <f>'Expenditures 15-22'!E44</f>
        <v>22908</v>
      </c>
      <c r="D844" s="2" t="str">
        <f t="shared" si="12"/>
        <v>Error?</v>
      </c>
    </row>
    <row r="845" spans="1:4" x14ac:dyDescent="0.2">
      <c r="A845" s="5">
        <v>784</v>
      </c>
      <c r="B845" s="138">
        <f>'Expenditures 15-22'!E45</f>
        <v>167211</v>
      </c>
      <c r="D845" s="2" t="str">
        <f t="shared" si="12"/>
        <v>Error?</v>
      </c>
    </row>
    <row r="846" spans="1:4" x14ac:dyDescent="0.2">
      <c r="A846" s="5">
        <v>785</v>
      </c>
      <c r="B846" s="138">
        <f>'Expenditures 15-22'!E46</f>
        <v>24732</v>
      </c>
      <c r="D846" s="2" t="str">
        <f t="shared" si="12"/>
        <v>Error?</v>
      </c>
    </row>
    <row r="847" spans="1:4" x14ac:dyDescent="0.2">
      <c r="A847" s="5">
        <v>786</v>
      </c>
      <c r="B847" s="138">
        <f>'Expenditures 15-22'!E47</f>
        <v>214851</v>
      </c>
      <c r="C847" s="2" t="s">
        <v>594</v>
      </c>
      <c r="D847" s="2" t="str">
        <f t="shared" si="12"/>
        <v>Error?</v>
      </c>
    </row>
    <row r="848" spans="1:4" x14ac:dyDescent="0.2">
      <c r="A848" s="5">
        <v>787</v>
      </c>
      <c r="B848" s="138">
        <f>'Expenditures 15-22'!E49</f>
        <v>49946</v>
      </c>
      <c r="D848" s="2" t="str">
        <f t="shared" si="12"/>
        <v>Error?</v>
      </c>
    </row>
    <row r="849" spans="1:4" x14ac:dyDescent="0.2">
      <c r="A849" s="5">
        <v>788</v>
      </c>
      <c r="B849" s="138">
        <f>'Expenditures 15-22'!E50</f>
        <v>2988</v>
      </c>
      <c r="D849" s="2" t="str">
        <f t="shared" si="12"/>
        <v>Error?</v>
      </c>
    </row>
    <row r="850" spans="1:4" x14ac:dyDescent="0.2">
      <c r="A850" s="5">
        <v>789</v>
      </c>
      <c r="B850" s="138">
        <f>'Expenditures 15-22'!E53</f>
        <v>52934</v>
      </c>
      <c r="C850" s="2" t="s">
        <v>594</v>
      </c>
      <c r="D850" s="2" t="str">
        <f t="shared" si="12"/>
        <v>Error?</v>
      </c>
    </row>
    <row r="851" spans="1:4" x14ac:dyDescent="0.2">
      <c r="A851" s="5">
        <v>790</v>
      </c>
      <c r="B851" s="138">
        <f>'Expenditures 15-22'!E55</f>
        <v>14964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14964</v>
      </c>
      <c r="C853" s="2" t="s">
        <v>594</v>
      </c>
      <c r="D853" s="2" t="str">
        <f t="shared" si="12"/>
        <v>Error?</v>
      </c>
    </row>
    <row r="854" spans="1:4" x14ac:dyDescent="0.2">
      <c r="A854" s="5">
        <v>793</v>
      </c>
      <c r="B854" s="138">
        <f>'Expenditures 15-22'!E59</f>
        <v>1208</v>
      </c>
      <c r="D854" s="2" t="str">
        <f t="shared" si="12"/>
        <v>Error?</v>
      </c>
    </row>
    <row r="855" spans="1:4" x14ac:dyDescent="0.2">
      <c r="A855" s="5">
        <v>794</v>
      </c>
      <c r="B855" s="138">
        <f>'Expenditures 15-22'!E60</f>
        <v>1404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15091</v>
      </c>
      <c r="D858" s="2" t="str">
        <f t="shared" si="12"/>
        <v>Error?</v>
      </c>
    </row>
    <row r="859" spans="1:4" x14ac:dyDescent="0.2">
      <c r="A859" s="5">
        <v>798</v>
      </c>
      <c r="B859" s="138">
        <f>'Expenditures 15-22'!E64</f>
        <v>5222</v>
      </c>
      <c r="D859" s="2" t="str">
        <f t="shared" si="12"/>
        <v>Error?</v>
      </c>
    </row>
    <row r="860" spans="1:4" x14ac:dyDescent="0.2">
      <c r="A860" s="10">
        <v>799</v>
      </c>
      <c r="D860" s="2" t="str">
        <f t="shared" si="12"/>
        <v>OK</v>
      </c>
    </row>
    <row r="861" spans="1:4" x14ac:dyDescent="0.2">
      <c r="A861" s="5">
        <v>800</v>
      </c>
      <c r="B861" s="138">
        <f>'Expenditures 15-22'!E65</f>
        <v>22925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8241</v>
      </c>
      <c r="D865" s="2" t="str">
        <f t="shared" si="12"/>
        <v>Error?</v>
      </c>
    </row>
    <row r="866" spans="1:4" x14ac:dyDescent="0.2">
      <c r="A866" s="10">
        <v>805</v>
      </c>
      <c r="D866" s="2" t="str">
        <f t="shared" si="12"/>
        <v>OK</v>
      </c>
    </row>
    <row r="867" spans="1:4" x14ac:dyDescent="0.2">
      <c r="A867" s="5">
        <v>806</v>
      </c>
      <c r="B867" s="138">
        <f>'Expenditures 15-22'!E71</f>
        <v>8640</v>
      </c>
      <c r="D867" s="2" t="str">
        <f t="shared" si="12"/>
        <v>Error?</v>
      </c>
    </row>
    <row r="868" spans="1:4" x14ac:dyDescent="0.2">
      <c r="A868" s="10">
        <v>807</v>
      </c>
      <c r="D868" s="2" t="str">
        <f t="shared" si="12"/>
        <v>OK</v>
      </c>
    </row>
    <row r="869" spans="1:4" x14ac:dyDescent="0.2">
      <c r="A869" s="5">
        <v>808</v>
      </c>
      <c r="B869" s="138">
        <f>'Expenditures 15-22'!E72</f>
        <v>16881</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334503</v>
      </c>
      <c r="C871" s="2" t="s">
        <v>594</v>
      </c>
      <c r="D871" s="2" t="str">
        <f t="shared" si="12"/>
        <v>Error?</v>
      </c>
    </row>
    <row r="872" spans="1:4" x14ac:dyDescent="0.2">
      <c r="A872" s="5">
        <v>811</v>
      </c>
      <c r="B872" s="138">
        <f>'Expenditures 15-22'!E75</f>
        <v>60015</v>
      </c>
      <c r="D872" s="2" t="str">
        <f t="shared" si="12"/>
        <v>Error?</v>
      </c>
    </row>
    <row r="873" spans="1:4" x14ac:dyDescent="0.2">
      <c r="A873" s="5">
        <v>812</v>
      </c>
      <c r="B873" s="138">
        <f>'Expenditures 15-22'!E114</f>
        <v>750392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74911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744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14362</v>
      </c>
      <c r="D891" s="2" t="str">
        <f t="shared" si="12"/>
        <v>Error?</v>
      </c>
    </row>
    <row r="892" spans="1:4" x14ac:dyDescent="0.2">
      <c r="A892" s="5">
        <v>831</v>
      </c>
      <c r="B892" s="138">
        <f>'Expenditures 15-22'!F14</f>
        <v>17664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159162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2388</v>
      </c>
      <c r="D896" s="2" t="str">
        <f t="shared" si="13"/>
        <v>Error?</v>
      </c>
    </row>
    <row r="897" spans="1:4" x14ac:dyDescent="0.2">
      <c r="A897" s="5">
        <v>836</v>
      </c>
      <c r="B897" s="138">
        <f>'Expenditures 15-22'!F38</f>
        <v>722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5705</v>
      </c>
      <c r="D900" s="2" t="str">
        <f t="shared" si="13"/>
        <v>Error?</v>
      </c>
    </row>
    <row r="901" spans="1:4" x14ac:dyDescent="0.2">
      <c r="A901" s="5">
        <v>840</v>
      </c>
      <c r="B901" s="138">
        <f>'Expenditures 15-22'!F42</f>
        <v>8815</v>
      </c>
      <c r="C901" s="2" t="s">
        <v>594</v>
      </c>
      <c r="D901" s="2" t="str">
        <f t="shared" si="13"/>
        <v>Error?</v>
      </c>
    </row>
    <row r="902" spans="1:4" x14ac:dyDescent="0.2">
      <c r="A902" s="5">
        <v>841</v>
      </c>
      <c r="B902" s="138">
        <f>'Expenditures 15-22'!F44</f>
        <v>2202</v>
      </c>
      <c r="D902" s="2" t="str">
        <f t="shared" si="13"/>
        <v>Error?</v>
      </c>
    </row>
    <row r="903" spans="1:4" x14ac:dyDescent="0.2">
      <c r="A903" s="5">
        <v>842</v>
      </c>
      <c r="B903" s="138">
        <f>'Expenditures 15-22'!F45</f>
        <v>31960</v>
      </c>
      <c r="D903" s="2" t="str">
        <f t="shared" si="13"/>
        <v>Error?</v>
      </c>
    </row>
    <row r="904" spans="1:4" x14ac:dyDescent="0.2">
      <c r="A904" s="5">
        <v>843</v>
      </c>
      <c r="B904" s="138">
        <f>'Expenditures 15-22'!F46</f>
        <v>596</v>
      </c>
      <c r="D904" s="2" t="str">
        <f t="shared" si="13"/>
        <v>Error?</v>
      </c>
    </row>
    <row r="905" spans="1:4" x14ac:dyDescent="0.2">
      <c r="A905" s="5">
        <v>844</v>
      </c>
      <c r="B905" s="138">
        <f>'Expenditures 15-22'!F47</f>
        <v>34758</v>
      </c>
      <c r="C905" s="2" t="s">
        <v>594</v>
      </c>
      <c r="D905" s="2" t="str">
        <f t="shared" si="13"/>
        <v>Error?</v>
      </c>
    </row>
    <row r="906" spans="1:4" x14ac:dyDescent="0.2">
      <c r="A906" s="5">
        <v>845</v>
      </c>
      <c r="B906" s="138">
        <f>'Expenditures 15-22'!F49</f>
        <v>800</v>
      </c>
      <c r="D906" s="2" t="str">
        <f t="shared" si="13"/>
        <v>Error?</v>
      </c>
    </row>
    <row r="907" spans="1:4" x14ac:dyDescent="0.2">
      <c r="A907" s="5">
        <v>846</v>
      </c>
      <c r="B907" s="138">
        <f>'Expenditures 15-22'!F50</f>
        <v>654</v>
      </c>
      <c r="D907" s="2" t="str">
        <f t="shared" si="13"/>
        <v>Error?</v>
      </c>
    </row>
    <row r="908" spans="1:4" x14ac:dyDescent="0.2">
      <c r="A908" s="5">
        <v>847</v>
      </c>
      <c r="B908" s="138">
        <f>'Expenditures 15-22'!F53</f>
        <v>1454</v>
      </c>
      <c r="C908" s="2" t="s">
        <v>594</v>
      </c>
      <c r="D908" s="2" t="str">
        <f t="shared" si="13"/>
        <v>Error?</v>
      </c>
    </row>
    <row r="909" spans="1:4" x14ac:dyDescent="0.2">
      <c r="A909" s="5">
        <v>848</v>
      </c>
      <c r="B909" s="138">
        <f>'Expenditures 15-22'!F55</f>
        <v>4115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4115</v>
      </c>
      <c r="C911" s="2" t="s">
        <v>594</v>
      </c>
      <c r="D911" s="2" t="str">
        <f t="shared" si="13"/>
        <v>Error?</v>
      </c>
    </row>
    <row r="912" spans="1:4" x14ac:dyDescent="0.2">
      <c r="A912" s="5">
        <v>851</v>
      </c>
      <c r="B912" s="138">
        <f>'Expenditures 15-22'!F59</f>
        <v>83</v>
      </c>
      <c r="D912" s="2" t="str">
        <f t="shared" si="13"/>
        <v>Error?</v>
      </c>
    </row>
    <row r="913" spans="1:4" x14ac:dyDescent="0.2">
      <c r="A913" s="5">
        <v>852</v>
      </c>
      <c r="B913" s="138">
        <f>'Expenditures 15-22'!F60</f>
        <v>1331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342363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343777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36</v>
      </c>
      <c r="D923" s="2" t="str">
        <f t="shared" si="13"/>
        <v>Error?</v>
      </c>
    </row>
    <row r="924" spans="1:4" x14ac:dyDescent="0.2">
      <c r="A924" s="10">
        <v>863</v>
      </c>
      <c r="D924" s="2" t="str">
        <f t="shared" si="13"/>
        <v>OK</v>
      </c>
    </row>
    <row r="925" spans="1:4" x14ac:dyDescent="0.2">
      <c r="A925" s="5">
        <v>864</v>
      </c>
      <c r="B925" s="138">
        <f>'Expenditures 15-22'!F71</f>
        <v>3470</v>
      </c>
      <c r="D925" s="2" t="str">
        <f t="shared" si="13"/>
        <v>Error?</v>
      </c>
    </row>
    <row r="926" spans="1:4" x14ac:dyDescent="0.2">
      <c r="A926" s="10">
        <v>865</v>
      </c>
      <c r="D926" s="2" t="str">
        <f t="shared" si="13"/>
        <v>OK</v>
      </c>
    </row>
    <row r="927" spans="1:4" x14ac:dyDescent="0.2">
      <c r="A927" s="5">
        <v>866</v>
      </c>
      <c r="B927" s="138">
        <f>'Expenditures 15-22'!F72</f>
        <v>3506</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396425</v>
      </c>
      <c r="C929" s="2" t="s">
        <v>594</v>
      </c>
      <c r="D929" s="2" t="str">
        <f t="shared" si="13"/>
        <v>Error?</v>
      </c>
    </row>
    <row r="930" spans="1:4" x14ac:dyDescent="0.2">
      <c r="A930" s="5">
        <v>869</v>
      </c>
      <c r="B930" s="138">
        <f>'Expenditures 15-22'!F75</f>
        <v>706</v>
      </c>
      <c r="D930" s="2" t="str">
        <f t="shared" si="13"/>
        <v>Error?</v>
      </c>
    </row>
    <row r="931" spans="1:4" x14ac:dyDescent="0.2">
      <c r="A931" s="5">
        <v>870</v>
      </c>
      <c r="B931" s="138">
        <f>'Expenditures 15-22'!F114</f>
        <v>556293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1525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47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9964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25587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25587</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543</v>
      </c>
      <c r="D967" s="2" t="str">
        <f t="shared" si="14"/>
        <v>Error?</v>
      </c>
    </row>
    <row r="968" spans="1:4" x14ac:dyDescent="0.2">
      <c r="A968" s="5">
        <v>907</v>
      </c>
      <c r="B968" s="138">
        <f>'Expenditures 15-22'!G56</f>
        <v>0</v>
      </c>
      <c r="D968" s="2" t="str">
        <f t="shared" si="14"/>
        <v>Error?</v>
      </c>
    </row>
    <row r="969" spans="1:4" x14ac:dyDescent="0.2">
      <c r="A969" s="5">
        <v>908</v>
      </c>
      <c r="B969" s="138">
        <f>'Expenditures 15-22'!G57</f>
        <v>543</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62675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62675</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88805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98769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650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16227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175181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35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19325</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19360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5132</v>
      </c>
      <c r="D1022" s="2" t="str">
        <f t="shared" si="14"/>
        <v>Error?</v>
      </c>
    </row>
    <row r="1023" spans="1:4" x14ac:dyDescent="0.2">
      <c r="A1023" s="5">
        <v>962</v>
      </c>
      <c r="B1023" s="138">
        <f>'Expenditures 15-22'!H50</f>
        <v>2181</v>
      </c>
      <c r="D1023" s="2" t="str">
        <f t="shared" ref="D1023:D1086" si="15">IF(ISBLANK(B1023),"OK",IF(A1023-B1023=0,"OK","Error?"))</f>
        <v>Error?</v>
      </c>
    </row>
    <row r="1024" spans="1:4" x14ac:dyDescent="0.2">
      <c r="A1024" s="5">
        <v>963</v>
      </c>
      <c r="B1024" s="138">
        <f>'Expenditures 15-22'!H53</f>
        <v>7313</v>
      </c>
      <c r="C1024" s="2" t="s">
        <v>594</v>
      </c>
      <c r="D1024" s="2" t="str">
        <f t="shared" si="15"/>
        <v>Error?</v>
      </c>
    </row>
    <row r="1025" spans="1:4" x14ac:dyDescent="0.2">
      <c r="A1025" s="5">
        <v>964</v>
      </c>
      <c r="B1025" s="138">
        <f>'Expenditures 15-22'!H55</f>
        <v>1244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1244</v>
      </c>
      <c r="C1027" s="2" t="s">
        <v>594</v>
      </c>
      <c r="D1027" s="2" t="str">
        <f t="shared" si="15"/>
        <v>Error?</v>
      </c>
    </row>
    <row r="1028" spans="1:4" x14ac:dyDescent="0.2">
      <c r="A1028" s="5">
        <v>967</v>
      </c>
      <c r="B1028" s="138">
        <f>'Expenditures 15-22'!H59</f>
        <v>565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138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703</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189</v>
      </c>
      <c r="D1039" s="2" t="str">
        <f t="shared" si="15"/>
        <v>Error?</v>
      </c>
    </row>
    <row r="1040" spans="1:4" x14ac:dyDescent="0.2">
      <c r="A1040" s="10">
        <v>979</v>
      </c>
      <c r="D1040" s="2" t="str">
        <f t="shared" si="15"/>
        <v>OK</v>
      </c>
    </row>
    <row r="1041" spans="1:4" x14ac:dyDescent="0.2">
      <c r="A1041" s="5">
        <v>980</v>
      </c>
      <c r="B1041" s="138">
        <f>'Expenditures 15-22'!H71</f>
        <v>300</v>
      </c>
      <c r="D1041" s="2" t="str">
        <f t="shared" si="15"/>
        <v>Error?</v>
      </c>
    </row>
    <row r="1042" spans="1:4" x14ac:dyDescent="0.2">
      <c r="A1042" s="10">
        <v>981</v>
      </c>
      <c r="D1042" s="2" t="str">
        <f t="shared" si="15"/>
        <v>OK</v>
      </c>
    </row>
    <row r="1043" spans="1:4" x14ac:dyDescent="0.2">
      <c r="A1043" s="5">
        <v>982</v>
      </c>
      <c r="B1043" s="138">
        <f>'Expenditures 15-22'!H72</f>
        <v>489</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29109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1170061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1374351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5084061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102041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732356</v>
      </c>
      <c r="C1105" s="2" t="s">
        <v>594</v>
      </c>
      <c r="D1105" s="2" t="str">
        <f t="shared" si="16"/>
        <v>Error?</v>
      </c>
    </row>
    <row r="1106" spans="1:4" x14ac:dyDescent="0.2">
      <c r="A1106" s="5">
        <v>1045</v>
      </c>
      <c r="B1106" s="138">
        <f>'Expenditures 15-22'!K14</f>
        <v>627552</v>
      </c>
      <c r="C1106" s="2" t="s">
        <v>594</v>
      </c>
      <c r="D1106" s="2" t="str">
        <f t="shared" si="16"/>
        <v>Error?</v>
      </c>
    </row>
    <row r="1107" spans="1:4" x14ac:dyDescent="0.2">
      <c r="A1107" s="5">
        <v>1046</v>
      </c>
      <c r="B1107" s="138">
        <f>'Expenditures 15-22'!K15</f>
        <v>3225</v>
      </c>
      <c r="C1107" s="2" t="s">
        <v>594</v>
      </c>
      <c r="D1107" s="2" t="str">
        <f t="shared" si="16"/>
        <v>Error?</v>
      </c>
    </row>
    <row r="1108" spans="1:4" x14ac:dyDescent="0.2">
      <c r="A1108" s="5">
        <v>1047</v>
      </c>
      <c r="B1108" s="138">
        <f>'Expenditures 15-22'!K33</f>
        <v>8635047</v>
      </c>
      <c r="C1108" s="2" t="s">
        <v>594</v>
      </c>
      <c r="D1108" s="2" t="str">
        <f t="shared" si="16"/>
        <v>Error?</v>
      </c>
    </row>
    <row r="1109" spans="1:4" x14ac:dyDescent="0.2">
      <c r="A1109" s="5">
        <v>1048</v>
      </c>
      <c r="B1109" s="138">
        <f>'Expenditures 15-22'!K36</f>
        <v>269287</v>
      </c>
      <c r="C1109" s="2" t="s">
        <v>594</v>
      </c>
      <c r="D1109" s="2" t="str">
        <f t="shared" si="16"/>
        <v>Error?</v>
      </c>
    </row>
    <row r="1110" spans="1:4" x14ac:dyDescent="0.2">
      <c r="A1110" s="5">
        <v>1049</v>
      </c>
      <c r="B1110" s="138">
        <f>'Expenditures 15-22'!K37</f>
        <v>412114</v>
      </c>
      <c r="C1110" s="2" t="s">
        <v>594</v>
      </c>
      <c r="D1110" s="2" t="str">
        <f t="shared" si="16"/>
        <v>Error?</v>
      </c>
    </row>
    <row r="1111" spans="1:4" x14ac:dyDescent="0.2">
      <c r="A1111" s="5">
        <v>1050</v>
      </c>
      <c r="B1111" s="138">
        <f>'Expenditures 15-22'!K38</f>
        <v>21759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41564</v>
      </c>
      <c r="C1113" s="2" t="s">
        <v>594</v>
      </c>
      <c r="D1113" s="2" t="str">
        <f t="shared" si="16"/>
        <v>Error?</v>
      </c>
    </row>
    <row r="1114" spans="1:4" x14ac:dyDescent="0.2">
      <c r="A1114" s="5">
        <v>1053</v>
      </c>
      <c r="B1114" s="138">
        <f>'Expenditures 15-22'!K41</f>
        <v>10958</v>
      </c>
      <c r="C1114" s="2" t="s">
        <v>594</v>
      </c>
      <c r="D1114" s="2" t="str">
        <f t="shared" si="16"/>
        <v>Error?</v>
      </c>
    </row>
    <row r="1115" spans="1:4" x14ac:dyDescent="0.2">
      <c r="A1115" s="5">
        <v>1054</v>
      </c>
      <c r="B1115" s="138">
        <f>'Expenditures 15-22'!K42</f>
        <v>755682</v>
      </c>
      <c r="C1115" s="2" t="s">
        <v>594</v>
      </c>
      <c r="D1115" s="2" t="str">
        <f t="shared" si="16"/>
        <v>Error?</v>
      </c>
    </row>
    <row r="1116" spans="1:4" x14ac:dyDescent="0.2">
      <c r="A1116" s="5">
        <v>1055</v>
      </c>
      <c r="B1116" s="138">
        <f>'Expenditures 15-22'!K44</f>
        <v>171974</v>
      </c>
      <c r="C1116" s="2" t="s">
        <v>594</v>
      </c>
      <c r="D1116" s="2" t="str">
        <f t="shared" si="16"/>
        <v>Error?</v>
      </c>
    </row>
    <row r="1117" spans="1:4" x14ac:dyDescent="0.2">
      <c r="A1117" s="5">
        <v>1056</v>
      </c>
      <c r="B1117" s="138">
        <f>'Expenditures 15-22'!K45</f>
        <v>389678</v>
      </c>
      <c r="C1117" s="2" t="s">
        <v>594</v>
      </c>
      <c r="D1117" s="2" t="str">
        <f t="shared" si="16"/>
        <v>Error?</v>
      </c>
    </row>
    <row r="1118" spans="1:4" x14ac:dyDescent="0.2">
      <c r="A1118" s="5">
        <v>1057</v>
      </c>
      <c r="B1118" s="138">
        <f>'Expenditures 15-22'!K46</f>
        <v>25760</v>
      </c>
      <c r="C1118" s="2" t="s">
        <v>594</v>
      </c>
      <c r="D1118" s="2" t="str">
        <f t="shared" si="16"/>
        <v>Error?</v>
      </c>
    </row>
    <row r="1119" spans="1:4" x14ac:dyDescent="0.2">
      <c r="A1119" s="5">
        <v>1058</v>
      </c>
      <c r="B1119" s="138">
        <f>'Expenditures 15-22'!K47</f>
        <v>587412</v>
      </c>
      <c r="C1119" s="2" t="s">
        <v>594</v>
      </c>
      <c r="D1119" s="2" t="str">
        <f t="shared" si="16"/>
        <v>Error?</v>
      </c>
    </row>
    <row r="1120" spans="1:4" x14ac:dyDescent="0.2">
      <c r="A1120" s="5">
        <v>1059</v>
      </c>
      <c r="B1120" s="138">
        <f>'Expenditures 15-22'!K49</f>
        <v>55878</v>
      </c>
      <c r="C1120" s="2" t="s">
        <v>594</v>
      </c>
      <c r="D1120" s="2" t="str">
        <f t="shared" si="16"/>
        <v>Error?</v>
      </c>
    </row>
    <row r="1121" spans="1:4" x14ac:dyDescent="0.2">
      <c r="A1121" s="5">
        <v>1060</v>
      </c>
      <c r="B1121" s="138">
        <f>'Expenditures 15-22'!K50</f>
        <v>214548</v>
      </c>
      <c r="C1121" s="2" t="s">
        <v>594</v>
      </c>
      <c r="D1121" s="2" t="str">
        <f t="shared" si="16"/>
        <v>Error?</v>
      </c>
    </row>
    <row r="1122" spans="1:4" x14ac:dyDescent="0.2">
      <c r="A1122" s="5">
        <v>1061</v>
      </c>
      <c r="B1122" s="138">
        <f>'Expenditures 15-22'!K53</f>
        <v>270426</v>
      </c>
      <c r="C1122" s="2" t="s">
        <v>594</v>
      </c>
      <c r="D1122" s="2" t="str">
        <f t="shared" si="16"/>
        <v>Error?</v>
      </c>
    </row>
    <row r="1123" spans="1:4" x14ac:dyDescent="0.2">
      <c r="A1123" s="5">
        <v>1062</v>
      </c>
      <c r="B1123" s="138">
        <f>'Expenditures 15-22'!K55</f>
        <v>706565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706565</v>
      </c>
      <c r="C1125" s="2" t="s">
        <v>594</v>
      </c>
      <c r="D1125" s="2" t="str">
        <f t="shared" si="16"/>
        <v>Error?</v>
      </c>
    </row>
    <row r="1126" spans="1:4" x14ac:dyDescent="0.2">
      <c r="A1126" s="5">
        <v>1065</v>
      </c>
      <c r="B1126" s="138">
        <f>'Expenditures 15-22'!K59</f>
        <v>125842</v>
      </c>
      <c r="C1126" s="2" t="s">
        <v>594</v>
      </c>
      <c r="D1126" s="2" t="str">
        <f t="shared" si="16"/>
        <v>Error?</v>
      </c>
    </row>
    <row r="1127" spans="1:4" x14ac:dyDescent="0.2">
      <c r="A1127" s="5">
        <v>1066</v>
      </c>
      <c r="B1127" s="138">
        <f>'Expenditures 15-22'!K60</f>
        <v>87482</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742647</v>
      </c>
      <c r="C1130" s="2" t="s">
        <v>594</v>
      </c>
      <c r="D1130" s="2" t="str">
        <f t="shared" si="16"/>
        <v>Error?</v>
      </c>
    </row>
    <row r="1131" spans="1:4" x14ac:dyDescent="0.2">
      <c r="A1131" s="5">
        <v>1070</v>
      </c>
      <c r="B1131" s="138">
        <f>'Expenditures 15-22'!K64</f>
        <v>5222</v>
      </c>
      <c r="C1131" s="2" t="s">
        <v>594</v>
      </c>
      <c r="D1131" s="2" t="str">
        <f t="shared" si="16"/>
        <v>Error?</v>
      </c>
    </row>
    <row r="1132" spans="1:4" x14ac:dyDescent="0.2">
      <c r="A1132" s="10">
        <v>1071</v>
      </c>
      <c r="D1132" s="2" t="str">
        <f t="shared" si="16"/>
        <v>OK</v>
      </c>
    </row>
    <row r="1133" spans="1:4" x14ac:dyDescent="0.2">
      <c r="A1133" s="5">
        <v>1072</v>
      </c>
      <c r="B1133" s="138">
        <f>'Expenditures 15-22'!K65</f>
        <v>961193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54554</v>
      </c>
      <c r="C1137" s="2" t="s">
        <v>594</v>
      </c>
      <c r="D1137" s="2" t="str">
        <f t="shared" si="16"/>
        <v>Error?</v>
      </c>
    </row>
    <row r="1138" spans="1:4" x14ac:dyDescent="0.2">
      <c r="A1138" s="10">
        <v>1077</v>
      </c>
      <c r="D1138" s="2" t="str">
        <f t="shared" si="16"/>
        <v>OK</v>
      </c>
    </row>
    <row r="1139" spans="1:4" x14ac:dyDescent="0.2">
      <c r="A1139" s="5">
        <v>1078</v>
      </c>
      <c r="B1139" s="138">
        <f>'Expenditures 15-22'!K71</f>
        <v>81773</v>
      </c>
      <c r="C1139" s="2" t="s">
        <v>594</v>
      </c>
      <c r="D1139" s="2" t="str">
        <f t="shared" si="16"/>
        <v>Error?</v>
      </c>
    </row>
    <row r="1140" spans="1:4" x14ac:dyDescent="0.2">
      <c r="A1140" s="10">
        <v>1079</v>
      </c>
      <c r="D1140" s="2" t="str">
        <f t="shared" si="16"/>
        <v>OK</v>
      </c>
    </row>
    <row r="1141" spans="1:4" x14ac:dyDescent="0.2">
      <c r="A1141" s="5">
        <v>1080</v>
      </c>
      <c r="B1141" s="138">
        <f>'Expenditures 15-22'!K72</f>
        <v>136327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3417605</v>
      </c>
      <c r="C1143" s="2" t="s">
        <v>594</v>
      </c>
      <c r="D1143" s="2" t="str">
        <f t="shared" si="16"/>
        <v>Error?</v>
      </c>
    </row>
    <row r="1144" spans="1:4" x14ac:dyDescent="0.2">
      <c r="A1144" s="5">
        <v>1083</v>
      </c>
      <c r="B1144" s="138">
        <f>'Expenditures 15-22'!K75</f>
        <v>63289</v>
      </c>
      <c r="C1144" s="2" t="s">
        <v>594</v>
      </c>
      <c r="D1144" s="2" t="str">
        <f t="shared" si="16"/>
        <v>Error?</v>
      </c>
    </row>
    <row r="1145" spans="1:4" x14ac:dyDescent="0.2">
      <c r="A1145" s="5">
        <v>1084</v>
      </c>
      <c r="B1145" s="138">
        <f>'Expenditures 15-22'!K102</f>
        <v>1361263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13477204</v>
      </c>
      <c r="C1152" s="2" t="s">
        <v>594</v>
      </c>
      <c r="D1152" s="2" t="str">
        <f t="shared" si="17"/>
        <v>Error?</v>
      </c>
    </row>
    <row r="1153" spans="1:4" x14ac:dyDescent="0.2">
      <c r="A1153" s="5">
        <v>1092</v>
      </c>
      <c r="B1153" s="138">
        <f>'Expenditures 15-22'!K115</f>
        <v>558966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15450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774654</v>
      </c>
      <c r="D1221" s="2" t="str">
        <f t="shared" si="18"/>
        <v>Error?</v>
      </c>
    </row>
    <row r="1222" spans="1:4" x14ac:dyDescent="0.2">
      <c r="A1222" s="10">
        <v>1161</v>
      </c>
      <c r="D1222" s="2" t="str">
        <f t="shared" si="18"/>
        <v>OK</v>
      </c>
    </row>
    <row r="1223" spans="1:4" x14ac:dyDescent="0.2">
      <c r="A1223" s="5">
        <v>1162</v>
      </c>
      <c r="B1223" s="138">
        <f>'Expenditures 15-22'!C127</f>
        <v>790104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790104</v>
      </c>
      <c r="C1225" s="2" t="s">
        <v>594</v>
      </c>
      <c r="D1225" s="2" t="str">
        <f t="shared" si="18"/>
        <v>Error?</v>
      </c>
    </row>
    <row r="1226" spans="1:4" x14ac:dyDescent="0.2">
      <c r="A1226" s="5">
        <v>1165</v>
      </c>
      <c r="B1226" s="138">
        <f>'Expenditures 15-22'!C151</f>
        <v>790104</v>
      </c>
      <c r="C1226" s="2" t="s">
        <v>594</v>
      </c>
      <c r="D1226" s="2" t="str">
        <f t="shared" si="18"/>
        <v>Error?</v>
      </c>
    </row>
    <row r="1227" spans="1:4" x14ac:dyDescent="0.2">
      <c r="A1227" s="5">
        <v>1166</v>
      </c>
      <c r="B1227" s="138">
        <f>'Expenditures 15-22'!D122</f>
        <v>2789</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123236</v>
      </c>
      <c r="D1229" s="2" t="str">
        <f t="shared" si="18"/>
        <v>Error?</v>
      </c>
    </row>
    <row r="1230" spans="1:4" x14ac:dyDescent="0.2">
      <c r="A1230" s="10">
        <v>1169</v>
      </c>
      <c r="D1230" s="2" t="str">
        <f t="shared" si="18"/>
        <v>OK</v>
      </c>
    </row>
    <row r="1231" spans="1:4" x14ac:dyDescent="0.2">
      <c r="A1231" s="5">
        <v>1170</v>
      </c>
      <c r="B1231" s="138">
        <f>'Expenditures 15-22'!D127</f>
        <v>126025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126025</v>
      </c>
      <c r="C1233" s="2" t="s">
        <v>594</v>
      </c>
      <c r="D1233" s="2" t="str">
        <f t="shared" si="18"/>
        <v>Error?</v>
      </c>
    </row>
    <row r="1234" spans="1:4" x14ac:dyDescent="0.2">
      <c r="A1234" s="5">
        <v>1173</v>
      </c>
      <c r="B1234" s="138">
        <f>'Expenditures 15-22'!D151</f>
        <v>126025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259897</v>
      </c>
      <c r="D1237" s="2" t="str">
        <f t="shared" si="18"/>
        <v>Error?</v>
      </c>
    </row>
    <row r="1238" spans="1:4" x14ac:dyDescent="0.2">
      <c r="A1238" s="10">
        <v>1177</v>
      </c>
      <c r="D1238" s="2" t="str">
        <f t="shared" si="18"/>
        <v>OK</v>
      </c>
    </row>
    <row r="1239" spans="1:4" x14ac:dyDescent="0.2">
      <c r="A1239" s="5">
        <v>1178</v>
      </c>
      <c r="B1239" s="138">
        <f>'Expenditures 15-22'!E127</f>
        <v>259897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259897</v>
      </c>
      <c r="C1241" s="2" t="s">
        <v>594</v>
      </c>
      <c r="D1241" s="2" t="str">
        <f t="shared" si="18"/>
        <v>Error?</v>
      </c>
    </row>
    <row r="1242" spans="1:4" x14ac:dyDescent="0.2">
      <c r="A1242" s="5">
        <v>1181</v>
      </c>
      <c r="B1242" s="138">
        <f>'Expenditures 15-22'!E151</f>
        <v>259897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349067</v>
      </c>
      <c r="D1245" s="2" t="str">
        <f t="shared" si="18"/>
        <v>Error?</v>
      </c>
    </row>
    <row r="1246" spans="1:4" x14ac:dyDescent="0.2">
      <c r="A1246" s="10">
        <v>1185</v>
      </c>
      <c r="D1246" s="2" t="str">
        <f t="shared" si="18"/>
        <v>OK</v>
      </c>
    </row>
    <row r="1247" spans="1:4" x14ac:dyDescent="0.2">
      <c r="A1247" s="5">
        <v>1186</v>
      </c>
      <c r="B1247" s="138">
        <f>'Expenditures 15-22'!F127</f>
        <v>349067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349067</v>
      </c>
      <c r="C1249" s="2" t="s">
        <v>594</v>
      </c>
      <c r="D1249" s="2" t="str">
        <f t="shared" si="18"/>
        <v>Error?</v>
      </c>
    </row>
    <row r="1250" spans="1:4" x14ac:dyDescent="0.2">
      <c r="A1250" s="5">
        <v>1189</v>
      </c>
      <c r="B1250" s="138">
        <f>'Expenditures 15-22'!F151</f>
        <v>349067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120260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120260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120260</v>
      </c>
      <c r="C1258" s="2" t="s">
        <v>594</v>
      </c>
      <c r="D1258" s="2" t="str">
        <f t="shared" si="18"/>
        <v>Error?</v>
      </c>
    </row>
    <row r="1259" spans="1:4" x14ac:dyDescent="0.2">
      <c r="A1259" s="5">
        <v>1198</v>
      </c>
      <c r="B1259" s="138">
        <f>'Expenditures 15-22'!G151</f>
        <v>120260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435</v>
      </c>
      <c r="D1262" s="2" t="str">
        <f t="shared" si="18"/>
        <v>Error?</v>
      </c>
    </row>
    <row r="1263" spans="1:4" x14ac:dyDescent="0.2">
      <c r="A1263" s="10">
        <v>1202</v>
      </c>
      <c r="D1263" s="2" t="str">
        <f t="shared" si="18"/>
        <v>OK</v>
      </c>
    </row>
    <row r="1264" spans="1:4" x14ac:dyDescent="0.2">
      <c r="A1264" s="5">
        <v>1203</v>
      </c>
      <c r="B1264" s="138">
        <f>'Expenditures 15-22'!H127</f>
        <v>435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435</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435</v>
      </c>
      <c r="C1273" s="2" t="s">
        <v>594</v>
      </c>
      <c r="D1273" s="2" t="str">
        <f t="shared" si="18"/>
        <v>Error?</v>
      </c>
    </row>
    <row r="1274" spans="1:4" x14ac:dyDescent="0.2">
      <c r="A1274" s="5">
        <v>1213</v>
      </c>
      <c r="B1274" s="138">
        <f>'Expenditures 15-22'!K122</f>
        <v>18239</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1627549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1645788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1645788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1645788</v>
      </c>
      <c r="C1288" s="2" t="s">
        <v>594</v>
      </c>
      <c r="D1288" s="2" t="str">
        <f t="shared" si="19"/>
        <v>Error?</v>
      </c>
    </row>
    <row r="1289" spans="1:4" x14ac:dyDescent="0.2">
      <c r="A1289" s="5">
        <v>1228</v>
      </c>
      <c r="B1289" s="138">
        <f>'Expenditures 15-22'!K152</f>
        <v>337764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21313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1010000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1031313</v>
      </c>
      <c r="C1317" s="2" t="s">
        <v>594</v>
      </c>
      <c r="D1317" s="2" t="str">
        <f t="shared" si="19"/>
        <v>Error?</v>
      </c>
    </row>
    <row r="1318" spans="1:4" x14ac:dyDescent="0.2">
      <c r="A1318" s="5">
        <v>1257</v>
      </c>
      <c r="B1318" s="138">
        <f>'Expenditures 15-22'!H174</f>
        <v>1031313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21313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1010000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1031313</v>
      </c>
      <c r="C1331" s="2" t="s">
        <v>594</v>
      </c>
      <c r="D1331" s="2" t="str">
        <f t="shared" si="19"/>
        <v>Error?</v>
      </c>
    </row>
    <row r="1332" spans="1:4" x14ac:dyDescent="0.2">
      <c r="A1332" s="5">
        <v>1271</v>
      </c>
      <c r="B1332" s="138">
        <f>'Expenditures 15-22'!K174</f>
        <v>1031313</v>
      </c>
      <c r="C1332" s="2" t="s">
        <v>594</v>
      </c>
      <c r="D1332" s="2" t="str">
        <f t="shared" si="19"/>
        <v>Error?</v>
      </c>
    </row>
    <row r="1333" spans="1:4" x14ac:dyDescent="0.2">
      <c r="A1333" s="5">
        <v>1272</v>
      </c>
      <c r="B1333" s="138">
        <f>'Expenditures 15-22'!K175</f>
        <v>7832</v>
      </c>
      <c r="C1333" s="2" t="s">
        <v>594</v>
      </c>
      <c r="D1333" s="2" t="str">
        <f t="shared" si="19"/>
        <v>Error?</v>
      </c>
    </row>
    <row r="1334" spans="1:4" x14ac:dyDescent="0.2">
      <c r="A1334" s="10">
        <v>1273</v>
      </c>
      <c r="D1334" s="2" t="str">
        <f t="shared" si="19"/>
        <v>OK</v>
      </c>
    </row>
    <row r="1335" spans="1:4" x14ac:dyDescent="0.2">
      <c r="A1335" s="5">
        <v>1274</v>
      </c>
      <c r="B1335" s="138">
        <f>'Expenditures 15-22'!C182</f>
        <v>498271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498271</v>
      </c>
      <c r="C1339" s="2" t="s">
        <v>594</v>
      </c>
      <c r="D1339" s="2" t="str">
        <f t="shared" si="19"/>
        <v>Error?</v>
      </c>
    </row>
    <row r="1340" spans="1:4" x14ac:dyDescent="0.2">
      <c r="A1340" s="5">
        <v>1279</v>
      </c>
      <c r="B1340" s="138">
        <f>'Expenditures 15-22'!C210</f>
        <v>498271</v>
      </c>
      <c r="C1340" s="2" t="s">
        <v>594</v>
      </c>
      <c r="D1340" s="2" t="str">
        <f t="shared" si="19"/>
        <v>Error?</v>
      </c>
    </row>
    <row r="1341" spans="1:4" x14ac:dyDescent="0.2">
      <c r="A1341" s="5">
        <v>1280</v>
      </c>
      <c r="B1341" s="138">
        <f>'Expenditures 15-22'!D182</f>
        <v>40049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40049</v>
      </c>
      <c r="C1345" s="2" t="s">
        <v>594</v>
      </c>
      <c r="D1345" s="2" t="str">
        <f t="shared" si="20"/>
        <v>Error?</v>
      </c>
    </row>
    <row r="1346" spans="1:4" x14ac:dyDescent="0.2">
      <c r="A1346" s="5">
        <v>1285</v>
      </c>
      <c r="B1346" s="138">
        <f>'Expenditures 15-22'!D210</f>
        <v>40049</v>
      </c>
      <c r="C1346" s="2" t="s">
        <v>594</v>
      </c>
      <c r="D1346" s="2" t="str">
        <f t="shared" si="20"/>
        <v>Error?</v>
      </c>
    </row>
    <row r="1347" spans="1:4" x14ac:dyDescent="0.2">
      <c r="A1347" s="5">
        <v>1286</v>
      </c>
      <c r="B1347" s="138">
        <f>'Expenditures 15-22'!E182</f>
        <v>86455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86455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86455</v>
      </c>
      <c r="C1353" s="2" t="s">
        <v>594</v>
      </c>
      <c r="D1353" s="2" t="str">
        <f t="shared" si="20"/>
        <v>Error?</v>
      </c>
    </row>
    <row r="1354" spans="1:4" x14ac:dyDescent="0.2">
      <c r="A1354" s="5">
        <v>1293</v>
      </c>
      <c r="B1354" s="138">
        <f>'Expenditures 15-22'!F182</f>
        <v>127551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127551</v>
      </c>
      <c r="C1358" s="2" t="s">
        <v>594</v>
      </c>
      <c r="D1358" s="2" t="str">
        <f t="shared" si="20"/>
        <v>Error?</v>
      </c>
    </row>
    <row r="1359" spans="1:4" x14ac:dyDescent="0.2">
      <c r="A1359" s="5">
        <v>1298</v>
      </c>
      <c r="B1359" s="138">
        <f>'Expenditures 15-22'!F210</f>
        <v>127551</v>
      </c>
      <c r="C1359" s="2" t="s">
        <v>594</v>
      </c>
      <c r="D1359" s="2" t="str">
        <f t="shared" si="20"/>
        <v>Error?</v>
      </c>
    </row>
    <row r="1360" spans="1:4" x14ac:dyDescent="0.2">
      <c r="A1360" s="5">
        <v>1299</v>
      </c>
      <c r="B1360" s="138">
        <f>'Expenditures 15-22'!G182</f>
        <v>234361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234361</v>
      </c>
      <c r="C1364" s="2" t="s">
        <v>594</v>
      </c>
      <c r="D1364" s="2" t="str">
        <f t="shared" si="20"/>
        <v>Error?</v>
      </c>
    </row>
    <row r="1365" spans="1:4" x14ac:dyDescent="0.2">
      <c r="A1365" s="5">
        <v>1304</v>
      </c>
      <c r="B1365" s="138">
        <f>'Expenditures 15-22'!G210</f>
        <v>234361</v>
      </c>
      <c r="C1365" s="2" t="s">
        <v>594</v>
      </c>
      <c r="D1365" s="2" t="str">
        <f t="shared" si="20"/>
        <v>Error?</v>
      </c>
    </row>
    <row r="1366" spans="1:4" x14ac:dyDescent="0.2">
      <c r="A1366" s="5">
        <v>1305</v>
      </c>
      <c r="B1366" s="138">
        <f>'Expenditures 15-22'!H182</f>
        <v>65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65</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65</v>
      </c>
      <c r="C1376" s="2" t="s">
        <v>594</v>
      </c>
      <c r="D1376" s="2" t="str">
        <f t="shared" si="20"/>
        <v>Error?</v>
      </c>
    </row>
    <row r="1377" spans="1:4" x14ac:dyDescent="0.2">
      <c r="A1377" s="5">
        <v>1316</v>
      </c>
      <c r="B1377" s="138">
        <f>'Expenditures 15-22'!K182</f>
        <v>986752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986752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986752</v>
      </c>
      <c r="C1388" s="2" t="s">
        <v>594</v>
      </c>
      <c r="D1388" s="2" t="str">
        <f t="shared" si="20"/>
        <v>Error?</v>
      </c>
    </row>
    <row r="1389" spans="1:4" x14ac:dyDescent="0.2">
      <c r="A1389" s="5">
        <v>1328</v>
      </c>
      <c r="B1389" s="138">
        <f>'Expenditures 15-22'!K211</f>
        <v>1219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3259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8035</v>
      </c>
      <c r="D1407" s="2" t="str">
        <f t="shared" ref="D1407:D1470" si="21">IF(ISBLANK(B1407),"OK",IF(A1407-B1407=0,"OK","Error?"))</f>
        <v>Error?</v>
      </c>
    </row>
    <row r="1408" spans="1:4" x14ac:dyDescent="0.2">
      <c r="A1408" s="5">
        <v>1347</v>
      </c>
      <c r="B1408" s="138">
        <f>'Expenditures 15-22'!D223</f>
        <v>34745</v>
      </c>
      <c r="D1408" s="2" t="str">
        <f t="shared" si="21"/>
        <v>Error?</v>
      </c>
    </row>
    <row r="1409" spans="1:4" x14ac:dyDescent="0.2">
      <c r="A1409" s="5">
        <v>1348</v>
      </c>
      <c r="B1409" s="138">
        <f>'Expenditures 15-22'!D224</f>
        <v>633</v>
      </c>
      <c r="D1409" s="2" t="str">
        <f t="shared" si="21"/>
        <v>Error?</v>
      </c>
    </row>
    <row r="1410" spans="1:4" x14ac:dyDescent="0.2">
      <c r="A1410" s="5">
        <v>1349</v>
      </c>
      <c r="B1410" s="138">
        <f>'Expenditures 15-22'!D229</f>
        <v>200766</v>
      </c>
      <c r="C1410" s="2" t="s">
        <v>594</v>
      </c>
      <c r="D1410" s="2" t="str">
        <f t="shared" si="21"/>
        <v>Error?</v>
      </c>
    </row>
    <row r="1411" spans="1:4" x14ac:dyDescent="0.2">
      <c r="A1411" s="5">
        <v>1350</v>
      </c>
      <c r="B1411" s="138">
        <f>'Expenditures 15-22'!D232</f>
        <v>16044</v>
      </c>
      <c r="D1411" s="2" t="str">
        <f t="shared" si="21"/>
        <v>Error?</v>
      </c>
    </row>
    <row r="1412" spans="1:4" x14ac:dyDescent="0.2">
      <c r="A1412" s="5">
        <v>1351</v>
      </c>
      <c r="B1412" s="138">
        <f>'Expenditures 15-22'!D233</f>
        <v>10868</v>
      </c>
      <c r="D1412" s="2" t="str">
        <f t="shared" si="21"/>
        <v>Error?</v>
      </c>
    </row>
    <row r="1413" spans="1:4" x14ac:dyDescent="0.2">
      <c r="A1413" s="5">
        <v>1352</v>
      </c>
      <c r="B1413" s="138">
        <f>'Expenditures 15-22'!D234</f>
        <v>4118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268</v>
      </c>
      <c r="D1415" s="2" t="str">
        <f t="shared" si="21"/>
        <v>Error?</v>
      </c>
    </row>
    <row r="1416" spans="1:4" x14ac:dyDescent="0.2">
      <c r="A1416" s="5">
        <v>1355</v>
      </c>
      <c r="B1416" s="138">
        <f>'Expenditures 15-22'!D237</f>
        <v>49</v>
      </c>
      <c r="D1416" s="2" t="str">
        <f t="shared" si="21"/>
        <v>Error?</v>
      </c>
    </row>
    <row r="1417" spans="1:4" x14ac:dyDescent="0.2">
      <c r="A1417" s="5">
        <v>1356</v>
      </c>
      <c r="B1417" s="138">
        <f>'Expenditures 15-22'!D238</f>
        <v>31347</v>
      </c>
      <c r="C1417" s="2" t="s">
        <v>594</v>
      </c>
      <c r="D1417" s="2" t="str">
        <f t="shared" si="21"/>
        <v>Error?</v>
      </c>
    </row>
    <row r="1418" spans="1:4" x14ac:dyDescent="0.2">
      <c r="A1418" s="5">
        <v>1357</v>
      </c>
      <c r="B1418" s="138">
        <f>'Expenditures 15-22'!D240</f>
        <v>1681</v>
      </c>
      <c r="D1418" s="2" t="str">
        <f t="shared" si="21"/>
        <v>Error?</v>
      </c>
    </row>
    <row r="1419" spans="1:4" x14ac:dyDescent="0.2">
      <c r="A1419" s="5">
        <v>1358</v>
      </c>
      <c r="B1419" s="138">
        <f>'Expenditures 15-22'!D241</f>
        <v>15304</v>
      </c>
      <c r="D1419" s="2" t="str">
        <f t="shared" si="21"/>
        <v>Error?</v>
      </c>
    </row>
    <row r="1420" spans="1:4" x14ac:dyDescent="0.2">
      <c r="A1420" s="5">
        <v>1359</v>
      </c>
      <c r="B1420" s="138">
        <f>'Expenditures 15-22'!D242</f>
        <v>6</v>
      </c>
      <c r="D1420" s="2" t="str">
        <f t="shared" si="21"/>
        <v>Error?</v>
      </c>
    </row>
    <row r="1421" spans="1:4" x14ac:dyDescent="0.2">
      <c r="A1421" s="5">
        <v>1360</v>
      </c>
      <c r="B1421" s="138">
        <f>'Expenditures 15-22'!D243</f>
        <v>16991</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8442</v>
      </c>
      <c r="D1423" s="2" t="str">
        <f t="shared" si="21"/>
        <v>Error?</v>
      </c>
    </row>
    <row r="1424" spans="1:4" x14ac:dyDescent="0.2">
      <c r="A1424" s="5">
        <v>1363</v>
      </c>
      <c r="B1424" s="138">
        <f>'Expenditures 15-22'!D257</f>
        <v>44741</v>
      </c>
      <c r="C1424" s="2" t="s">
        <v>594</v>
      </c>
      <c r="D1424" s="2" t="str">
        <f t="shared" si="21"/>
        <v>Error?</v>
      </c>
    </row>
    <row r="1425" spans="1:4" x14ac:dyDescent="0.2">
      <c r="A1425" s="5">
        <v>1364</v>
      </c>
      <c r="B1425" s="138">
        <f>'Expenditures 15-22'!D259</f>
        <v>43196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43196</v>
      </c>
      <c r="C1427" s="2" t="s">
        <v>594</v>
      </c>
      <c r="D1427" s="2" t="str">
        <f t="shared" si="21"/>
        <v>Error?</v>
      </c>
    </row>
    <row r="1428" spans="1:4" x14ac:dyDescent="0.2">
      <c r="A1428" s="5">
        <v>1367</v>
      </c>
      <c r="B1428" s="138">
        <f>'Expenditures 15-22'!D263</f>
        <v>24201</v>
      </c>
      <c r="D1428" s="2" t="str">
        <f t="shared" si="21"/>
        <v>Error?</v>
      </c>
    </row>
    <row r="1429" spans="1:4" x14ac:dyDescent="0.2">
      <c r="A1429" s="5">
        <v>1368</v>
      </c>
      <c r="B1429" s="138">
        <f>'Expenditures 15-22'!D264</f>
        <v>15115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144774</v>
      </c>
      <c r="D1431" s="2" t="str">
        <f t="shared" si="21"/>
        <v>Error?</v>
      </c>
    </row>
    <row r="1432" spans="1:4" x14ac:dyDescent="0.2">
      <c r="A1432" s="5">
        <v>1371</v>
      </c>
      <c r="B1432" s="138">
        <f>'Expenditures 15-22'!D267</f>
        <v>88031</v>
      </c>
      <c r="D1432" s="2" t="str">
        <f t="shared" si="21"/>
        <v>Error?</v>
      </c>
    </row>
    <row r="1433" spans="1:4" x14ac:dyDescent="0.2">
      <c r="A1433" s="5">
        <v>1372</v>
      </c>
      <c r="B1433" s="138">
        <f>'Expenditures 15-22'!D268</f>
        <v>45036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317157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6400</v>
      </c>
      <c r="D1440" s="2" t="str">
        <f t="shared" si="21"/>
        <v>Error?</v>
      </c>
    </row>
    <row r="1441" spans="1:4" x14ac:dyDescent="0.2">
      <c r="A1441" s="10">
        <v>1380</v>
      </c>
      <c r="D1441" s="2" t="str">
        <f t="shared" si="21"/>
        <v>OK</v>
      </c>
    </row>
    <row r="1442" spans="1:4" x14ac:dyDescent="0.2">
      <c r="A1442" s="5">
        <v>1381</v>
      </c>
      <c r="B1442" s="138">
        <f>'Expenditures 15-22'!D276</f>
        <v>11157</v>
      </c>
      <c r="D1442" s="2" t="str">
        <f t="shared" si="21"/>
        <v>Error?</v>
      </c>
    </row>
    <row r="1443" spans="1:4" x14ac:dyDescent="0.2">
      <c r="A1443" s="10">
        <v>1382</v>
      </c>
      <c r="D1443" s="2" t="str">
        <f t="shared" si="21"/>
        <v>OK</v>
      </c>
    </row>
    <row r="1444" spans="1:4" x14ac:dyDescent="0.2">
      <c r="A1444" s="5">
        <v>1383</v>
      </c>
      <c r="B1444" s="138">
        <f>'Expenditures 15-22'!D277</f>
        <v>17557</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470989</v>
      </c>
      <c r="C1446" s="2" t="s">
        <v>594</v>
      </c>
      <c r="D1446" s="2" t="str">
        <f t="shared" si="21"/>
        <v>Error?</v>
      </c>
    </row>
    <row r="1447" spans="1:4" x14ac:dyDescent="0.2">
      <c r="A1447" s="5">
        <v>1386</v>
      </c>
      <c r="B1447" s="138">
        <f>'Expenditures 15-22'!D280</f>
        <v>135</v>
      </c>
      <c r="D1447" s="2" t="str">
        <f t="shared" si="21"/>
        <v>Error?</v>
      </c>
    </row>
    <row r="1448" spans="1:4" x14ac:dyDescent="0.2">
      <c r="A1448" s="5">
        <v>1387</v>
      </c>
      <c r="B1448" s="138">
        <f>'Expenditures 15-22'!D295</f>
        <v>671890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3259</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8035</v>
      </c>
      <c r="C1471" s="2" t="s">
        <v>594</v>
      </c>
      <c r="D1471" s="2" t="str">
        <f t="shared" ref="D1471:D1534" si="22">IF(ISBLANK(B1471),"OK",IF(A1471-B1471=0,"OK","Error?"))</f>
        <v>Error?</v>
      </c>
    </row>
    <row r="1472" spans="1:4" x14ac:dyDescent="0.2">
      <c r="A1472" s="5">
        <v>1411</v>
      </c>
      <c r="B1472" s="138">
        <f>'Expenditures 15-22'!K223</f>
        <v>34745</v>
      </c>
      <c r="C1472" s="2" t="s">
        <v>594</v>
      </c>
      <c r="D1472" s="2" t="str">
        <f t="shared" si="22"/>
        <v>Error?</v>
      </c>
    </row>
    <row r="1473" spans="1:4" x14ac:dyDescent="0.2">
      <c r="A1473" s="5">
        <v>1412</v>
      </c>
      <c r="B1473" s="138">
        <f>'Expenditures 15-22'!K224</f>
        <v>633</v>
      </c>
      <c r="C1473" s="2" t="s">
        <v>594</v>
      </c>
      <c r="D1473" s="2" t="str">
        <f t="shared" si="22"/>
        <v>Error?</v>
      </c>
    </row>
    <row r="1474" spans="1:4" x14ac:dyDescent="0.2">
      <c r="A1474" s="5">
        <v>1413</v>
      </c>
      <c r="B1474" s="138">
        <f>'Expenditures 15-22'!K229</f>
        <v>200766</v>
      </c>
      <c r="C1474" s="2" t="s">
        <v>594</v>
      </c>
      <c r="D1474" s="2" t="str">
        <f t="shared" si="22"/>
        <v>Error?</v>
      </c>
    </row>
    <row r="1475" spans="1:4" x14ac:dyDescent="0.2">
      <c r="A1475" s="5">
        <v>1414</v>
      </c>
      <c r="B1475" s="138">
        <f>'Expenditures 15-22'!K232</f>
        <v>16044</v>
      </c>
      <c r="C1475" s="2" t="s">
        <v>594</v>
      </c>
      <c r="D1475" s="2" t="str">
        <f t="shared" si="22"/>
        <v>Error?</v>
      </c>
    </row>
    <row r="1476" spans="1:4" x14ac:dyDescent="0.2">
      <c r="A1476" s="5">
        <v>1415</v>
      </c>
      <c r="B1476" s="138">
        <f>'Expenditures 15-22'!K233</f>
        <v>10868</v>
      </c>
      <c r="C1476" s="2" t="s">
        <v>594</v>
      </c>
      <c r="D1476" s="2" t="str">
        <f t="shared" si="22"/>
        <v>Error?</v>
      </c>
    </row>
    <row r="1477" spans="1:4" x14ac:dyDescent="0.2">
      <c r="A1477" s="5">
        <v>1416</v>
      </c>
      <c r="B1477" s="138">
        <f>'Expenditures 15-22'!K234</f>
        <v>4118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268</v>
      </c>
      <c r="C1479" s="2" t="s">
        <v>594</v>
      </c>
      <c r="D1479" s="2" t="str">
        <f t="shared" si="22"/>
        <v>Error?</v>
      </c>
    </row>
    <row r="1480" spans="1:4" x14ac:dyDescent="0.2">
      <c r="A1480" s="5">
        <v>1419</v>
      </c>
      <c r="B1480" s="138">
        <f>'Expenditures 15-22'!K237</f>
        <v>49</v>
      </c>
      <c r="C1480" s="2" t="s">
        <v>594</v>
      </c>
      <c r="D1480" s="2" t="str">
        <f t="shared" si="22"/>
        <v>Error?</v>
      </c>
    </row>
    <row r="1481" spans="1:4" x14ac:dyDescent="0.2">
      <c r="A1481" s="5">
        <v>1420</v>
      </c>
      <c r="B1481" s="138">
        <f>'Expenditures 15-22'!K238</f>
        <v>31347</v>
      </c>
      <c r="C1481" s="2" t="s">
        <v>594</v>
      </c>
      <c r="D1481" s="2" t="str">
        <f t="shared" si="22"/>
        <v>Error?</v>
      </c>
    </row>
    <row r="1482" spans="1:4" x14ac:dyDescent="0.2">
      <c r="A1482" s="5">
        <v>1421</v>
      </c>
      <c r="B1482" s="138">
        <f>'Expenditures 15-22'!K240</f>
        <v>1681</v>
      </c>
      <c r="C1482" s="2" t="s">
        <v>594</v>
      </c>
      <c r="D1482" s="2" t="str">
        <f t="shared" si="22"/>
        <v>Error?</v>
      </c>
    </row>
    <row r="1483" spans="1:4" x14ac:dyDescent="0.2">
      <c r="A1483" s="5">
        <v>1422</v>
      </c>
      <c r="B1483" s="138">
        <f>'Expenditures 15-22'!K241</f>
        <v>15304</v>
      </c>
      <c r="C1483" s="2" t="s">
        <v>594</v>
      </c>
      <c r="D1483" s="2" t="str">
        <f t="shared" si="22"/>
        <v>Error?</v>
      </c>
    </row>
    <row r="1484" spans="1:4" x14ac:dyDescent="0.2">
      <c r="A1484" s="5">
        <v>1423</v>
      </c>
      <c r="B1484" s="138">
        <f>'Expenditures 15-22'!K242</f>
        <v>6</v>
      </c>
      <c r="C1484" s="2" t="s">
        <v>594</v>
      </c>
      <c r="D1484" s="2" t="str">
        <f t="shared" si="22"/>
        <v>Error?</v>
      </c>
    </row>
    <row r="1485" spans="1:4" x14ac:dyDescent="0.2">
      <c r="A1485" s="5">
        <v>1424</v>
      </c>
      <c r="B1485" s="138">
        <f>'Expenditures 15-22'!K243</f>
        <v>16991</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8442</v>
      </c>
      <c r="C1487" s="2" t="s">
        <v>594</v>
      </c>
      <c r="D1487" s="2" t="str">
        <f t="shared" si="22"/>
        <v>Error?</v>
      </c>
    </row>
    <row r="1488" spans="1:4" x14ac:dyDescent="0.2">
      <c r="A1488" s="5">
        <v>1427</v>
      </c>
      <c r="B1488" s="138">
        <f>'Expenditures 15-22'!K257</f>
        <v>44741</v>
      </c>
      <c r="C1488" s="2" t="s">
        <v>594</v>
      </c>
      <c r="D1488" s="2" t="str">
        <f t="shared" si="22"/>
        <v>Error?</v>
      </c>
    </row>
    <row r="1489" spans="1:4" x14ac:dyDescent="0.2">
      <c r="A1489" s="5">
        <v>1428</v>
      </c>
      <c r="B1489" s="138">
        <f>'Expenditures 15-22'!K259</f>
        <v>43196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43196</v>
      </c>
      <c r="C1491" s="2" t="s">
        <v>594</v>
      </c>
      <c r="D1491" s="2" t="str">
        <f t="shared" si="22"/>
        <v>Error?</v>
      </c>
    </row>
    <row r="1492" spans="1:4" x14ac:dyDescent="0.2">
      <c r="A1492" s="5">
        <v>1431</v>
      </c>
      <c r="B1492" s="138">
        <f>'Expenditures 15-22'!K263</f>
        <v>24201</v>
      </c>
      <c r="C1492" s="2" t="s">
        <v>594</v>
      </c>
      <c r="D1492" s="2" t="str">
        <f t="shared" si="22"/>
        <v>Error?</v>
      </c>
    </row>
    <row r="1493" spans="1:4" x14ac:dyDescent="0.2">
      <c r="A1493" s="5">
        <v>1432</v>
      </c>
      <c r="B1493" s="138">
        <f>'Expenditures 15-22'!K264</f>
        <v>15115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144774</v>
      </c>
      <c r="C1495" s="2" t="s">
        <v>594</v>
      </c>
      <c r="D1495" s="2" t="str">
        <f t="shared" si="22"/>
        <v>Error?</v>
      </c>
    </row>
    <row r="1496" spans="1:4" x14ac:dyDescent="0.2">
      <c r="A1496" s="5">
        <v>1435</v>
      </c>
      <c r="B1496" s="138">
        <f>'Expenditures 15-22'!K267</f>
        <v>88031</v>
      </c>
      <c r="C1496" s="2" t="s">
        <v>594</v>
      </c>
      <c r="D1496" s="2" t="str">
        <f t="shared" si="22"/>
        <v>Error?</v>
      </c>
    </row>
    <row r="1497" spans="1:4" x14ac:dyDescent="0.2">
      <c r="A1497" s="5">
        <v>1436</v>
      </c>
      <c r="B1497" s="138">
        <f>'Expenditures 15-22'!K268</f>
        <v>45036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317157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6400</v>
      </c>
      <c r="C1504" s="2" t="s">
        <v>594</v>
      </c>
      <c r="D1504" s="2" t="str">
        <f t="shared" si="22"/>
        <v>Error?</v>
      </c>
    </row>
    <row r="1505" spans="1:4" x14ac:dyDescent="0.2">
      <c r="A1505" s="10">
        <v>1444</v>
      </c>
      <c r="D1505" s="2" t="str">
        <f t="shared" si="22"/>
        <v>OK</v>
      </c>
    </row>
    <row r="1506" spans="1:4" x14ac:dyDescent="0.2">
      <c r="A1506" s="5">
        <v>1445</v>
      </c>
      <c r="B1506" s="138">
        <f>'Expenditures 15-22'!K276</f>
        <v>11157</v>
      </c>
      <c r="C1506" s="2" t="s">
        <v>594</v>
      </c>
      <c r="D1506" s="2" t="str">
        <f t="shared" si="22"/>
        <v>Error?</v>
      </c>
    </row>
    <row r="1507" spans="1:4" x14ac:dyDescent="0.2">
      <c r="A1507" s="10">
        <v>1446</v>
      </c>
      <c r="D1507" s="2" t="str">
        <f t="shared" si="22"/>
        <v>OK</v>
      </c>
    </row>
    <row r="1508" spans="1:4" x14ac:dyDescent="0.2">
      <c r="A1508" s="5">
        <v>1447</v>
      </c>
      <c r="B1508" s="138">
        <f>'Expenditures 15-22'!K277</f>
        <v>17557</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470989</v>
      </c>
      <c r="C1510" s="2" t="s">
        <v>594</v>
      </c>
      <c r="D1510" s="2" t="str">
        <f t="shared" si="22"/>
        <v>Error?</v>
      </c>
    </row>
    <row r="1511" spans="1:4" x14ac:dyDescent="0.2">
      <c r="A1511" s="5">
        <v>1450</v>
      </c>
      <c r="B1511" s="138">
        <f>'Expenditures 15-22'!K280</f>
        <v>135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671890</v>
      </c>
      <c r="C1517" s="2" t="s">
        <v>594</v>
      </c>
      <c r="D1517" s="2" t="str">
        <f t="shared" si="22"/>
        <v>Error?</v>
      </c>
    </row>
    <row r="1518" spans="1:4" x14ac:dyDescent="0.2">
      <c r="A1518" s="5">
        <v>1457</v>
      </c>
      <c r="B1518" s="138">
        <f>'Expenditures 15-22'!K296</f>
        <v>111159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623049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623049</v>
      </c>
      <c r="C1535" s="2" t="s">
        <v>594</v>
      </c>
      <c r="D1535" s="2" t="str">
        <f t="shared" ref="D1535:D1598" si="23">IF(ISBLANK(B1535),"OK",IF(A1535-B1535=0,"OK","Error?"))</f>
        <v>Error?</v>
      </c>
    </row>
    <row r="1536" spans="1:4" x14ac:dyDescent="0.2">
      <c r="A1536" s="5">
        <v>1475</v>
      </c>
      <c r="B1536" s="138">
        <f>'Expenditures 15-22'!E312</f>
        <v>623049</v>
      </c>
      <c r="C1536" s="2" t="s">
        <v>594</v>
      </c>
      <c r="D1536" s="2" t="str">
        <f t="shared" si="23"/>
        <v>Error?</v>
      </c>
    </row>
    <row r="1537" spans="1:4" x14ac:dyDescent="0.2">
      <c r="A1537" s="5">
        <v>1476</v>
      </c>
      <c r="B1537" s="138">
        <f>'Expenditures 15-22'!F301</f>
        <v>36</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36</v>
      </c>
      <c r="C1541" s="2" t="s">
        <v>594</v>
      </c>
      <c r="D1541" s="2" t="str">
        <f t="shared" si="23"/>
        <v>Error?</v>
      </c>
    </row>
    <row r="1542" spans="1:4" x14ac:dyDescent="0.2">
      <c r="A1542" s="5">
        <v>1481</v>
      </c>
      <c r="B1542" s="138">
        <f>'Expenditures 15-22'!F312</f>
        <v>36</v>
      </c>
      <c r="C1542" s="2" t="s">
        <v>594</v>
      </c>
      <c r="D1542" s="2" t="str">
        <f t="shared" si="23"/>
        <v>Error?</v>
      </c>
    </row>
    <row r="1543" spans="1:4" x14ac:dyDescent="0.2">
      <c r="A1543" s="5">
        <v>1482</v>
      </c>
      <c r="B1543" s="138">
        <f>'Expenditures 15-22'!G301</f>
        <v>1621514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1621514</v>
      </c>
      <c r="C1547" s="2" t="s">
        <v>594</v>
      </c>
      <c r="D1547" s="2" t="str">
        <f t="shared" si="23"/>
        <v>Error?</v>
      </c>
    </row>
    <row r="1548" spans="1:4" x14ac:dyDescent="0.2">
      <c r="A1548" s="5">
        <v>1487</v>
      </c>
      <c r="B1548" s="138">
        <f>'Expenditures 15-22'!G312</f>
        <v>1621514</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2244599</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2244599</v>
      </c>
      <c r="C1559" s="2" t="s">
        <v>594</v>
      </c>
      <c r="D1559" s="2" t="str">
        <f t="shared" si="23"/>
        <v>Error?</v>
      </c>
    </row>
    <row r="1560" spans="1:4" x14ac:dyDescent="0.2">
      <c r="A1560" s="5">
        <v>1499</v>
      </c>
      <c r="B1560" s="138">
        <f>'Expenditures 15-22'!K312</f>
        <v>2244599</v>
      </c>
      <c r="C1560" s="2" t="s">
        <v>594</v>
      </c>
      <c r="D1560" s="2" t="str">
        <f t="shared" si="23"/>
        <v>Error?</v>
      </c>
    </row>
    <row r="1561" spans="1:4" x14ac:dyDescent="0.2">
      <c r="A1561" s="5">
        <v>1500</v>
      </c>
      <c r="B1561" s="138">
        <f>'Expenditures 15-22'!K313</f>
        <v>-1481958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4038291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5597257</v>
      </c>
      <c r="C1630" s="2" t="s">
        <v>594</v>
      </c>
      <c r="D1630" s="2" t="str">
        <f t="shared" si="24"/>
        <v>Error?</v>
      </c>
    </row>
    <row r="1631" spans="1:4" x14ac:dyDescent="0.2">
      <c r="A1631" s="5">
        <v>1570</v>
      </c>
      <c r="B1631" s="138">
        <f>'Acct Summary 7-8'!D79</f>
        <v>3418738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3756502</v>
      </c>
      <c r="C1644" s="2" t="s">
        <v>594</v>
      </c>
      <c r="D1644" s="2" t="str">
        <f t="shared" si="24"/>
        <v>Error?</v>
      </c>
    </row>
    <row r="1645" spans="1:4" x14ac:dyDescent="0.2">
      <c r="A1645" s="5">
        <v>1584</v>
      </c>
      <c r="B1645" s="138">
        <f>'Acct Summary 7-8'!E79</f>
        <v>475289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483121</v>
      </c>
      <c r="C1658" s="2" t="s">
        <v>594</v>
      </c>
      <c r="D1658" s="2" t="str">
        <f t="shared" si="24"/>
        <v>Error?</v>
      </c>
    </row>
    <row r="1659" spans="1:4" x14ac:dyDescent="0.2">
      <c r="A1659" s="5">
        <v>1598</v>
      </c>
      <c r="B1659" s="138">
        <f>'Acct Summary 7-8'!F79</f>
        <v>1901508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1947727</v>
      </c>
      <c r="C1672" s="2" t="s">
        <v>594</v>
      </c>
      <c r="D1672" s="2" t="str">
        <f t="shared" si="25"/>
        <v>Error?</v>
      </c>
    </row>
    <row r="1673" spans="1:4" x14ac:dyDescent="0.2">
      <c r="A1673" s="5">
        <v>1612</v>
      </c>
      <c r="B1673" s="138">
        <f>'Acct Summary 7-8'!G79</f>
        <v>1326632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1437791</v>
      </c>
      <c r="C1686" s="2" t="s">
        <v>594</v>
      </c>
      <c r="D1686" s="2" t="str">
        <f t="shared" si="25"/>
        <v>Error?</v>
      </c>
    </row>
    <row r="1687" spans="1:4" x14ac:dyDescent="0.2">
      <c r="A1687" s="5">
        <v>1626</v>
      </c>
      <c r="B1687" s="138">
        <f>'Acct Summary 7-8'!H79</f>
        <v>1887266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405308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4865470</v>
      </c>
      <c r="C1744" s="2" t="s">
        <v>594</v>
      </c>
      <c r="D1744" s="2" t="str">
        <f t="shared" si="26"/>
        <v>Error?</v>
      </c>
    </row>
    <row r="1745" spans="1:5" x14ac:dyDescent="0.2">
      <c r="A1745" s="5">
        <v>1684</v>
      </c>
      <c r="B1745" s="138">
        <f>'Tax Sched 23'!B5</f>
        <v>1322139</v>
      </c>
      <c r="C1745" s="2" t="s">
        <v>594</v>
      </c>
      <c r="D1745" s="2" t="str">
        <f t="shared" si="26"/>
        <v>Error?</v>
      </c>
    </row>
    <row r="1746" spans="1:5" x14ac:dyDescent="0.2">
      <c r="A1746" s="5">
        <v>1685</v>
      </c>
      <c r="B1746" s="138">
        <f>'Tax Sched 23'!B6</f>
        <v>1034477</v>
      </c>
      <c r="C1746" s="2" t="s">
        <v>594</v>
      </c>
      <c r="D1746" s="2" t="str">
        <f t="shared" si="26"/>
        <v>Error?</v>
      </c>
    </row>
    <row r="1747" spans="1:5" x14ac:dyDescent="0.2">
      <c r="A1747" s="5">
        <v>1686</v>
      </c>
      <c r="B1747" s="138">
        <f>'Tax Sched 23'!B7</f>
        <v>634626</v>
      </c>
      <c r="C1747" s="2" t="s">
        <v>594</v>
      </c>
      <c r="D1747" s="2" t="str">
        <f t="shared" si="26"/>
        <v>Error?</v>
      </c>
    </row>
    <row r="1748" spans="1:5" x14ac:dyDescent="0.2">
      <c r="A1748" s="5">
        <v>1687</v>
      </c>
      <c r="B1748" s="138">
        <f>'Tax Sched 23'!B8</f>
        <v>94943</v>
      </c>
      <c r="C1748" s="2" t="s">
        <v>594</v>
      </c>
      <c r="D1748" s="2" t="str">
        <f t="shared" si="26"/>
        <v>Error?</v>
      </c>
    </row>
    <row r="1749" spans="1:5" x14ac:dyDescent="0.2">
      <c r="A1749" s="5">
        <v>1688</v>
      </c>
      <c r="B1749" s="138">
        <f>'Tax Sched 23'!B10</f>
        <v>264428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588498</v>
      </c>
      <c r="C1752" s="2" t="s">
        <v>594</v>
      </c>
      <c r="D1752" s="2" t="str">
        <f t="shared" si="26"/>
        <v>Error?</v>
      </c>
    </row>
    <row r="1753" spans="1:5" x14ac:dyDescent="0.2">
      <c r="A1753" s="5">
        <v>1692</v>
      </c>
      <c r="B1753" s="138">
        <f>'Tax Sched 23'!B12</f>
        <v>264428</v>
      </c>
      <c r="C1753" s="2" t="s">
        <v>594</v>
      </c>
      <c r="D1753" s="2" t="str">
        <f t="shared" si="26"/>
        <v>Error?</v>
      </c>
    </row>
    <row r="1754" spans="1:5" x14ac:dyDescent="0.2">
      <c r="A1754" s="5">
        <v>1693</v>
      </c>
      <c r="B1754" s="138">
        <f>'Tax Sched 23'!B14</f>
        <v>105771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9965297</v>
      </c>
      <c r="C1759" s="2" t="s">
        <v>594</v>
      </c>
      <c r="D1759" s="2" t="str">
        <f t="shared" si="26"/>
        <v>Error?</v>
      </c>
    </row>
    <row r="1760" spans="1:5" x14ac:dyDescent="0.2">
      <c r="A1760" s="5">
        <v>1699</v>
      </c>
      <c r="B1760" s="138">
        <f>'Tax Sched 23'!D4</f>
        <v>3176769</v>
      </c>
      <c r="C1760" s="2" t="s">
        <v>594</v>
      </c>
      <c r="D1760" s="2" t="str">
        <f t="shared" si="26"/>
        <v>Error?</v>
      </c>
    </row>
    <row r="1761" spans="1:5" x14ac:dyDescent="0.2">
      <c r="A1761" s="5">
        <v>1700</v>
      </c>
      <c r="B1761" s="138">
        <f>'Tax Sched 23'!D5</f>
        <v>863253</v>
      </c>
      <c r="C1761" s="2" t="s">
        <v>594</v>
      </c>
      <c r="D1761" s="2" t="str">
        <f t="shared" si="26"/>
        <v>Error?</v>
      </c>
    </row>
    <row r="1762" spans="1:5" s="8" customFormat="1" x14ac:dyDescent="0.2">
      <c r="A1762" s="5">
        <v>1701</v>
      </c>
      <c r="B1762" s="138">
        <f>'Tax Sched 23'!D6</f>
        <v>686458</v>
      </c>
      <c r="C1762" s="2" t="s">
        <v>594</v>
      </c>
      <c r="D1762" s="2" t="str">
        <f t="shared" si="26"/>
        <v>Error?</v>
      </c>
      <c r="E1762" s="9"/>
    </row>
    <row r="1763" spans="1:5" x14ac:dyDescent="0.2">
      <c r="A1763" s="5">
        <v>1702</v>
      </c>
      <c r="B1763" s="138">
        <f>'Tax Sched 23'!D7</f>
        <v>414361</v>
      </c>
      <c r="C1763" s="2" t="s">
        <v>594</v>
      </c>
      <c r="D1763" s="2" t="str">
        <f t="shared" si="26"/>
        <v>Error?</v>
      </c>
    </row>
    <row r="1764" spans="1:5" x14ac:dyDescent="0.2">
      <c r="A1764" s="5">
        <v>1703</v>
      </c>
      <c r="B1764" s="138">
        <f>'Tax Sched 23'!D8</f>
        <v>83563</v>
      </c>
      <c r="C1764" s="2" t="s">
        <v>594</v>
      </c>
      <c r="D1764" s="2" t="str">
        <f t="shared" si="26"/>
        <v>Error?</v>
      </c>
    </row>
    <row r="1765" spans="1:5" x14ac:dyDescent="0.2">
      <c r="A1765" s="5">
        <v>1704</v>
      </c>
      <c r="B1765" s="138">
        <f>'Tax Sched 23'!D10</f>
        <v>172651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383284</v>
      </c>
      <c r="C1768" s="2" t="s">
        <v>594</v>
      </c>
      <c r="D1768" s="2" t="str">
        <f t="shared" si="26"/>
        <v>Error?</v>
      </c>
    </row>
    <row r="1769" spans="1:5" x14ac:dyDescent="0.2">
      <c r="A1769" s="5">
        <v>1708</v>
      </c>
      <c r="B1769" s="138">
        <f>'Tax Sched 23'!D12</f>
        <v>172651</v>
      </c>
      <c r="C1769" s="2" t="s">
        <v>594</v>
      </c>
      <c r="D1769" s="2" t="str">
        <f t="shared" si="26"/>
        <v>Error?</v>
      </c>
    </row>
    <row r="1770" spans="1:5" x14ac:dyDescent="0.2">
      <c r="A1770" s="5">
        <v>1709</v>
      </c>
      <c r="B1770" s="138">
        <f>'Tax Sched 23'!D14</f>
        <v>69060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6508234</v>
      </c>
      <c r="C1775" s="2" t="s">
        <v>594</v>
      </c>
      <c r="D1775" s="2" t="str">
        <f t="shared" si="26"/>
        <v>Error?</v>
      </c>
    </row>
    <row r="1776" spans="1:5" x14ac:dyDescent="0.2">
      <c r="A1776" s="5">
        <v>1715</v>
      </c>
      <c r="B1776" s="138">
        <f>'Tax Sched 23'!C4</f>
        <v>1688701</v>
      </c>
      <c r="D1776" s="2" t="str">
        <f t="shared" si="26"/>
        <v>Error?</v>
      </c>
    </row>
    <row r="1777" spans="1:4" x14ac:dyDescent="0.2">
      <c r="A1777" s="5">
        <v>1716</v>
      </c>
      <c r="B1777" s="138">
        <f>'Tax Sched 23'!C5</f>
        <v>458886</v>
      </c>
      <c r="D1777" s="2" t="str">
        <f t="shared" si="26"/>
        <v>Error?</v>
      </c>
    </row>
    <row r="1778" spans="1:4" x14ac:dyDescent="0.2">
      <c r="A1778" s="5">
        <v>1717</v>
      </c>
      <c r="B1778" s="138">
        <f>'Tax Sched 23'!C6</f>
        <v>348019</v>
      </c>
      <c r="D1778" s="2" t="str">
        <f t="shared" si="26"/>
        <v>Error?</v>
      </c>
    </row>
    <row r="1779" spans="1:4" x14ac:dyDescent="0.2">
      <c r="A1779" s="5">
        <v>1718</v>
      </c>
      <c r="B1779" s="138">
        <f>'Tax Sched 23'!C7</f>
        <v>220265</v>
      </c>
      <c r="D1779" s="2" t="str">
        <f t="shared" si="26"/>
        <v>Error?</v>
      </c>
    </row>
    <row r="1780" spans="1:4" x14ac:dyDescent="0.2">
      <c r="A1780" s="5">
        <v>1719</v>
      </c>
      <c r="B1780" s="138">
        <f>'Tax Sched 23'!C8</f>
        <v>11380</v>
      </c>
      <c r="D1780" s="2" t="str">
        <f t="shared" si="26"/>
        <v>Error?</v>
      </c>
    </row>
    <row r="1781" spans="1:4" x14ac:dyDescent="0.2">
      <c r="A1781" s="5">
        <v>1720</v>
      </c>
      <c r="B1781" s="138">
        <f>'Tax Sched 23'!C10</f>
        <v>91777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205214</v>
      </c>
      <c r="D1784" s="2" t="str">
        <f t="shared" si="26"/>
        <v>Error?</v>
      </c>
    </row>
    <row r="1785" spans="1:4" x14ac:dyDescent="0.2">
      <c r="A1785" s="5">
        <v>1724</v>
      </c>
      <c r="B1785" s="138">
        <f>'Tax Sched 23'!C12</f>
        <v>91777</v>
      </c>
      <c r="D1785" s="2" t="str">
        <f t="shared" si="26"/>
        <v>Error?</v>
      </c>
    </row>
    <row r="1786" spans="1:4" x14ac:dyDescent="0.2">
      <c r="A1786" s="5">
        <v>1725</v>
      </c>
      <c r="B1786" s="138">
        <f>'Tax Sched 23'!C14</f>
        <v>36711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3457063</v>
      </c>
      <c r="C1791" s="2" t="s">
        <v>594</v>
      </c>
      <c r="D1791" s="2" t="str">
        <f t="shared" ref="D1791:D1854" si="27">IF(ISBLANK(B1791),"OK",IF(A1791-B1791=0,"OK","Error?"))</f>
        <v>Error?</v>
      </c>
    </row>
    <row r="1792" spans="1:4" x14ac:dyDescent="0.2">
      <c r="A1792" s="5">
        <v>1731</v>
      </c>
      <c r="B1792" s="138">
        <f>'Tax Sched 23'!F4</f>
        <v>3202799</v>
      </c>
      <c r="C1792" s="2" t="s">
        <v>594</v>
      </c>
      <c r="D1792" s="2" t="str">
        <f t="shared" si="27"/>
        <v>Error?</v>
      </c>
    </row>
    <row r="1793" spans="1:4" x14ac:dyDescent="0.2">
      <c r="A1793" s="5">
        <v>1732</v>
      </c>
      <c r="B1793" s="138">
        <f>'Tax Sched 23'!F5</f>
        <v>870326</v>
      </c>
      <c r="C1793" s="2" t="s">
        <v>594</v>
      </c>
      <c r="D1793" s="2" t="str">
        <f t="shared" si="27"/>
        <v>Error?</v>
      </c>
    </row>
    <row r="1794" spans="1:4" x14ac:dyDescent="0.2">
      <c r="A1794" s="5">
        <v>1733</v>
      </c>
      <c r="B1794" s="138">
        <f>'Tax Sched 23'!F6</f>
        <v>660055</v>
      </c>
      <c r="C1794" s="2" t="s">
        <v>594</v>
      </c>
      <c r="D1794" s="2" t="str">
        <f t="shared" si="27"/>
        <v>Error?</v>
      </c>
    </row>
    <row r="1795" spans="1:4" x14ac:dyDescent="0.2">
      <c r="A1795" s="5">
        <v>1734</v>
      </c>
      <c r="B1795" s="138">
        <f>'Tax Sched 23'!F7</f>
        <v>417757</v>
      </c>
      <c r="C1795" s="2" t="s">
        <v>594</v>
      </c>
      <c r="D1795" s="2" t="str">
        <f t="shared" si="27"/>
        <v>Error?</v>
      </c>
    </row>
    <row r="1796" spans="1:4" x14ac:dyDescent="0.2">
      <c r="A1796" s="5">
        <v>1735</v>
      </c>
      <c r="B1796" s="138">
        <f>'Tax Sched 23'!F8</f>
        <v>21585</v>
      </c>
      <c r="C1796" s="2" t="s">
        <v>594</v>
      </c>
      <c r="D1796" s="2" t="str">
        <f t="shared" si="27"/>
        <v>Error?</v>
      </c>
    </row>
    <row r="1797" spans="1:4" x14ac:dyDescent="0.2">
      <c r="A1797" s="5">
        <v>1736</v>
      </c>
      <c r="B1797" s="138">
        <f>'Tax Sched 23'!F10</f>
        <v>174065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389210</v>
      </c>
      <c r="C1800" s="2" t="s">
        <v>594</v>
      </c>
      <c r="D1800" s="2" t="str">
        <f t="shared" si="27"/>
        <v>Error?</v>
      </c>
    </row>
    <row r="1801" spans="1:4" x14ac:dyDescent="0.2">
      <c r="A1801" s="5">
        <v>1740</v>
      </c>
      <c r="B1801" s="138">
        <f>'Tax Sched 23'!F12</f>
        <v>174065</v>
      </c>
      <c r="C1801" s="2" t="s">
        <v>594</v>
      </c>
      <c r="D1801" s="2" t="str">
        <f t="shared" si="27"/>
        <v>Error?</v>
      </c>
    </row>
    <row r="1802" spans="1:4" x14ac:dyDescent="0.2">
      <c r="A1802" s="5">
        <v>1741</v>
      </c>
      <c r="B1802" s="138">
        <f>'Tax Sched 23'!F14</f>
        <v>69626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6556688</v>
      </c>
      <c r="C1807" s="2" t="s">
        <v>594</v>
      </c>
      <c r="D1807" s="2" t="str">
        <f t="shared" si="27"/>
        <v>Error?</v>
      </c>
    </row>
    <row r="1808" spans="1:4" x14ac:dyDescent="0.2">
      <c r="A1808" s="5">
        <v>1747</v>
      </c>
      <c r="B1808" s="138">
        <f>'Tax Sched 23'!E4</f>
        <v>4891500</v>
      </c>
      <c r="D1808" s="2" t="str">
        <f t="shared" si="27"/>
        <v>Error?</v>
      </c>
    </row>
    <row r="1809" spans="1:4" x14ac:dyDescent="0.2">
      <c r="A1809" s="5">
        <v>1748</v>
      </c>
      <c r="B1809" s="138">
        <f>'Tax Sched 23'!E5</f>
        <v>1329212</v>
      </c>
      <c r="D1809" s="2" t="str">
        <f t="shared" si="27"/>
        <v>Error?</v>
      </c>
    </row>
    <row r="1810" spans="1:4" x14ac:dyDescent="0.2">
      <c r="A1810" s="5">
        <v>1749</v>
      </c>
      <c r="B1810" s="138">
        <f>'Tax Sched 23'!E6</f>
        <v>1008074</v>
      </c>
      <c r="D1810" s="2" t="str">
        <f t="shared" si="27"/>
        <v>Error?</v>
      </c>
    </row>
    <row r="1811" spans="1:4" x14ac:dyDescent="0.2">
      <c r="A1811" s="5">
        <v>1750</v>
      </c>
      <c r="B1811" s="138">
        <f>'Tax Sched 23'!E7</f>
        <v>638022</v>
      </c>
      <c r="D1811" s="2" t="str">
        <f t="shared" si="27"/>
        <v>Error?</v>
      </c>
    </row>
    <row r="1812" spans="1:4" x14ac:dyDescent="0.2">
      <c r="A1812" s="5">
        <v>1751</v>
      </c>
      <c r="B1812" s="138">
        <f>'Tax Sched 23'!E8</f>
        <v>32965</v>
      </c>
      <c r="D1812" s="2" t="str">
        <f t="shared" si="27"/>
        <v>Error?</v>
      </c>
    </row>
    <row r="1813" spans="1:4" x14ac:dyDescent="0.2">
      <c r="A1813" s="5">
        <v>1752</v>
      </c>
      <c r="B1813" s="138">
        <f>'Tax Sched 23'!E10</f>
        <v>265842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594424</v>
      </c>
      <c r="D1816" s="2" t="str">
        <f t="shared" si="27"/>
        <v>Error?</v>
      </c>
    </row>
    <row r="1817" spans="1:4" x14ac:dyDescent="0.2">
      <c r="A1817" s="5">
        <v>1756</v>
      </c>
      <c r="B1817" s="138">
        <f>'Tax Sched 23'!E12</f>
        <v>265842</v>
      </c>
      <c r="D1817" s="2" t="str">
        <f t="shared" si="27"/>
        <v>Error?</v>
      </c>
    </row>
    <row r="1818" spans="1:4" x14ac:dyDescent="0.2">
      <c r="A1818" s="5">
        <v>1757</v>
      </c>
      <c r="B1818" s="138">
        <f>'Tax Sched 23'!E14</f>
        <v>106337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10013751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2010000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105771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105771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105771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593816</v>
      </c>
      <c r="D2008" s="2" t="str">
        <f t="shared" si="30"/>
        <v>Error?</v>
      </c>
    </row>
    <row r="2009" spans="1:4" x14ac:dyDescent="0.2">
      <c r="A2009" s="5">
        <v>1948</v>
      </c>
      <c r="B2009" s="138">
        <f>'Cap Outlay Deprec 26'!C8</f>
        <v>30139800</v>
      </c>
      <c r="D2009" s="2" t="str">
        <f t="shared" si="30"/>
        <v>Error?</v>
      </c>
    </row>
    <row r="2010" spans="1:4" x14ac:dyDescent="0.2">
      <c r="A2010" s="5">
        <v>1949</v>
      </c>
      <c r="B2010" s="138">
        <f>'Cap Outlay Deprec 26'!C10</f>
        <v>6426963</v>
      </c>
      <c r="D2010" s="2" t="str">
        <f t="shared" si="30"/>
        <v>Error?</v>
      </c>
    </row>
    <row r="2011" spans="1:4" x14ac:dyDescent="0.2">
      <c r="A2011" s="5">
        <v>1950</v>
      </c>
      <c r="B2011" s="138">
        <f>'Cap Outlay Deprec 26'!C12</f>
        <v>2595646</v>
      </c>
      <c r="D2011" s="2" t="str">
        <f t="shared" si="30"/>
        <v>Error?</v>
      </c>
    </row>
    <row r="2012" spans="1:4" x14ac:dyDescent="0.2">
      <c r="A2012" s="5">
        <v>1951</v>
      </c>
      <c r="B2012" s="138">
        <f>'Cap Outlay Deprec 26'!C13</f>
        <v>1116977</v>
      </c>
      <c r="D2012" s="2" t="str">
        <f t="shared" si="30"/>
        <v>Error?</v>
      </c>
    </row>
    <row r="2013" spans="1:4" x14ac:dyDescent="0.2">
      <c r="A2013" s="5">
        <v>1952</v>
      </c>
      <c r="B2013" s="138">
        <f>'Cap Outlay Deprec 26'!C16</f>
        <v>41085038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2208201</v>
      </c>
      <c r="D2016" s="2" t="str">
        <f t="shared" si="30"/>
        <v>Error?</v>
      </c>
    </row>
    <row r="2017" spans="1:4" x14ac:dyDescent="0.2">
      <c r="A2017" s="5">
        <v>1956</v>
      </c>
      <c r="B2017" s="138">
        <f>'Cap Outlay Deprec 26'!D12</f>
        <v>73797</v>
      </c>
      <c r="D2017" s="2" t="str">
        <f t="shared" si="30"/>
        <v>Error?</v>
      </c>
    </row>
    <row r="2018" spans="1:4" x14ac:dyDescent="0.2">
      <c r="A2018" s="5">
        <v>1957</v>
      </c>
      <c r="B2018" s="138">
        <f>'Cap Outlay Deprec 26'!D13</f>
        <v>324718</v>
      </c>
      <c r="D2018" s="2" t="str">
        <f t="shared" si="30"/>
        <v>Error?</v>
      </c>
    </row>
    <row r="2019" spans="1:4" x14ac:dyDescent="0.2">
      <c r="A2019" s="5">
        <v>1958</v>
      </c>
      <c r="B2019" s="138">
        <f>'Cap Outlay Deprec 26'!D16</f>
        <v>5371570</v>
      </c>
      <c r="C2019" s="2" t="s">
        <v>594</v>
      </c>
      <c r="D2019" s="2" t="str">
        <f t="shared" si="30"/>
        <v>Error?</v>
      </c>
    </row>
    <row r="2020" spans="1:4" x14ac:dyDescent="0.2">
      <c r="A2020" s="5">
        <v>1959</v>
      </c>
      <c r="B2020" s="138">
        <f>'Cap Outlay Deprec 26'!E5</f>
        <v>30000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7794</v>
      </c>
      <c r="D2023" s="2" t="str">
        <f t="shared" si="30"/>
        <v>Error?</v>
      </c>
    </row>
    <row r="2024" spans="1:4" x14ac:dyDescent="0.2">
      <c r="A2024" s="5">
        <v>1963</v>
      </c>
      <c r="B2024" s="138">
        <f>'Cap Outlay Deprec 26'!E13</f>
        <v>101648</v>
      </c>
      <c r="D2024" s="2" t="str">
        <f t="shared" si="30"/>
        <v>Error?</v>
      </c>
    </row>
    <row r="2025" spans="1:4" x14ac:dyDescent="0.2">
      <c r="A2025" s="5">
        <v>1964</v>
      </c>
      <c r="B2025" s="138">
        <f>'Cap Outlay Deprec 26'!E16</f>
        <v>2333393</v>
      </c>
      <c r="C2025" s="2" t="s">
        <v>594</v>
      </c>
      <c r="D2025" s="2" t="str">
        <f t="shared" si="30"/>
        <v>Error?</v>
      </c>
    </row>
    <row r="2026" spans="1:4" x14ac:dyDescent="0.2">
      <c r="A2026" s="5">
        <v>1965</v>
      </c>
      <c r="B2026" s="138">
        <f>'Cap Outlay Deprec 26'!F5</f>
        <v>563816</v>
      </c>
      <c r="C2026" s="2" t="s">
        <v>594</v>
      </c>
      <c r="D2026" s="2" t="str">
        <f t="shared" si="30"/>
        <v>Error?</v>
      </c>
    </row>
    <row r="2027" spans="1:4" x14ac:dyDescent="0.2">
      <c r="A2027" s="5">
        <v>1966</v>
      </c>
      <c r="B2027" s="138">
        <f>'Cap Outlay Deprec 26'!F8</f>
        <v>30139800</v>
      </c>
      <c r="C2027" s="2" t="s">
        <v>594</v>
      </c>
      <c r="D2027" s="2" t="str">
        <f t="shared" si="30"/>
        <v>Error?</v>
      </c>
    </row>
    <row r="2028" spans="1:4" x14ac:dyDescent="0.2">
      <c r="A2028" s="5">
        <v>1967</v>
      </c>
      <c r="B2028" s="138">
        <f>'Cap Outlay Deprec 26'!F10</f>
        <v>8635164</v>
      </c>
      <c r="C2028" s="2" t="s">
        <v>594</v>
      </c>
      <c r="D2028" s="2" t="str">
        <f t="shared" si="30"/>
        <v>Error?</v>
      </c>
    </row>
    <row r="2029" spans="1:4" x14ac:dyDescent="0.2">
      <c r="A2029" s="5">
        <v>1968</v>
      </c>
      <c r="B2029" s="138">
        <f>'Cap Outlay Deprec 26'!F12</f>
        <v>2661649</v>
      </c>
      <c r="C2029" s="2" t="s">
        <v>594</v>
      </c>
      <c r="D2029" s="2" t="str">
        <f t="shared" si="30"/>
        <v>Error?</v>
      </c>
    </row>
    <row r="2030" spans="1:4" x14ac:dyDescent="0.2">
      <c r="A2030" s="5">
        <v>1969</v>
      </c>
      <c r="B2030" s="138">
        <f>'Cap Outlay Deprec 26'!F13</f>
        <v>1340047</v>
      </c>
      <c r="C2030" s="2" t="s">
        <v>594</v>
      </c>
      <c r="D2030" s="2" t="str">
        <f t="shared" si="30"/>
        <v>Error?</v>
      </c>
    </row>
    <row r="2031" spans="1:4" x14ac:dyDescent="0.2">
      <c r="A2031" s="5">
        <v>1970</v>
      </c>
      <c r="B2031" s="138">
        <f>'Cap Outlay Deprec 26'!F16</f>
        <v>44123215</v>
      </c>
      <c r="C2031" s="2" t="s">
        <v>594</v>
      </c>
      <c r="D2031" s="2" t="str">
        <f t="shared" si="30"/>
        <v>Error?</v>
      </c>
    </row>
    <row r="2032" spans="1:4" x14ac:dyDescent="0.2">
      <c r="A2032" s="10">
        <v>1971</v>
      </c>
      <c r="D2032" s="2" t="str">
        <f t="shared" si="30"/>
        <v>OK</v>
      </c>
    </row>
    <row r="2033" spans="1:4" x14ac:dyDescent="0.2">
      <c r="A2033" s="5">
        <v>1972</v>
      </c>
      <c r="B2033" s="138">
        <f>'Cap Outlay Deprec 26'!H8</f>
        <v>16953798</v>
      </c>
      <c r="D2033" s="2" t="str">
        <f t="shared" si="30"/>
        <v>Error?</v>
      </c>
    </row>
    <row r="2034" spans="1:4" x14ac:dyDescent="0.2">
      <c r="A2034" s="5">
        <v>1973</v>
      </c>
      <c r="B2034" s="138">
        <f>'Cap Outlay Deprec 26'!H10</f>
        <v>2353862</v>
      </c>
      <c r="D2034" s="2" t="str">
        <f t="shared" si="30"/>
        <v>Error?</v>
      </c>
    </row>
    <row r="2035" spans="1:4" x14ac:dyDescent="0.2">
      <c r="A2035" s="5">
        <v>1974</v>
      </c>
      <c r="B2035" s="138">
        <f>'Cap Outlay Deprec 26'!H12</f>
        <v>1905367</v>
      </c>
      <c r="D2035" s="2" t="str">
        <f t="shared" si="30"/>
        <v>Error?</v>
      </c>
    </row>
    <row r="2036" spans="1:4" x14ac:dyDescent="0.2">
      <c r="A2036" s="5">
        <v>1975</v>
      </c>
      <c r="B2036" s="138">
        <f>'Cap Outlay Deprec 26'!H13</f>
        <v>890436</v>
      </c>
      <c r="D2036" s="2" t="str">
        <f t="shared" si="30"/>
        <v>Error?</v>
      </c>
    </row>
    <row r="2037" spans="1:4" x14ac:dyDescent="0.2">
      <c r="A2037" s="5">
        <v>1976</v>
      </c>
      <c r="B2037" s="138">
        <f>'Cap Outlay Deprec 26'!H16</f>
        <v>22110440</v>
      </c>
      <c r="C2037" s="2" t="s">
        <v>594</v>
      </c>
      <c r="D2037" s="2" t="str">
        <f t="shared" si="30"/>
        <v>Error?</v>
      </c>
    </row>
    <row r="2038" spans="1:4" x14ac:dyDescent="0.2">
      <c r="A2038" s="10">
        <v>1977</v>
      </c>
      <c r="D2038" s="2" t="str">
        <f t="shared" si="30"/>
        <v>OK</v>
      </c>
    </row>
    <row r="2039" spans="1:4" x14ac:dyDescent="0.2">
      <c r="A2039" s="5">
        <v>1978</v>
      </c>
      <c r="B2039" s="138">
        <f>'Cap Outlay Deprec 26'!I8</f>
        <v>467740</v>
      </c>
      <c r="D2039" s="2" t="str">
        <f t="shared" si="30"/>
        <v>Error?</v>
      </c>
    </row>
    <row r="2040" spans="1:4" x14ac:dyDescent="0.2">
      <c r="A2040" s="5">
        <v>1979</v>
      </c>
      <c r="B2040" s="138">
        <f>'Cap Outlay Deprec 26'!I10</f>
        <v>396473</v>
      </c>
      <c r="D2040" s="2" t="str">
        <f t="shared" si="30"/>
        <v>Error?</v>
      </c>
    </row>
    <row r="2041" spans="1:4" x14ac:dyDescent="0.2">
      <c r="A2041" s="5">
        <v>1980</v>
      </c>
      <c r="B2041" s="138">
        <f>'Cap Outlay Deprec 26'!I12</f>
        <v>194258</v>
      </c>
      <c r="D2041" s="2" t="str">
        <f t="shared" si="30"/>
        <v>Error?</v>
      </c>
    </row>
    <row r="2042" spans="1:4" x14ac:dyDescent="0.2">
      <c r="A2042" s="5">
        <v>1981</v>
      </c>
      <c r="B2042" s="138">
        <f>'Cap Outlay Deprec 26'!I13</f>
        <v>159861</v>
      </c>
      <c r="D2042" s="2" t="str">
        <f t="shared" si="30"/>
        <v>Error?</v>
      </c>
    </row>
    <row r="2043" spans="1:4" x14ac:dyDescent="0.2">
      <c r="A2043" s="5">
        <v>1982</v>
      </c>
      <c r="B2043" s="138">
        <f>'Cap Outlay Deprec 26'!I16</f>
        <v>1220811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7794</v>
      </c>
      <c r="D2047" s="2" t="str">
        <f t="shared" ref="D2047:D2110" si="31">IF(ISBLANK(B2047),"OK",IF(A2047-B2047=0,"OK","Error?"))</f>
        <v>Error?</v>
      </c>
    </row>
    <row r="2048" spans="1:4" x14ac:dyDescent="0.2">
      <c r="A2048" s="5">
        <v>1987</v>
      </c>
      <c r="B2048" s="138">
        <f>'Cap Outlay Deprec 26'!J13</f>
        <v>98929</v>
      </c>
      <c r="D2048" s="2" t="str">
        <f t="shared" si="31"/>
        <v>Error?</v>
      </c>
    </row>
    <row r="2049" spans="1:4" x14ac:dyDescent="0.2">
      <c r="A2049" s="5">
        <v>1988</v>
      </c>
      <c r="B2049" s="138">
        <f>'Cap Outlay Deprec 26'!J16</f>
        <v>106723</v>
      </c>
      <c r="C2049" s="2" t="s">
        <v>594</v>
      </c>
      <c r="D2049" s="2" t="str">
        <f t="shared" si="31"/>
        <v>Error?</v>
      </c>
    </row>
    <row r="2050" spans="1:4" x14ac:dyDescent="0.2">
      <c r="A2050" s="10">
        <v>1989</v>
      </c>
      <c r="D2050" s="2" t="str">
        <f t="shared" si="31"/>
        <v>OK</v>
      </c>
    </row>
    <row r="2051" spans="1:4" x14ac:dyDescent="0.2">
      <c r="A2051" s="5">
        <v>1990</v>
      </c>
      <c r="B2051" s="138">
        <f>'Cap Outlay Deprec 26'!K8</f>
        <v>17421538</v>
      </c>
      <c r="C2051" s="2" t="s">
        <v>594</v>
      </c>
      <c r="D2051" s="2" t="str">
        <f t="shared" si="31"/>
        <v>Error?</v>
      </c>
    </row>
    <row r="2052" spans="1:4" x14ac:dyDescent="0.2">
      <c r="A2052" s="5">
        <v>1991</v>
      </c>
      <c r="B2052" s="138">
        <f>'Cap Outlay Deprec 26'!K10</f>
        <v>2750335</v>
      </c>
      <c r="C2052" s="2" t="s">
        <v>594</v>
      </c>
      <c r="D2052" s="2" t="str">
        <f t="shared" si="31"/>
        <v>Error?</v>
      </c>
    </row>
    <row r="2053" spans="1:4" x14ac:dyDescent="0.2">
      <c r="A2053" s="5">
        <v>1992</v>
      </c>
      <c r="B2053" s="138">
        <f>'Cap Outlay Deprec 26'!K12</f>
        <v>2091831</v>
      </c>
      <c r="C2053" s="2" t="s">
        <v>594</v>
      </c>
      <c r="D2053" s="2" t="str">
        <f t="shared" si="31"/>
        <v>Error?</v>
      </c>
    </row>
    <row r="2054" spans="1:4" x14ac:dyDescent="0.2">
      <c r="A2054" s="5">
        <v>1993</v>
      </c>
      <c r="B2054" s="138">
        <f>'Cap Outlay Deprec 26'!K13</f>
        <v>951368</v>
      </c>
      <c r="C2054" s="2" t="s">
        <v>594</v>
      </c>
      <c r="D2054" s="2" t="str">
        <f t="shared" si="31"/>
        <v>Error?</v>
      </c>
    </row>
    <row r="2055" spans="1:4" x14ac:dyDescent="0.2">
      <c r="A2055" s="5">
        <v>1994</v>
      </c>
      <c r="B2055" s="138">
        <f>'Cap Outlay Deprec 26'!K16</f>
        <v>23224528</v>
      </c>
      <c r="C2055" s="2" t="s">
        <v>594</v>
      </c>
      <c r="D2055" s="2" t="str">
        <f t="shared" si="31"/>
        <v>Error?</v>
      </c>
    </row>
    <row r="2056" spans="1:4" x14ac:dyDescent="0.2">
      <c r="A2056" s="5">
        <v>1995</v>
      </c>
      <c r="B2056" s="138">
        <f>'Cap Outlay Deprec 26'!L5</f>
        <v>563816</v>
      </c>
      <c r="C2056" s="2" t="s">
        <v>594</v>
      </c>
      <c r="D2056" s="2" t="str">
        <f t="shared" si="31"/>
        <v>Error?</v>
      </c>
    </row>
    <row r="2057" spans="1:4" x14ac:dyDescent="0.2">
      <c r="A2057" s="5">
        <v>1996</v>
      </c>
      <c r="B2057" s="138">
        <f>'Cap Outlay Deprec 26'!L8</f>
        <v>12718262</v>
      </c>
      <c r="C2057" s="2" t="s">
        <v>594</v>
      </c>
      <c r="D2057" s="2" t="str">
        <f t="shared" si="31"/>
        <v>Error?</v>
      </c>
    </row>
    <row r="2058" spans="1:4" x14ac:dyDescent="0.2">
      <c r="A2058" s="5">
        <v>1997</v>
      </c>
      <c r="B2058" s="138">
        <f>'Cap Outlay Deprec 26'!L10</f>
        <v>5884829</v>
      </c>
      <c r="C2058" s="2" t="s">
        <v>594</v>
      </c>
      <c r="D2058" s="2" t="str">
        <f t="shared" si="31"/>
        <v>Error?</v>
      </c>
    </row>
    <row r="2059" spans="1:4" x14ac:dyDescent="0.2">
      <c r="A2059" s="5">
        <v>1998</v>
      </c>
      <c r="B2059" s="138">
        <f>'Cap Outlay Deprec 26'!L12</f>
        <v>569818</v>
      </c>
      <c r="C2059" s="2" t="s">
        <v>594</v>
      </c>
      <c r="D2059" s="2" t="str">
        <f t="shared" si="31"/>
        <v>Error?</v>
      </c>
    </row>
    <row r="2060" spans="1:4" x14ac:dyDescent="0.2">
      <c r="A2060" s="5">
        <v>1999</v>
      </c>
      <c r="B2060" s="138">
        <f>'Cap Outlay Deprec 26'!L13</f>
        <v>388679</v>
      </c>
      <c r="C2060" s="2" t="s">
        <v>594</v>
      </c>
      <c r="D2060" s="2" t="str">
        <f t="shared" si="31"/>
        <v>Error?</v>
      </c>
    </row>
    <row r="2061" spans="1:4" x14ac:dyDescent="0.2">
      <c r="A2061" s="5">
        <v>2000</v>
      </c>
      <c r="B2061" s="138">
        <f>'Cap Outlay Deprec 26'!L16</f>
        <v>20898687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191202</v>
      </c>
      <c r="C2088" s="2" t="s">
        <v>594</v>
      </c>
      <c r="D2088" s="2" t="str">
        <f t="shared" si="31"/>
        <v>Error?</v>
      </c>
    </row>
    <row r="2089" spans="1:4" x14ac:dyDescent="0.2">
      <c r="A2089" s="5">
        <v>2028</v>
      </c>
      <c r="B2089" s="138">
        <f>'Expenditures 15-22'!K92</f>
        <v>1170061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1947727</v>
      </c>
      <c r="D2475" s="2" t="str">
        <f t="shared" si="37"/>
        <v>Error?</v>
      </c>
    </row>
    <row r="2476" spans="1:4" x14ac:dyDescent="0.2">
      <c r="A2476" s="10">
        <v>2415</v>
      </c>
      <c r="D2476" s="2" t="str">
        <f t="shared" si="37"/>
        <v>OK</v>
      </c>
    </row>
    <row r="2477" spans="1:4" x14ac:dyDescent="0.2">
      <c r="A2477" s="5">
        <v>2416</v>
      </c>
      <c r="B2477" s="138">
        <f>'Assets-Liab 5-6'!G38</f>
        <v>1437791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483121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405308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7551584</v>
      </c>
      <c r="C2551" s="2" t="s">
        <v>594</v>
      </c>
      <c r="D2551" s="2" t="str">
        <f t="shared" si="38"/>
        <v>Error?</v>
      </c>
    </row>
    <row r="2552" spans="1:4" x14ac:dyDescent="0.2">
      <c r="A2552" s="10">
        <v>2491</v>
      </c>
      <c r="D2552" s="2" t="str">
        <f t="shared" si="38"/>
        <v>OK</v>
      </c>
    </row>
    <row r="2553" spans="1:4" x14ac:dyDescent="0.2">
      <c r="A2553" s="5">
        <v>2492</v>
      </c>
      <c r="B2553" s="138">
        <f>'Acct Summary 7-8'!C6</f>
        <v>5186048</v>
      </c>
      <c r="C2553" s="2" t="s">
        <v>594</v>
      </c>
      <c r="D2553" s="2" t="str">
        <f t="shared" si="38"/>
        <v>Error?</v>
      </c>
    </row>
    <row r="2554" spans="1:4" x14ac:dyDescent="0.2">
      <c r="A2554" s="5">
        <v>2493</v>
      </c>
      <c r="B2554" s="138">
        <f>'Acct Summary 7-8'!C7</f>
        <v>1298538</v>
      </c>
      <c r="C2554" s="2" t="s">
        <v>594</v>
      </c>
      <c r="D2554" s="2" t="str">
        <f t="shared" si="38"/>
        <v>Error?</v>
      </c>
    </row>
    <row r="2555" spans="1:4" x14ac:dyDescent="0.2">
      <c r="A2555" s="5">
        <v>2494</v>
      </c>
      <c r="B2555" s="138">
        <f>'Acct Summary 7-8'!C8</f>
        <v>14036170</v>
      </c>
      <c r="C2555" s="2" t="s">
        <v>594</v>
      </c>
      <c r="D2555" s="2" t="str">
        <f t="shared" si="38"/>
        <v>Error?</v>
      </c>
    </row>
    <row r="2556" spans="1:4" x14ac:dyDescent="0.2">
      <c r="A2556" s="5">
        <v>2495</v>
      </c>
      <c r="B2556" s="138">
        <f>'Acct Summary 7-8'!C12</f>
        <v>8635047</v>
      </c>
      <c r="C2556" s="2" t="s">
        <v>594</v>
      </c>
      <c r="D2556" s="2" t="str">
        <f t="shared" si="38"/>
        <v>Error?</v>
      </c>
    </row>
    <row r="2557" spans="1:4" x14ac:dyDescent="0.2">
      <c r="A2557" s="5">
        <v>2496</v>
      </c>
      <c r="B2557" s="138">
        <f>'Acct Summary 7-8'!C13</f>
        <v>3417605</v>
      </c>
      <c r="C2557" s="2" t="s">
        <v>594</v>
      </c>
      <c r="D2557" s="2" t="str">
        <f t="shared" si="38"/>
        <v>Error?</v>
      </c>
    </row>
    <row r="2558" spans="1:4" x14ac:dyDescent="0.2">
      <c r="A2558" s="5">
        <v>2497</v>
      </c>
      <c r="B2558" s="138">
        <f>'Acct Summary 7-8'!C14</f>
        <v>63289</v>
      </c>
      <c r="C2558" s="2" t="s">
        <v>594</v>
      </c>
      <c r="D2558" s="2" t="str">
        <f t="shared" si="38"/>
        <v>Error?</v>
      </c>
    </row>
    <row r="2559" spans="1:4" x14ac:dyDescent="0.2">
      <c r="A2559" s="5">
        <v>2498</v>
      </c>
      <c r="B2559" s="138">
        <f>'Acct Summary 7-8'!C15</f>
        <v>1361263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13477204</v>
      </c>
      <c r="C2561" s="2" t="s">
        <v>594</v>
      </c>
      <c r="D2561" s="2" t="str">
        <f t="shared" si="39"/>
        <v>Error?</v>
      </c>
    </row>
    <row r="2562" spans="1:4" x14ac:dyDescent="0.2">
      <c r="A2562" s="5">
        <v>2501</v>
      </c>
      <c r="B2562" s="138">
        <f>'Acct Summary 7-8'!C20</f>
        <v>558966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1983552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1983552</v>
      </c>
      <c r="C2568" s="2" t="s">
        <v>594</v>
      </c>
      <c r="D2568" s="2" t="str">
        <f t="shared" si="39"/>
        <v>Error?</v>
      </c>
    </row>
    <row r="2569" spans="1:4" x14ac:dyDescent="0.2">
      <c r="A2569" s="5">
        <v>2508</v>
      </c>
      <c r="B2569" s="138">
        <f>'Acct Summary 7-8'!D13</f>
        <v>1645788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1645788</v>
      </c>
      <c r="C2573" s="2" t="s">
        <v>594</v>
      </c>
      <c r="D2573" s="2" t="str">
        <f t="shared" si="39"/>
        <v>Error?</v>
      </c>
    </row>
    <row r="2574" spans="1:4" x14ac:dyDescent="0.2">
      <c r="A2574" s="5">
        <v>2513</v>
      </c>
      <c r="B2574" s="138">
        <f>'Acct Summary 7-8'!D20</f>
        <v>337764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796576</v>
      </c>
      <c r="C2591" s="2" t="s">
        <v>594</v>
      </c>
      <c r="D2591" s="2" t="str">
        <f t="shared" si="39"/>
        <v>Error?</v>
      </c>
    </row>
    <row r="2592" spans="1:4" x14ac:dyDescent="0.2">
      <c r="A2592" s="10">
        <v>2531</v>
      </c>
      <c r="D2592" s="2" t="str">
        <f t="shared" si="39"/>
        <v>OK</v>
      </c>
    </row>
    <row r="2593" spans="1:4" x14ac:dyDescent="0.2">
      <c r="A2593" s="5">
        <v>2532</v>
      </c>
      <c r="B2593" s="138">
        <f>'Acct Summary 7-8'!F6</f>
        <v>191395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987971</v>
      </c>
      <c r="C2595" s="2" t="s">
        <v>594</v>
      </c>
      <c r="D2595" s="2" t="str">
        <f t="shared" si="39"/>
        <v>Error?</v>
      </c>
    </row>
    <row r="2596" spans="1:4" x14ac:dyDescent="0.2">
      <c r="A2596" s="5">
        <v>2535</v>
      </c>
      <c r="B2596" s="138">
        <f>'Acct Summary 7-8'!F13</f>
        <v>986752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986752</v>
      </c>
      <c r="C2600" s="2" t="s">
        <v>594</v>
      </c>
      <c r="D2600" s="2" t="str">
        <f t="shared" si="39"/>
        <v>Error?</v>
      </c>
    </row>
    <row r="2601" spans="1:4" x14ac:dyDescent="0.2">
      <c r="A2601" s="5">
        <v>2540</v>
      </c>
      <c r="B2601" s="138">
        <f>'Acct Summary 7-8'!F20</f>
        <v>1219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783049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783049</v>
      </c>
      <c r="C2606" s="2" t="s">
        <v>594</v>
      </c>
      <c r="D2606" s="2" t="str">
        <f t="shared" si="39"/>
        <v>Error?</v>
      </c>
    </row>
    <row r="2607" spans="1:4" x14ac:dyDescent="0.2">
      <c r="A2607" s="5">
        <v>2546</v>
      </c>
      <c r="B2607" s="138">
        <f>'Acct Summary 7-8'!G12</f>
        <v>200766</v>
      </c>
      <c r="C2607" s="2" t="s">
        <v>594</v>
      </c>
      <c r="D2607" s="2" t="str">
        <f t="shared" si="39"/>
        <v>Error?</v>
      </c>
    </row>
    <row r="2608" spans="1:4" x14ac:dyDescent="0.2">
      <c r="A2608" s="5">
        <v>2547</v>
      </c>
      <c r="B2608" s="138">
        <f>'Acct Summary 7-8'!G13</f>
        <v>470989</v>
      </c>
      <c r="C2608" s="2" t="s">
        <v>594</v>
      </c>
      <c r="D2608" s="2" t="str">
        <f t="shared" si="39"/>
        <v>Error?</v>
      </c>
    </row>
    <row r="2609" spans="1:4" x14ac:dyDescent="0.2">
      <c r="A2609" s="5">
        <v>2548</v>
      </c>
      <c r="B2609" s="138">
        <f>'Acct Summary 7-8'!G14</f>
        <v>135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671890</v>
      </c>
      <c r="C2612" s="2" t="s">
        <v>594</v>
      </c>
      <c r="D2612" s="2" t="str">
        <f t="shared" si="39"/>
        <v>Error?</v>
      </c>
    </row>
    <row r="2613" spans="1:4" x14ac:dyDescent="0.2">
      <c r="A2613" s="5">
        <v>2552</v>
      </c>
      <c r="B2613" s="138">
        <f>'Acct Summary 7-8'!G20</f>
        <v>111159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1039145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1039145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1031313</v>
      </c>
      <c r="C2634" s="2" t="s">
        <v>594</v>
      </c>
      <c r="D2634" s="2" t="str">
        <f t="shared" si="40"/>
        <v>Error?</v>
      </c>
    </row>
    <row r="2635" spans="1:4" x14ac:dyDescent="0.2">
      <c r="A2635" s="5">
        <v>2574</v>
      </c>
      <c r="B2635" s="138">
        <f>'Acct Summary 7-8'!E17</f>
        <v>1031313</v>
      </c>
      <c r="C2635" s="2" t="s">
        <v>594</v>
      </c>
      <c r="D2635" s="2" t="str">
        <f t="shared" si="40"/>
        <v>Error?</v>
      </c>
    </row>
    <row r="2636" spans="1:4" x14ac:dyDescent="0.2">
      <c r="A2636" s="5">
        <v>2575</v>
      </c>
      <c r="B2636" s="138">
        <f>'Acct Summary 7-8'!E20</f>
        <v>7832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762641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762641</v>
      </c>
      <c r="C2658" s="2" t="s">
        <v>594</v>
      </c>
      <c r="D2658" s="2" t="str">
        <f t="shared" si="40"/>
        <v>Error?</v>
      </c>
    </row>
    <row r="2659" spans="1:4" x14ac:dyDescent="0.2">
      <c r="A2659" s="5">
        <v>2598</v>
      </c>
      <c r="B2659" s="138">
        <f>'Acct Summary 7-8'!H13</f>
        <v>2244599</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2244599</v>
      </c>
      <c r="C2661" s="2" t="s">
        <v>594</v>
      </c>
      <c r="D2661" s="2" t="str">
        <f t="shared" si="40"/>
        <v>Error?</v>
      </c>
    </row>
    <row r="2662" spans="1:4" x14ac:dyDescent="0.2">
      <c r="A2662" s="5">
        <v>2601</v>
      </c>
      <c r="B2662" s="138">
        <f>'Acct Summary 7-8'!H20</f>
        <v>-1481958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191202</v>
      </c>
      <c r="C2789" s="2" t="s">
        <v>594</v>
      </c>
      <c r="D2789" s="2" t="str">
        <f t="shared" si="42"/>
        <v>Error?</v>
      </c>
    </row>
    <row r="2790" spans="1:4" x14ac:dyDescent="0.2">
      <c r="A2790" s="5">
        <v>2729</v>
      </c>
      <c r="B2790" s="138">
        <f>'Expenditures 15-22'!E102</f>
        <v>191202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958497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2297774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23664</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895441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2297774</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2297774</v>
      </c>
      <c r="C2913" s="2" t="s">
        <v>594</v>
      </c>
      <c r="D2913" s="2" t="str">
        <f t="shared" si="44"/>
        <v>Error?</v>
      </c>
    </row>
    <row r="2914" spans="1:4" x14ac:dyDescent="0.2">
      <c r="A2914" s="5">
        <v>2853</v>
      </c>
      <c r="B2914" s="138">
        <f>'Assets-Liab 5-6'!L33</f>
        <v>895441</v>
      </c>
      <c r="D2914" s="2" t="str">
        <f t="shared" si="44"/>
        <v>Error?</v>
      </c>
    </row>
    <row r="2915" spans="1:4" x14ac:dyDescent="0.2">
      <c r="A2915" s="10">
        <v>2854</v>
      </c>
      <c r="D2915" s="2" t="str">
        <f t="shared" si="44"/>
        <v>OK</v>
      </c>
    </row>
    <row r="2916" spans="1:4" x14ac:dyDescent="0.2">
      <c r="A2916" s="5">
        <v>2855</v>
      </c>
      <c r="B2916" s="138">
        <f>'Assets-Liab 5-6'!L34</f>
        <v>895441</v>
      </c>
      <c r="C2916" s="2" t="s">
        <v>594</v>
      </c>
      <c r="D2916" s="2" t="str">
        <f t="shared" si="44"/>
        <v>Error?</v>
      </c>
    </row>
    <row r="2917" spans="1:4" x14ac:dyDescent="0.2">
      <c r="A2917" s="5">
        <v>2856</v>
      </c>
      <c r="B2917" s="138">
        <f>'Assets-Liab 5-6'!L41</f>
        <v>895441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35</v>
      </c>
      <c r="D2949" s="2" t="str">
        <f t="shared" si="45"/>
        <v>Error?</v>
      </c>
    </row>
    <row r="2950" spans="1:4" x14ac:dyDescent="0.2">
      <c r="A2950" s="5">
        <v>2889</v>
      </c>
      <c r="B2950" s="138">
        <f>'Expenditures 15-22'!E79</f>
        <v>191167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35</v>
      </c>
      <c r="C2973" s="2" t="s">
        <v>594</v>
      </c>
      <c r="D2973" s="2" t="str">
        <f t="shared" si="45"/>
        <v>Error?</v>
      </c>
    </row>
    <row r="2974" spans="1:4" x14ac:dyDescent="0.2">
      <c r="A2974" s="5">
        <v>2913</v>
      </c>
      <c r="B2974" s="138">
        <f>'Expenditures 15-22'!K79</f>
        <v>191167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232280</v>
      </c>
      <c r="D3055" s="2" t="str">
        <f t="shared" si="46"/>
        <v>Error?</v>
      </c>
    </row>
    <row r="3056" spans="1:4" x14ac:dyDescent="0.2">
      <c r="A3056" s="5">
        <v>2995</v>
      </c>
      <c r="B3056" s="138">
        <f>'Expenditures 15-22'!D10</f>
        <v>57377</v>
      </c>
      <c r="D3056" s="2" t="str">
        <f t="shared" si="46"/>
        <v>Error?</v>
      </c>
    </row>
    <row r="3057" spans="1:4" x14ac:dyDescent="0.2">
      <c r="A3057" s="5">
        <v>2996</v>
      </c>
      <c r="B3057" s="138">
        <f>'Expenditures 15-22'!E10</f>
        <v>11005</v>
      </c>
      <c r="D3057" s="2" t="str">
        <f t="shared" si="46"/>
        <v>Error?</v>
      </c>
    </row>
    <row r="3058" spans="1:4" x14ac:dyDescent="0.2">
      <c r="A3058" s="5">
        <v>2997</v>
      </c>
      <c r="B3058" s="138">
        <f>'Expenditures 15-22'!F10</f>
        <v>46125</v>
      </c>
      <c r="D3058" s="2" t="str">
        <f t="shared" si="46"/>
        <v>Error?</v>
      </c>
    </row>
    <row r="3059" spans="1:4" x14ac:dyDescent="0.2">
      <c r="A3059" s="5">
        <v>2998</v>
      </c>
      <c r="B3059" s="138">
        <f>'Expenditures 15-22'!G10</f>
        <v>8392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355179</v>
      </c>
      <c r="C3062" s="2" t="s">
        <v>594</v>
      </c>
      <c r="D3062" s="2" t="str">
        <f t="shared" si="46"/>
        <v>Error?</v>
      </c>
    </row>
    <row r="3063" spans="1:4" x14ac:dyDescent="0.2">
      <c r="A3063" s="10">
        <v>3002</v>
      </c>
      <c r="D3063" s="2" t="str">
        <f t="shared" si="46"/>
        <v>OK</v>
      </c>
    </row>
    <row r="3064" spans="1:4" x14ac:dyDescent="0.2">
      <c r="A3064" s="5">
        <v>3003</v>
      </c>
      <c r="B3064" s="138">
        <f>'Expenditures 15-22'!D219</f>
        <v>27207</v>
      </c>
      <c r="D3064" s="2" t="str">
        <f t="shared" si="46"/>
        <v>Error?</v>
      </c>
    </row>
    <row r="3065" spans="1:4" x14ac:dyDescent="0.2">
      <c r="A3065" s="5">
        <v>3004</v>
      </c>
      <c r="B3065" s="138">
        <f>'Expenditures 15-22'!K219</f>
        <v>27207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299660</v>
      </c>
      <c r="C3225" s="2" t="s">
        <v>594</v>
      </c>
      <c r="D3225" s="2" t="str">
        <f t="shared" si="49"/>
        <v>Error?</v>
      </c>
    </row>
    <row r="3226" spans="1:4" x14ac:dyDescent="0.2">
      <c r="A3226" s="5">
        <v>3165</v>
      </c>
      <c r="B3226" s="138">
        <f>'Acct Summary 7-8'!I8</f>
        <v>299660</v>
      </c>
      <c r="C3226" s="2" t="s">
        <v>594</v>
      </c>
      <c r="D3226" s="2" t="str">
        <f t="shared" si="49"/>
        <v>Error?</v>
      </c>
    </row>
    <row r="3227" spans="1:4" x14ac:dyDescent="0.2">
      <c r="A3227" s="5">
        <v>3166</v>
      </c>
      <c r="B3227" s="138">
        <f>'Acct Summary 7-8'!I20</f>
        <v>299660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1000000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1000000</v>
      </c>
      <c r="C3232" s="2" t="s">
        <v>594</v>
      </c>
      <c r="D3232" s="2" t="str">
        <f t="shared" si="49"/>
        <v>Error?</v>
      </c>
    </row>
    <row r="3233" spans="1:4" x14ac:dyDescent="0.2">
      <c r="A3233" s="5">
        <v>3172</v>
      </c>
      <c r="B3233" s="138">
        <f>'Acct Summary 7-8'!C78</f>
        <v>1558966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337764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45000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45000</v>
      </c>
      <c r="C3255" s="2" t="s">
        <v>594</v>
      </c>
      <c r="D3255" s="2" t="str">
        <f t="shared" si="49"/>
        <v>Error?</v>
      </c>
    </row>
    <row r="3256" spans="1:4" x14ac:dyDescent="0.2">
      <c r="A3256" s="5">
        <v>3195</v>
      </c>
      <c r="B3256" s="138">
        <f>'Acct Summary 7-8'!F78</f>
        <v>46219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111159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7832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-1481958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1000000</v>
      </c>
      <c r="C3318" s="2" t="s">
        <v>594</v>
      </c>
      <c r="D3318" s="2" t="str">
        <f t="shared" si="50"/>
        <v>Error?</v>
      </c>
    </row>
    <row r="3319" spans="1:4" x14ac:dyDescent="0.2">
      <c r="A3319" s="5">
        <v>3258</v>
      </c>
      <c r="B3319" s="138">
        <f>'Acct Summary 7-8'!I77</f>
        <v>-1000000</v>
      </c>
      <c r="C3319" s="2" t="s">
        <v>594</v>
      </c>
      <c r="D3319" s="2" t="str">
        <f t="shared" si="50"/>
        <v>Error?</v>
      </c>
    </row>
    <row r="3320" spans="1:4" x14ac:dyDescent="0.2">
      <c r="A3320" s="5">
        <v>3259</v>
      </c>
      <c r="B3320" s="138">
        <f>'Acct Summary 7-8'!I78</f>
        <v>-700340</v>
      </c>
      <c r="C3320" s="2" t="s">
        <v>594</v>
      </c>
      <c r="D3320" s="2" t="str">
        <f t="shared" si="50"/>
        <v>Error?</v>
      </c>
    </row>
    <row r="3321" spans="1:4" x14ac:dyDescent="0.2">
      <c r="A3321" s="5">
        <v>3260</v>
      </c>
      <c r="B3321" s="138">
        <f>'Acct Summary 7-8'!I79</f>
        <v>2998114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2297774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1139670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240876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2366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2718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1385630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71555</v>
      </c>
      <c r="D3387" s="2" t="str">
        <f t="shared" si="51"/>
        <v>Error?</v>
      </c>
    </row>
    <row r="3388" spans="1:4" x14ac:dyDescent="0.2">
      <c r="A3388" s="5">
        <v>3327</v>
      </c>
      <c r="B3388" s="138">
        <f>'Expenditures 15-22'!D217</f>
        <v>53428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71555</v>
      </c>
      <c r="C3390" s="2" t="s">
        <v>594</v>
      </c>
      <c r="D3390" s="2" t="str">
        <f t="shared" si="51"/>
        <v>Error?</v>
      </c>
    </row>
    <row r="3391" spans="1:4" x14ac:dyDescent="0.2">
      <c r="A3391" s="5">
        <v>3330</v>
      </c>
      <c r="B3391" s="138">
        <f>'Expenditures 15-22'!K217</f>
        <v>53428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5597257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3756502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483121</v>
      </c>
      <c r="D3417" s="2" t="str">
        <f t="shared" si="52"/>
        <v>Error?</v>
      </c>
    </row>
    <row r="3418" spans="1:4" x14ac:dyDescent="0.2">
      <c r="A3418" s="10">
        <v>3357</v>
      </c>
      <c r="D3418" s="2" t="str">
        <f t="shared" si="52"/>
        <v>OK</v>
      </c>
    </row>
    <row r="3419" spans="1:4" x14ac:dyDescent="0.2">
      <c r="A3419" s="5">
        <v>3358</v>
      </c>
      <c r="B3419" s="138">
        <f>'Assets-Liab 5-6'!F4</f>
        <v>1947727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1437791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405308</v>
      </c>
      <c r="D3425" s="2" t="str">
        <f t="shared" si="52"/>
        <v>Error?</v>
      </c>
    </row>
    <row r="3426" spans="1:4" x14ac:dyDescent="0.2">
      <c r="A3426" s="10">
        <v>3365</v>
      </c>
      <c r="D3426" s="2" t="str">
        <f t="shared" si="52"/>
        <v>OK</v>
      </c>
    </row>
    <row r="3427" spans="1:4" x14ac:dyDescent="0.2">
      <c r="A3427" s="5">
        <v>3366</v>
      </c>
      <c r="B3427" s="138">
        <f>'Assets-Liab 5-6'!I4</f>
        <v>2297774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871777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526089</v>
      </c>
      <c r="C3446" s="2" t="s">
        <v>594</v>
      </c>
      <c r="D3446" s="2" t="str">
        <f t="shared" si="52"/>
        <v>Error?</v>
      </c>
    </row>
    <row r="3447" spans="1:4" x14ac:dyDescent="0.2">
      <c r="A3447" s="5">
        <v>3386</v>
      </c>
      <c r="B3447" s="138">
        <f>'Tax Sched 23'!D16</f>
        <v>313533</v>
      </c>
      <c r="C3447" s="2" t="s">
        <v>594</v>
      </c>
      <c r="D3447" s="2" t="str">
        <f t="shared" si="52"/>
        <v>Error?</v>
      </c>
    </row>
    <row r="3448" spans="1:4" x14ac:dyDescent="0.2">
      <c r="A3448" s="5">
        <v>3387</v>
      </c>
      <c r="B3448" s="138">
        <f>'Tax Sched 23'!C16</f>
        <v>212556</v>
      </c>
      <c r="D3448" s="2" t="str">
        <f t="shared" si="52"/>
        <v>Error?</v>
      </c>
    </row>
    <row r="3449" spans="1:4" x14ac:dyDescent="0.2">
      <c r="A3449" s="5">
        <v>3388</v>
      </c>
      <c r="B3449" s="138">
        <f>'Tax Sched 23'!F16</f>
        <v>403135</v>
      </c>
      <c r="C3449" s="2" t="s">
        <v>594</v>
      </c>
      <c r="D3449" s="2" t="str">
        <f t="shared" si="52"/>
        <v>Error?</v>
      </c>
    </row>
    <row r="3450" spans="1:4" x14ac:dyDescent="0.2">
      <c r="A3450" s="5">
        <v>3389</v>
      </c>
      <c r="B3450" s="138">
        <f>'Tax Sched 23'!E16</f>
        <v>615691</v>
      </c>
      <c r="D3450" s="2" t="str">
        <f t="shared" si="52"/>
        <v>Error?</v>
      </c>
    </row>
    <row r="3451" spans="1:4" x14ac:dyDescent="0.2">
      <c r="A3451" s="5">
        <v>3390</v>
      </c>
      <c r="B3451" s="138">
        <f>'Cap Outlay Deprec 26'!C15</f>
        <v>202380</v>
      </c>
      <c r="D3451" s="2" t="str">
        <f t="shared" si="52"/>
        <v>Error?</v>
      </c>
    </row>
    <row r="3452" spans="1:4" x14ac:dyDescent="0.2">
      <c r="A3452" s="5">
        <v>3391</v>
      </c>
      <c r="B3452" s="138">
        <f>'Cap Outlay Deprec 26'!D15</f>
        <v>2764854</v>
      </c>
      <c r="D3452" s="2" t="str">
        <f t="shared" si="52"/>
        <v>Error?</v>
      </c>
    </row>
    <row r="3453" spans="1:4" x14ac:dyDescent="0.2">
      <c r="A3453" s="5">
        <v>3392</v>
      </c>
      <c r="B3453" s="138">
        <f>'Cap Outlay Deprec 26'!E15</f>
        <v>2193951</v>
      </c>
      <c r="D3453" s="2" t="str">
        <f t="shared" si="52"/>
        <v>Error?</v>
      </c>
    </row>
    <row r="3454" spans="1:4" x14ac:dyDescent="0.2">
      <c r="A3454" s="5">
        <v>3393</v>
      </c>
      <c r="B3454" s="138">
        <f>'Cap Outlay Deprec 26'!F15</f>
        <v>773283</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773283</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45000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417866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417866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417866</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417866</v>
      </c>
      <c r="C3568" s="2" t="s">
        <v>594</v>
      </c>
      <c r="D3568" s="2" t="str">
        <f t="shared" si="54"/>
        <v>Error?</v>
      </c>
    </row>
    <row r="3569" spans="1:4" x14ac:dyDescent="0.2">
      <c r="A3569" s="5">
        <v>3508</v>
      </c>
      <c r="B3569" s="138">
        <f>'Acct Summary 7-8'!K4</f>
        <v>268268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268268</v>
      </c>
      <c r="C3571" s="2" t="s">
        <v>594</v>
      </c>
      <c r="D3571" s="2" t="str">
        <f t="shared" si="54"/>
        <v>Error?</v>
      </c>
    </row>
    <row r="3572" spans="1:4" x14ac:dyDescent="0.2">
      <c r="A3572" s="5">
        <v>3511</v>
      </c>
      <c r="B3572" s="138">
        <f>'Acct Summary 7-8'!K13</f>
        <v>384191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384191</v>
      </c>
      <c r="C3575" s="2" t="s">
        <v>594</v>
      </c>
      <c r="D3575" s="2" t="str">
        <f t="shared" si="54"/>
        <v>Error?</v>
      </c>
    </row>
    <row r="3576" spans="1:4" x14ac:dyDescent="0.2">
      <c r="A3576" s="5">
        <v>3515</v>
      </c>
      <c r="B3576" s="138">
        <f>'Acct Summary 7-8'!K20</f>
        <v>-115923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-115923</v>
      </c>
      <c r="C3588" s="2" t="s">
        <v>594</v>
      </c>
      <c r="D3588" s="2" t="str">
        <f t="shared" si="55"/>
        <v>Error?</v>
      </c>
    </row>
    <row r="3589" spans="1:4" x14ac:dyDescent="0.2">
      <c r="A3589" s="5">
        <v>3528</v>
      </c>
      <c r="B3589" s="138">
        <f>'Acct Summary 7-8'!K79</f>
        <v>533789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417866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5491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5491</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5491</v>
      </c>
      <c r="C3635" s="2" t="s">
        <v>594</v>
      </c>
      <c r="D3635" s="2" t="str">
        <f t="shared" si="55"/>
        <v>Error?</v>
      </c>
    </row>
    <row r="3636" spans="1:4" x14ac:dyDescent="0.2">
      <c r="A3636" s="5">
        <v>3575</v>
      </c>
      <c r="B3636" s="138">
        <f>'Expenditures 15-22'!E367</f>
        <v>5491</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378700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378700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378700</v>
      </c>
      <c r="C3649" s="2" t="s">
        <v>594</v>
      </c>
      <c r="D3649" s="2" t="str">
        <f t="shared" si="56"/>
        <v>Error?</v>
      </c>
    </row>
    <row r="3650" spans="1:4" x14ac:dyDescent="0.2">
      <c r="A3650" s="5">
        <v>3589</v>
      </c>
      <c r="B3650" s="138">
        <f>'Expenditures 15-22'!G367</f>
        <v>378700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384191</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384191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384191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384191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-115923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264428</v>
      </c>
      <c r="C3725" s="2" t="s">
        <v>594</v>
      </c>
      <c r="D3725" s="2" t="str">
        <f t="shared" si="57"/>
        <v>Error?</v>
      </c>
    </row>
    <row r="3726" spans="1:4" x14ac:dyDescent="0.2">
      <c r="A3726" s="5">
        <v>3665</v>
      </c>
      <c r="B3726" s="138">
        <f>'Tax Sched 23'!D13</f>
        <v>172651</v>
      </c>
      <c r="C3726" s="2" t="s">
        <v>594</v>
      </c>
      <c r="D3726" s="2" t="str">
        <f t="shared" si="57"/>
        <v>Error?</v>
      </c>
    </row>
    <row r="3727" spans="1:4" x14ac:dyDescent="0.2">
      <c r="A3727" s="5">
        <v>3666</v>
      </c>
      <c r="B3727" s="138">
        <f>'Tax Sched 23'!C13</f>
        <v>91777</v>
      </c>
      <c r="D3727" s="2" t="str">
        <f t="shared" si="57"/>
        <v>Error?</v>
      </c>
    </row>
    <row r="3728" spans="1:4" x14ac:dyDescent="0.2">
      <c r="A3728" s="5">
        <v>3667</v>
      </c>
      <c r="B3728" s="138">
        <f>'Tax Sched 23'!F13</f>
        <v>174065</v>
      </c>
      <c r="C3728" s="2" t="s">
        <v>594</v>
      </c>
      <c r="D3728" s="2" t="str">
        <f t="shared" si="57"/>
        <v>Error?</v>
      </c>
    </row>
    <row r="3729" spans="1:4" x14ac:dyDescent="0.2">
      <c r="A3729" s="5">
        <v>3668</v>
      </c>
      <c r="B3729" s="138">
        <f>'Tax Sched 23'!E13</f>
        <v>265842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6389619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20425789</v>
      </c>
      <c r="C4122" s="2" t="s">
        <v>594</v>
      </c>
      <c r="D4122" s="2" t="str">
        <f t="shared" si="63"/>
        <v>Error?</v>
      </c>
    </row>
    <row r="4123" spans="1:4" x14ac:dyDescent="0.2">
      <c r="A4123" s="5">
        <v>4062</v>
      </c>
      <c r="B4123" s="138">
        <f>'Acct Summary 7-8'!D10</f>
        <v>1983552</v>
      </c>
      <c r="C4123" s="2" t="s">
        <v>594</v>
      </c>
      <c r="D4123" s="2" t="str">
        <f t="shared" si="63"/>
        <v>Error?</v>
      </c>
    </row>
    <row r="4124" spans="1:4" x14ac:dyDescent="0.2">
      <c r="A4124" s="5">
        <v>4063</v>
      </c>
      <c r="B4124" s="138">
        <f>'Acct Summary 7-8'!E10</f>
        <v>1039145</v>
      </c>
      <c r="C4124" s="2" t="s">
        <v>594</v>
      </c>
      <c r="D4124" s="2" t="str">
        <f t="shared" si="63"/>
        <v>Error?</v>
      </c>
    </row>
    <row r="4125" spans="1:4" x14ac:dyDescent="0.2">
      <c r="A4125" s="5">
        <v>4064</v>
      </c>
      <c r="B4125" s="138">
        <f>'Acct Summary 7-8'!F10</f>
        <v>987971</v>
      </c>
      <c r="C4125" s="2" t="s">
        <v>594</v>
      </c>
      <c r="D4125" s="2" t="str">
        <f t="shared" si="63"/>
        <v>Error?</v>
      </c>
    </row>
    <row r="4126" spans="1:4" x14ac:dyDescent="0.2">
      <c r="A4126" s="5">
        <v>4065</v>
      </c>
      <c r="B4126" s="138">
        <f>'Acct Summary 7-8'!G10</f>
        <v>783049</v>
      </c>
      <c r="C4126" s="2" t="s">
        <v>594</v>
      </c>
      <c r="D4126" s="2" t="str">
        <f t="shared" si="63"/>
        <v>Error?</v>
      </c>
    </row>
    <row r="4127" spans="1:4" x14ac:dyDescent="0.2">
      <c r="A4127" s="5">
        <v>4066</v>
      </c>
      <c r="B4127" s="138">
        <f>'Acct Summary 7-8'!H10</f>
        <v>762641</v>
      </c>
      <c r="C4127" s="2" t="s">
        <v>594</v>
      </c>
      <c r="D4127" s="2" t="str">
        <f t="shared" si="63"/>
        <v>Error?</v>
      </c>
    </row>
    <row r="4128" spans="1:4" x14ac:dyDescent="0.2">
      <c r="A4128" s="5">
        <v>4067</v>
      </c>
      <c r="B4128" s="138">
        <f>'Acct Summary 7-8'!I10</f>
        <v>299660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268268</v>
      </c>
      <c r="C4130" s="2" t="s">
        <v>594</v>
      </c>
      <c r="D4130" s="2" t="str">
        <f t="shared" si="63"/>
        <v>Error?</v>
      </c>
    </row>
    <row r="4131" spans="1:4" x14ac:dyDescent="0.2">
      <c r="A4131" s="5">
        <v>4070</v>
      </c>
      <c r="B4131" s="138">
        <f>'Acct Summary 7-8'!C18</f>
        <v>6389619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19866823</v>
      </c>
      <c r="C4136" s="2" t="s">
        <v>594</v>
      </c>
      <c r="D4136" s="2" t="str">
        <f t="shared" si="63"/>
        <v>Error?</v>
      </c>
    </row>
    <row r="4137" spans="1:4" x14ac:dyDescent="0.2">
      <c r="A4137" s="5">
        <v>4076</v>
      </c>
      <c r="B4137" s="138">
        <f>'Acct Summary 7-8'!D19</f>
        <v>1645788</v>
      </c>
      <c r="C4137" s="2" t="s">
        <v>594</v>
      </c>
      <c r="D4137" s="2" t="str">
        <f t="shared" si="63"/>
        <v>Error?</v>
      </c>
    </row>
    <row r="4138" spans="1:4" x14ac:dyDescent="0.2">
      <c r="A4138" s="5">
        <v>4077</v>
      </c>
      <c r="B4138" s="138">
        <f>'Acct Summary 7-8'!E19</f>
        <v>1031313</v>
      </c>
      <c r="C4138" s="2" t="s">
        <v>594</v>
      </c>
      <c r="D4138" s="2" t="str">
        <f t="shared" si="63"/>
        <v>Error?</v>
      </c>
    </row>
    <row r="4139" spans="1:4" x14ac:dyDescent="0.2">
      <c r="A4139" s="5">
        <v>4078</v>
      </c>
      <c r="B4139" s="138">
        <f>'Acct Summary 7-8'!F19</f>
        <v>986752</v>
      </c>
      <c r="C4139" s="2" t="s">
        <v>594</v>
      </c>
      <c r="D4139" s="2" t="str">
        <f t="shared" si="63"/>
        <v>Error?</v>
      </c>
    </row>
    <row r="4140" spans="1:4" x14ac:dyDescent="0.2">
      <c r="A4140" s="5">
        <v>4079</v>
      </c>
      <c r="B4140" s="138">
        <f>'Acct Summary 7-8'!G19</f>
        <v>671890</v>
      </c>
      <c r="C4140" s="2" t="s">
        <v>594</v>
      </c>
      <c r="D4140" s="2" t="str">
        <f t="shared" si="63"/>
        <v>Error?</v>
      </c>
    </row>
    <row r="4141" spans="1:4" x14ac:dyDescent="0.2">
      <c r="A4141" s="5">
        <v>4080</v>
      </c>
      <c r="B4141" s="138">
        <f>'Acct Summary 7-8'!H19</f>
        <v>2244599</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384191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1000000</v>
      </c>
      <c r="C4171" s="2" t="s">
        <v>594</v>
      </c>
      <c r="D4171" s="2" t="str">
        <f t="shared" si="64"/>
        <v>Error?</v>
      </c>
    </row>
    <row r="4172" spans="1:4" x14ac:dyDescent="0.2">
      <c r="A4172" s="5">
        <v>4111</v>
      </c>
      <c r="B4172" s="138">
        <f>'Short-Term Long-Term Debt 24'!J49</f>
        <v>516879</v>
      </c>
      <c r="C4172" s="2" t="s">
        <v>594</v>
      </c>
      <c r="D4172" s="2" t="str">
        <f t="shared" si="64"/>
        <v>Error?</v>
      </c>
    </row>
    <row r="4173" spans="1:4" x14ac:dyDescent="0.2">
      <c r="A4173" s="5">
        <v>4112</v>
      </c>
      <c r="B4173" s="138">
        <f>'Short-Term Long-Term Debt 24'!H49</f>
        <v>1010000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1290</v>
      </c>
      <c r="C4268" s="2" t="s">
        <v>594</v>
      </c>
      <c r="D4268" s="2" t="str">
        <f t="shared" si="65"/>
        <v>Error?</v>
      </c>
    </row>
    <row r="4269" spans="1:5" x14ac:dyDescent="0.2">
      <c r="A4269" s="12">
        <v>4208</v>
      </c>
      <c r="B4269" s="138">
        <f>'FP Info 3'!J16</f>
        <v>13599260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22101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28564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1478</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62635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14057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2341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4500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531684820</v>
      </c>
      <c r="D4995" s="2" t="str">
        <f t="shared" si="77"/>
        <v>Error?</v>
      </c>
    </row>
    <row r="4996" spans="1:4" x14ac:dyDescent="0.2">
      <c r="A4996" s="12">
        <v>4935</v>
      </c>
      <c r="B4996" s="138">
        <f>'FP Info 3'!H31</f>
        <v>36686252.580000006</v>
      </c>
      <c r="D4996" s="2" t="str">
        <f t="shared" si="77"/>
        <v>Error?</v>
      </c>
    </row>
    <row r="4997" spans="1:4" x14ac:dyDescent="0.2">
      <c r="A4997" s="12">
        <v>4936</v>
      </c>
      <c r="B4997" s="138">
        <f>'FP Info 3'!H37</f>
        <v>1000000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69606</v>
      </c>
      <c r="D5026" s="2" t="str">
        <f t="shared" si="77"/>
        <v>Error?</v>
      </c>
    </row>
    <row r="5027" spans="1:4" x14ac:dyDescent="0.2">
      <c r="A5027" s="5">
        <v>4966</v>
      </c>
      <c r="B5027" s="138">
        <f>'Revenues 9-14'!F104</f>
        <v>53680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4865470</v>
      </c>
      <c r="D5061" s="2" t="str">
        <f t="shared" si="78"/>
        <v>Error?</v>
      </c>
    </row>
    <row r="5062" spans="1:4" x14ac:dyDescent="0.2">
      <c r="A5062" s="10">
        <v>5001</v>
      </c>
      <c r="D5062" s="2" t="str">
        <f t="shared" si="78"/>
        <v>OK</v>
      </c>
    </row>
    <row r="5063" spans="1:4" x14ac:dyDescent="0.2">
      <c r="A5063" s="5">
        <v>5002</v>
      </c>
      <c r="B5063" s="138">
        <f>'Revenues 9-14'!C7</f>
        <v>105771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5040847</v>
      </c>
      <c r="C5066" s="2" t="s">
        <v>594</v>
      </c>
      <c r="D5066" s="2" t="str">
        <f t="shared" si="78"/>
        <v>Error?</v>
      </c>
    </row>
    <row r="5067" spans="1:4" x14ac:dyDescent="0.2">
      <c r="A5067" s="5">
        <v>5006</v>
      </c>
      <c r="B5067" s="138">
        <f>'Revenues 9-14'!C14</f>
        <v>648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1607805</v>
      </c>
      <c r="D5069" s="2" t="str">
        <f t="shared" si="78"/>
        <v>Error?</v>
      </c>
    </row>
    <row r="5070" spans="1:4" x14ac:dyDescent="0.2">
      <c r="A5070" s="5">
        <v>5009</v>
      </c>
      <c r="B5070" s="138">
        <f>'Revenues 9-14'!C17</f>
        <v>11777</v>
      </c>
      <c r="D5070" s="2" t="str">
        <f t="shared" si="78"/>
        <v>Error?</v>
      </c>
    </row>
    <row r="5071" spans="1:4" x14ac:dyDescent="0.2">
      <c r="A5071" s="5">
        <v>5010</v>
      </c>
      <c r="B5071" s="138">
        <f>'Revenues 9-14'!C18</f>
        <v>1620230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42596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42596</v>
      </c>
      <c r="C5090" s="2" t="s">
        <v>594</v>
      </c>
      <c r="D5090" s="2" t="str">
        <f t="shared" si="78"/>
        <v>Error?</v>
      </c>
    </row>
    <row r="5091" spans="1:4" x14ac:dyDescent="0.2">
      <c r="A5091" s="5">
        <v>5030</v>
      </c>
      <c r="B5091" s="138">
        <f>'Revenues 9-14'!C70</f>
        <v>6113</v>
      </c>
      <c r="D5091" s="2" t="str">
        <f t="shared" si="78"/>
        <v>Error?</v>
      </c>
    </row>
    <row r="5092" spans="1:4" x14ac:dyDescent="0.2">
      <c r="A5092" s="5">
        <v>5031</v>
      </c>
      <c r="B5092" s="138">
        <f>'Revenues 9-14'!C71</f>
        <v>84368</v>
      </c>
      <c r="D5092" s="2" t="str">
        <f t="shared" si="78"/>
        <v>Error?</v>
      </c>
    </row>
    <row r="5093" spans="1:4" x14ac:dyDescent="0.2">
      <c r="A5093" s="5">
        <v>5032</v>
      </c>
      <c r="B5093" s="138">
        <f>'Revenues 9-14'!C72</f>
        <v>12577</v>
      </c>
      <c r="D5093" s="2" t="str">
        <f t="shared" si="78"/>
        <v>Error?</v>
      </c>
    </row>
    <row r="5094" spans="1:4" x14ac:dyDescent="0.2">
      <c r="A5094" s="5">
        <v>5033</v>
      </c>
      <c r="B5094" s="138">
        <f>'Revenues 9-14'!C73</f>
        <v>5408</v>
      </c>
      <c r="D5094" s="2" t="str">
        <f t="shared" si="78"/>
        <v>Error?</v>
      </c>
    </row>
    <row r="5095" spans="1:4" x14ac:dyDescent="0.2">
      <c r="A5095" s="5">
        <v>5034</v>
      </c>
      <c r="B5095" s="138">
        <f>'Revenues 9-14'!C74</f>
        <v>75071</v>
      </c>
      <c r="D5095" s="2" t="str">
        <f t="shared" si="78"/>
        <v>Error?</v>
      </c>
    </row>
    <row r="5096" spans="1:4" x14ac:dyDescent="0.2">
      <c r="A5096" s="5">
        <v>5035</v>
      </c>
      <c r="B5096" s="138">
        <f>'Revenues 9-14'!C75</f>
        <v>343908</v>
      </c>
      <c r="C5096" s="2" t="s">
        <v>594</v>
      </c>
      <c r="D5096" s="2" t="str">
        <f t="shared" si="78"/>
        <v>Error?</v>
      </c>
    </row>
    <row r="5097" spans="1:4" x14ac:dyDescent="0.2">
      <c r="A5097" s="5">
        <v>5036</v>
      </c>
      <c r="B5097" s="138">
        <f>'Revenues 9-14'!C77</f>
        <v>94621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16945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385</v>
      </c>
      <c r="D5101" s="2" t="str">
        <f t="shared" si="78"/>
        <v>Error?</v>
      </c>
    </row>
    <row r="5102" spans="1:4" x14ac:dyDescent="0.2">
      <c r="A5102" s="5">
        <v>5041</v>
      </c>
      <c r="B5102" s="138">
        <f>'Revenues 9-14'!C82</f>
        <v>111951</v>
      </c>
      <c r="C5102" s="2" t="s">
        <v>594</v>
      </c>
      <c r="D5102" s="2" t="str">
        <f t="shared" si="78"/>
        <v>Error?</v>
      </c>
    </row>
    <row r="5103" spans="1:4" x14ac:dyDescent="0.2">
      <c r="A5103" s="5">
        <v>5042</v>
      </c>
      <c r="B5103" s="138">
        <f>'Revenues 9-14'!C84</f>
        <v>31763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31763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750</v>
      </c>
      <c r="D5114" s="2" t="str">
        <f t="shared" si="78"/>
        <v>Error?</v>
      </c>
    </row>
    <row r="5115" spans="1:4" x14ac:dyDescent="0.2">
      <c r="A5115" s="5">
        <v>5054</v>
      </c>
      <c r="B5115" s="138">
        <f>'Revenues 9-14'!C98</f>
        <v>26002</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30000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64713</v>
      </c>
      <c r="D5119" s="2" t="str">
        <f t="shared" ref="D5119:D5182" si="79">IF(ISBLANK(B5119),"OK",IF(A5119-B5119=0,"OK","Error?"))</f>
        <v>Error?</v>
      </c>
    </row>
    <row r="5120" spans="1:4" x14ac:dyDescent="0.2">
      <c r="A5120" s="5">
        <v>5059</v>
      </c>
      <c r="B5120" s="138">
        <f>'Revenues 9-14'!C108</f>
        <v>360289</v>
      </c>
      <c r="C5120" s="2" t="s">
        <v>594</v>
      </c>
      <c r="D5120" s="2" t="str">
        <f t="shared" si="79"/>
        <v>Error?</v>
      </c>
    </row>
    <row r="5121" spans="1:4" x14ac:dyDescent="0.2">
      <c r="A5121" s="5">
        <v>5060</v>
      </c>
      <c r="B5121" s="138">
        <f>'Revenues 9-14'!C109</f>
        <v>7551584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4743036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4743036</v>
      </c>
      <c r="C5132" s="2" t="s">
        <v>594</v>
      </c>
      <c r="D5132" s="2" t="str">
        <f t="shared" si="79"/>
        <v>Error?</v>
      </c>
    </row>
    <row r="5133" spans="1:4" x14ac:dyDescent="0.2">
      <c r="A5133" s="5">
        <v>5072</v>
      </c>
      <c r="B5133" s="138">
        <f>'Revenues 9-14'!C124</f>
        <v>71170</v>
      </c>
      <c r="D5133" s="2" t="str">
        <f t="shared" si="79"/>
        <v>Error?</v>
      </c>
    </row>
    <row r="5134" spans="1:4" x14ac:dyDescent="0.2">
      <c r="A5134" s="5">
        <v>5073</v>
      </c>
      <c r="B5134" s="138">
        <f>'Revenues 9-14'!C125</f>
        <v>109397</v>
      </c>
      <c r="D5134" s="2" t="str">
        <f t="shared" si="79"/>
        <v>Error?</v>
      </c>
    </row>
    <row r="5135" spans="1:4" x14ac:dyDescent="0.2">
      <c r="A5135" s="5">
        <v>5074</v>
      </c>
      <c r="B5135" s="138">
        <f>'Revenues 9-14'!C126</f>
        <v>69610</v>
      </c>
      <c r="D5135" s="2" t="str">
        <f t="shared" si="79"/>
        <v>Error?</v>
      </c>
    </row>
    <row r="5136" spans="1:4" x14ac:dyDescent="0.2">
      <c r="A5136" s="10">
        <v>5075</v>
      </c>
      <c r="D5136" s="2" t="str">
        <f t="shared" si="79"/>
        <v>OK</v>
      </c>
    </row>
    <row r="5137" spans="1:4" x14ac:dyDescent="0.2">
      <c r="A5137" s="5">
        <v>5076</v>
      </c>
      <c r="B5137" s="138">
        <f>'Revenues 9-14'!C127</f>
        <v>5203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3465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258845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84483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84483</v>
      </c>
      <c r="C5161" s="2" t="s">
        <v>594</v>
      </c>
      <c r="D5161" s="2" t="str">
        <f t="shared" si="79"/>
        <v>Error?</v>
      </c>
    </row>
    <row r="5162" spans="1:4" x14ac:dyDescent="0.2">
      <c r="A5162" s="10">
        <v>5101</v>
      </c>
      <c r="D5162" s="2" t="str">
        <f t="shared" si="79"/>
        <v>OK</v>
      </c>
    </row>
    <row r="5163" spans="1:4" x14ac:dyDescent="0.2">
      <c r="A5163" s="5">
        <v>5102</v>
      </c>
      <c r="B5163" s="138">
        <f>'Revenues 9-14'!C142</f>
        <v>21133</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21133</v>
      </c>
      <c r="C5165" s="2" t="s">
        <v>594</v>
      </c>
      <c r="D5165" s="2" t="str">
        <f t="shared" si="79"/>
        <v>Error?</v>
      </c>
    </row>
    <row r="5166" spans="1:4" x14ac:dyDescent="0.2">
      <c r="A5166" s="10">
        <v>5105</v>
      </c>
      <c r="D5166" s="2" t="str">
        <f t="shared" si="79"/>
        <v>OK</v>
      </c>
    </row>
    <row r="5167" spans="1:4" x14ac:dyDescent="0.2">
      <c r="A5167" s="5">
        <v>5106</v>
      </c>
      <c r="B5167" s="138">
        <f>'Revenues 9-14'!C145</f>
        <v>6465</v>
      </c>
      <c r="D5167" s="2" t="str">
        <f t="shared" si="79"/>
        <v>Error?</v>
      </c>
    </row>
    <row r="5168" spans="1:4" x14ac:dyDescent="0.2">
      <c r="A5168" s="5">
        <v>5107</v>
      </c>
      <c r="B5168" s="138">
        <f>'Revenues 9-14'!C147</f>
        <v>69745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443012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5186048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431892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54989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486881</v>
      </c>
      <c r="C5246" s="2" t="s">
        <v>594</v>
      </c>
      <c r="D5246" s="2" t="str">
        <f t="shared" si="80"/>
        <v>Error?</v>
      </c>
    </row>
    <row r="5247" spans="1:4" x14ac:dyDescent="0.2">
      <c r="A5247" s="5">
        <v>5186</v>
      </c>
      <c r="B5247" s="138">
        <f>'Revenues 9-14'!C203</f>
        <v>397487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397487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294028</v>
      </c>
      <c r="D5278" s="2" t="str">
        <f t="shared" si="81"/>
        <v>Error?</v>
      </c>
    </row>
    <row r="5279" spans="1:4" x14ac:dyDescent="0.2">
      <c r="A5279" s="5">
        <v>5218</v>
      </c>
      <c r="B5279" s="138">
        <f>'Revenues 9-14'!C221</f>
        <v>477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294505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387</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1298538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1298538</v>
      </c>
      <c r="C5326" s="2" t="s">
        <v>594</v>
      </c>
      <c r="D5326" s="2" t="str">
        <f t="shared" si="82"/>
        <v>Error?</v>
      </c>
    </row>
    <row r="5327" spans="1:4" x14ac:dyDescent="0.2">
      <c r="A5327" s="5">
        <v>5266</v>
      </c>
      <c r="B5327" s="138">
        <f>'Revenues 9-14'!C275</f>
        <v>14036170</v>
      </c>
      <c r="C5327" s="2" t="s">
        <v>594</v>
      </c>
      <c r="D5327" s="2" t="str">
        <f t="shared" si="82"/>
        <v>Error?</v>
      </c>
    </row>
    <row r="5328" spans="1:4" x14ac:dyDescent="0.2">
      <c r="A5328" s="5">
        <v>5267</v>
      </c>
      <c r="B5328" s="138">
        <f>'Revenues 9-14'!D5</f>
        <v>1322139</v>
      </c>
      <c r="D5328" s="2" t="str">
        <f t="shared" si="82"/>
        <v>Error?</v>
      </c>
    </row>
    <row r="5329" spans="1:4" x14ac:dyDescent="0.2">
      <c r="A5329" s="10">
        <v>5268</v>
      </c>
      <c r="D5329" s="2" t="str">
        <f t="shared" si="82"/>
        <v>OK</v>
      </c>
    </row>
    <row r="5330" spans="1:4" x14ac:dyDescent="0.2">
      <c r="A5330" s="5">
        <v>5269</v>
      </c>
      <c r="B5330" s="138">
        <f>'Revenues 9-14'!D6</f>
        <v>194822</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1516961</v>
      </c>
      <c r="C5334" s="2" t="s">
        <v>594</v>
      </c>
      <c r="D5334" s="2" t="str">
        <f t="shared" si="82"/>
        <v>Error?</v>
      </c>
    </row>
    <row r="5335" spans="1:4" x14ac:dyDescent="0.2">
      <c r="A5335" s="5">
        <v>5274</v>
      </c>
      <c r="B5335" s="138">
        <f>'Revenues 9-14'!D14</f>
        <v>191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219246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219437</v>
      </c>
      <c r="C5339" s="2" t="s">
        <v>594</v>
      </c>
      <c r="D5339" s="2" t="str">
        <f t="shared" si="82"/>
        <v>Error?</v>
      </c>
    </row>
    <row r="5340" spans="1:4" x14ac:dyDescent="0.2">
      <c r="A5340" s="5">
        <v>5279</v>
      </c>
      <c r="B5340" s="138">
        <f>'Revenues 9-14'!D65</f>
        <v>42755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42755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554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183949</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19896</v>
      </c>
      <c r="D5354" s="2" t="str">
        <f t="shared" si="82"/>
        <v>Error?</v>
      </c>
    </row>
    <row r="5355" spans="1:4" x14ac:dyDescent="0.2">
      <c r="A5355" s="5">
        <v>5294</v>
      </c>
      <c r="B5355" s="138">
        <f>'Revenues 9-14'!D108</f>
        <v>204399</v>
      </c>
      <c r="C5355" s="2" t="s">
        <v>594</v>
      </c>
      <c r="D5355" s="2" t="str">
        <f t="shared" si="82"/>
        <v>Error?</v>
      </c>
    </row>
    <row r="5356" spans="1:4" x14ac:dyDescent="0.2">
      <c r="A5356" s="5">
        <v>5295</v>
      </c>
      <c r="B5356" s="138">
        <f>'Revenues 9-14'!D109</f>
        <v>1983552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1983552</v>
      </c>
      <c r="C5508" s="2" t="s">
        <v>594</v>
      </c>
      <c r="D5508" s="2" t="str">
        <f t="shared" si="85"/>
        <v>Error?</v>
      </c>
    </row>
    <row r="5509" spans="1:4" x14ac:dyDescent="0.2">
      <c r="A5509" s="5">
        <v>5448</v>
      </c>
      <c r="B5509" s="138">
        <f>'Revenues 9-14'!E5</f>
        <v>1034477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1034477</v>
      </c>
      <c r="C5513" s="2" t="s">
        <v>594</v>
      </c>
      <c r="D5513" s="2" t="str">
        <f t="shared" si="85"/>
        <v>Error?</v>
      </c>
    </row>
    <row r="5514" spans="1:4" x14ac:dyDescent="0.2">
      <c r="A5514" s="5">
        <v>5453</v>
      </c>
      <c r="B5514" s="138">
        <f>'Revenues 9-14'!E14</f>
        <v>135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135</v>
      </c>
      <c r="C5518" s="2" t="s">
        <v>594</v>
      </c>
      <c r="D5518" s="2" t="str">
        <f t="shared" si="85"/>
        <v>Error?</v>
      </c>
    </row>
    <row r="5519" spans="1:4" x14ac:dyDescent="0.2">
      <c r="A5519" s="5">
        <v>5458</v>
      </c>
      <c r="B5519" s="138">
        <f>'Revenues 9-14'!E65</f>
        <v>4533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4533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1039145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1039145</v>
      </c>
      <c r="C5552" s="2" t="s">
        <v>594</v>
      </c>
      <c r="D5552" s="2" t="str">
        <f t="shared" si="85"/>
        <v>Error?</v>
      </c>
    </row>
    <row r="5553" spans="1:4" x14ac:dyDescent="0.2">
      <c r="A5553" s="5">
        <v>5492</v>
      </c>
      <c r="B5553" s="138">
        <f>'Revenues 9-14'!F5</f>
        <v>634626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634626</v>
      </c>
      <c r="C5557" s="2" t="s">
        <v>594</v>
      </c>
      <c r="D5557" s="2" t="str">
        <f t="shared" si="85"/>
        <v>Error?</v>
      </c>
    </row>
    <row r="5558" spans="1:4" x14ac:dyDescent="0.2">
      <c r="A5558" s="5">
        <v>5497</v>
      </c>
      <c r="B5558" s="138">
        <f>'Revenues 9-14'!F14</f>
        <v>81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81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47045</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47045</v>
      </c>
      <c r="C5579" s="2" t="s">
        <v>594</v>
      </c>
      <c r="D5579" s="2" t="str">
        <f t="shared" si="86"/>
        <v>Error?</v>
      </c>
    </row>
    <row r="5580" spans="1:4" x14ac:dyDescent="0.2">
      <c r="A5580" s="5">
        <v>5519</v>
      </c>
      <c r="B5580" s="138">
        <f>'Revenues 9-14'!F65</f>
        <v>21640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21640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39504</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93184</v>
      </c>
      <c r="C5587" s="2" t="s">
        <v>594</v>
      </c>
      <c r="D5587" s="2" t="str">
        <f t="shared" si="86"/>
        <v>Error?</v>
      </c>
    </row>
    <row r="5588" spans="1:4" x14ac:dyDescent="0.2">
      <c r="A5588" s="5">
        <v>5527</v>
      </c>
      <c r="B5588" s="138">
        <f>'Revenues 9-14'!F109</f>
        <v>796576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30223</v>
      </c>
      <c r="D5615" s="2" t="str">
        <f t="shared" si="86"/>
        <v>Error?</v>
      </c>
    </row>
    <row r="5616" spans="1:4" x14ac:dyDescent="0.2">
      <c r="A5616" s="10">
        <v>5555</v>
      </c>
      <c r="D5616" s="2" t="str">
        <f t="shared" si="86"/>
        <v>OK</v>
      </c>
    </row>
    <row r="5617" spans="1:4" x14ac:dyDescent="0.2">
      <c r="A5617" s="5">
        <v>5556</v>
      </c>
      <c r="B5617" s="138">
        <f>'Revenues 9-14'!F152</f>
        <v>161172</v>
      </c>
      <c r="D5617" s="2" t="str">
        <f t="shared" si="86"/>
        <v>Error?</v>
      </c>
    </row>
    <row r="5618" spans="1:4" x14ac:dyDescent="0.2">
      <c r="A5618" s="5">
        <v>5557</v>
      </c>
      <c r="B5618" s="138">
        <f>'Revenues 9-14'!F154</f>
        <v>191395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191395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191395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987971</v>
      </c>
      <c r="C5720" s="2" t="s">
        <v>594</v>
      </c>
      <c r="D5720" s="2" t="str">
        <f t="shared" si="88"/>
        <v>Error?</v>
      </c>
    </row>
    <row r="5721" spans="1:4" x14ac:dyDescent="0.2">
      <c r="A5721" s="5">
        <v>5660</v>
      </c>
      <c r="B5721" s="138">
        <f>'Revenues 9-14'!G5</f>
        <v>94943</v>
      </c>
      <c r="D5721" s="2" t="str">
        <f t="shared" si="88"/>
        <v>Error?</v>
      </c>
    </row>
    <row r="5722" spans="1:4" x14ac:dyDescent="0.2">
      <c r="A5722" s="5">
        <v>5661</v>
      </c>
      <c r="B5722" s="138">
        <f>'Revenues 9-14'!G7</f>
        <v>0</v>
      </c>
      <c r="D5722" s="2" t="str">
        <f t="shared" si="88"/>
        <v>Error?</v>
      </c>
    </row>
    <row r="5723" spans="1:4" x14ac:dyDescent="0.2">
      <c r="A5723" s="5">
        <v>5662</v>
      </c>
      <c r="B5723" s="138">
        <f>'Revenues 9-14'!G8</f>
        <v>526089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621032</v>
      </c>
      <c r="C5725" s="2" t="s">
        <v>594</v>
      </c>
      <c r="D5725" s="2" t="str">
        <f t="shared" si="88"/>
        <v>Error?</v>
      </c>
    </row>
    <row r="5726" spans="1:4" x14ac:dyDescent="0.2">
      <c r="A5726" s="5">
        <v>5665</v>
      </c>
      <c r="B5726" s="138">
        <f>'Revenues 9-14'!G14</f>
        <v>78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145554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145632</v>
      </c>
      <c r="C5730" s="2" t="s">
        <v>594</v>
      </c>
      <c r="D5730" s="2" t="str">
        <f t="shared" si="88"/>
        <v>Error?</v>
      </c>
    </row>
    <row r="5731" spans="1:4" x14ac:dyDescent="0.2">
      <c r="A5731" s="5">
        <v>5670</v>
      </c>
      <c r="B5731" s="138">
        <f>'Revenues 9-14'!G65</f>
        <v>16385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16385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783049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8896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8896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753745</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762641</v>
      </c>
      <c r="C5915" s="2" t="s">
        <v>594</v>
      </c>
      <c r="D5915" s="2" t="str">
        <f t="shared" si="91"/>
        <v>Error?</v>
      </c>
    </row>
    <row r="5916" spans="1:4" x14ac:dyDescent="0.2">
      <c r="A5916" s="5">
        <v>5855</v>
      </c>
      <c r="B5916" s="138">
        <f>'Revenues 9-14'!I5</f>
        <v>264428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264428</v>
      </c>
      <c r="C5918" s="2" t="s">
        <v>594</v>
      </c>
      <c r="D5918" s="2" t="str">
        <f t="shared" si="91"/>
        <v>Error?</v>
      </c>
    </row>
    <row r="5919" spans="1:4" x14ac:dyDescent="0.2">
      <c r="A5919" s="5">
        <v>5858</v>
      </c>
      <c r="B5919" s="138">
        <f>'Revenues 9-14'!I14</f>
        <v>34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34</v>
      </c>
      <c r="C5923" s="2" t="s">
        <v>594</v>
      </c>
      <c r="D5923" s="2" t="str">
        <f t="shared" si="91"/>
        <v>Error?</v>
      </c>
    </row>
    <row r="5924" spans="1:4" x14ac:dyDescent="0.2">
      <c r="A5924" s="5">
        <v>5863</v>
      </c>
      <c r="B5924" s="138">
        <f>'Revenues 9-14'!I65</f>
        <v>35198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35198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299660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264428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264428</v>
      </c>
      <c r="C5987" s="2" t="s">
        <v>594</v>
      </c>
      <c r="D5987" s="2" t="str">
        <f t="shared" si="92"/>
        <v>Error?</v>
      </c>
    </row>
    <row r="5988" spans="1:4" x14ac:dyDescent="0.2">
      <c r="A5988" s="5">
        <v>5927</v>
      </c>
      <c r="B5988" s="138">
        <f>'Revenues 9-14'!K14</f>
        <v>34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34</v>
      </c>
      <c r="C5992" s="2" t="s">
        <v>594</v>
      </c>
      <c r="D5992" s="2" t="str">
        <f t="shared" si="92"/>
        <v>Error?</v>
      </c>
    </row>
    <row r="5993" spans="1:4" x14ac:dyDescent="0.2">
      <c r="A5993" s="5">
        <v>5932</v>
      </c>
      <c r="B5993" s="138">
        <f>'Revenues 9-14'!K65</f>
        <v>3806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3806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268268</v>
      </c>
      <c r="C6023" s="2" t="s">
        <v>594</v>
      </c>
      <c r="D6023" s="2" t="str">
        <f t="shared" si="93"/>
        <v>Error?</v>
      </c>
    </row>
    <row r="6024" spans="1:5" x14ac:dyDescent="0.2">
      <c r="A6024" s="5">
        <v>5963</v>
      </c>
      <c r="B6024" s="138">
        <f>'Revenues 9-14'!G109</f>
        <v>783049</v>
      </c>
      <c r="C6024" s="2" t="s">
        <v>594</v>
      </c>
      <c r="D6024" s="2" t="str">
        <f t="shared" si="93"/>
        <v>Error?</v>
      </c>
    </row>
    <row r="6025" spans="1:5" x14ac:dyDescent="0.2">
      <c r="A6025" s="5">
        <v>5964</v>
      </c>
      <c r="B6025" s="138">
        <f>'Revenues 9-14'!H109</f>
        <v>762641</v>
      </c>
      <c r="C6025" s="2" t="s">
        <v>594</v>
      </c>
      <c r="D6025" s="2" t="str">
        <f t="shared" si="93"/>
        <v>Error?</v>
      </c>
    </row>
    <row r="6026" spans="1:5" x14ac:dyDescent="0.2">
      <c r="A6026" s="5">
        <v>5965</v>
      </c>
      <c r="B6026" s="138">
        <f>'Revenues 9-14'!I109</f>
        <v>299660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268268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160371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75495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1350.37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1372018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1372018</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1372018</v>
      </c>
      <c r="D6216" s="2" t="str">
        <f t="shared" si="96"/>
        <v>Error?</v>
      </c>
      <c r="E6216" s="2" t="s">
        <v>199</v>
      </c>
    </row>
    <row r="6217" spans="1:5" x14ac:dyDescent="0.2">
      <c r="A6217">
        <v>6156</v>
      </c>
      <c r="B6217" s="138">
        <f>'Assets-Liab 5-6'!J4</f>
        <v>1372018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605054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605054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605054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702899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702899</v>
      </c>
      <c r="D6229" s="2" t="str">
        <f t="shared" si="96"/>
        <v>Error?</v>
      </c>
      <c r="E6229" s="2" t="s">
        <v>199</v>
      </c>
    </row>
    <row r="6230" spans="1:5" x14ac:dyDescent="0.2">
      <c r="A6230">
        <v>6169</v>
      </c>
      <c r="B6230" s="138">
        <f>'Acct Summary 7-8'!J20</f>
        <v>-97845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-97845</v>
      </c>
      <c r="D6263" s="2" t="str">
        <f t="shared" si="96"/>
        <v>Error?</v>
      </c>
      <c r="E6263" s="2" t="s">
        <v>199</v>
      </c>
    </row>
    <row r="6264" spans="1:5" x14ac:dyDescent="0.2">
      <c r="A6264">
        <v>6203</v>
      </c>
      <c r="B6264" s="138">
        <f>'Acct Summary 7-8'!J79</f>
        <v>1469863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1372018</v>
      </c>
      <c r="D6266" s="2" t="str">
        <f t="shared" si="96"/>
        <v>Error?</v>
      </c>
      <c r="E6266" s="2" t="s">
        <v>199</v>
      </c>
    </row>
    <row r="6267" spans="1:5" x14ac:dyDescent="0.2">
      <c r="A6267">
        <v>6206</v>
      </c>
      <c r="B6267" s="138">
        <f>'Acct Summary 7-8'!C82</f>
        <v>1558966</v>
      </c>
      <c r="D6267" s="2" t="str">
        <f t="shared" si="96"/>
        <v>Error?</v>
      </c>
      <c r="E6267" s="2" t="s">
        <v>199</v>
      </c>
    </row>
    <row r="6268" spans="1:5" x14ac:dyDescent="0.2">
      <c r="A6268">
        <v>6207</v>
      </c>
      <c r="B6268" s="138">
        <f>'Acct Summary 7-8'!D82</f>
        <v>337764</v>
      </c>
      <c r="D6268" s="2" t="str">
        <f t="shared" si="96"/>
        <v>Error?</v>
      </c>
      <c r="E6268" s="2" t="s">
        <v>199</v>
      </c>
    </row>
    <row r="6269" spans="1:5" x14ac:dyDescent="0.2">
      <c r="A6269">
        <v>6208</v>
      </c>
      <c r="B6269" s="138">
        <f>'Acct Summary 7-8'!E82</f>
        <v>7832</v>
      </c>
      <c r="D6269" s="2" t="str">
        <f t="shared" si="96"/>
        <v>Error?</v>
      </c>
      <c r="E6269" s="2" t="s">
        <v>199</v>
      </c>
    </row>
    <row r="6270" spans="1:5" x14ac:dyDescent="0.2">
      <c r="A6270">
        <v>6209</v>
      </c>
      <c r="B6270" s="138">
        <f>'Acct Summary 7-8'!F82</f>
        <v>46219</v>
      </c>
      <c r="D6270" s="2" t="str">
        <f t="shared" si="96"/>
        <v>Error?</v>
      </c>
      <c r="E6270" s="2" t="s">
        <v>199</v>
      </c>
    </row>
    <row r="6271" spans="1:5" x14ac:dyDescent="0.2">
      <c r="A6271">
        <v>6210</v>
      </c>
      <c r="B6271" s="138">
        <f>'Acct Summary 7-8'!G82</f>
        <v>111159</v>
      </c>
      <c r="D6271" s="2" t="str">
        <f t="shared" ref="D6271:D6334" si="97">IF(ISBLANK(B6271),"OK",IF(A6271-B6271=0,"OK","Error?"))</f>
        <v>Error?</v>
      </c>
      <c r="E6271" s="2" t="s">
        <v>199</v>
      </c>
    </row>
    <row r="6272" spans="1:5" x14ac:dyDescent="0.2">
      <c r="A6272">
        <v>6211</v>
      </c>
      <c r="B6272" s="138">
        <f>'Acct Summary 7-8'!H82</f>
        <v>-1481958</v>
      </c>
      <c r="D6272" s="2" t="str">
        <f t="shared" si="97"/>
        <v>Error?</v>
      </c>
      <c r="E6272" s="2" t="s">
        <v>199</v>
      </c>
    </row>
    <row r="6273" spans="1:5" x14ac:dyDescent="0.2">
      <c r="A6273">
        <v>6212</v>
      </c>
      <c r="B6273" s="138">
        <f>'Acct Summary 7-8'!I82</f>
        <v>-700340</v>
      </c>
      <c r="D6273" s="2" t="str">
        <f t="shared" si="97"/>
        <v>Error?</v>
      </c>
      <c r="E6273" s="2" t="s">
        <v>199</v>
      </c>
    </row>
    <row r="6274" spans="1:5" x14ac:dyDescent="0.2">
      <c r="A6274">
        <v>6213</v>
      </c>
      <c r="B6274" s="138">
        <f>'Acct Summary 7-8'!J82</f>
        <v>-97845</v>
      </c>
      <c r="D6274" s="2" t="str">
        <f t="shared" si="97"/>
        <v>Error?</v>
      </c>
      <c r="E6274" s="2" t="s">
        <v>199</v>
      </c>
    </row>
    <row r="6275" spans="1:5" x14ac:dyDescent="0.2">
      <c r="A6275">
        <v>6214</v>
      </c>
      <c r="B6275" s="138">
        <f>'Acct Summary 7-8'!K82</f>
        <v>-115923</v>
      </c>
      <c r="D6275" s="2" t="str">
        <f t="shared" si="97"/>
        <v>Error?</v>
      </c>
      <c r="E6275" s="2" t="s">
        <v>199</v>
      </c>
    </row>
    <row r="6276" spans="1:5" x14ac:dyDescent="0.2">
      <c r="A6276">
        <v>6215</v>
      </c>
      <c r="B6276" s="138">
        <f>'Acct Summary 7-8'!C83</f>
        <v>0.2785232123520503</v>
      </c>
      <c r="D6276" s="2" t="str">
        <f t="shared" si="97"/>
        <v>Error?</v>
      </c>
      <c r="E6276" s="2" t="s">
        <v>199</v>
      </c>
    </row>
    <row r="6277" spans="1:5" x14ac:dyDescent="0.2">
      <c r="A6277">
        <v>6216</v>
      </c>
      <c r="B6277" s="138">
        <f>'Acct Summary 7-8'!D83</f>
        <v>8.9914500245174903E-2</v>
      </c>
      <c r="D6277" s="2" t="str">
        <f t="shared" si="97"/>
        <v>Error?</v>
      </c>
      <c r="E6277" s="2" t="s">
        <v>199</v>
      </c>
    </row>
    <row r="6278" spans="1:5" x14ac:dyDescent="0.2">
      <c r="A6278">
        <v>6217</v>
      </c>
      <c r="B6278" s="138">
        <f>'Acct Summary 7-8'!E83</f>
        <v>1.621125970512563E-2</v>
      </c>
      <c r="D6278" s="2" t="str">
        <f t="shared" si="97"/>
        <v>Error?</v>
      </c>
      <c r="E6278" s="2" t="s">
        <v>199</v>
      </c>
    </row>
    <row r="6279" spans="1:5" x14ac:dyDescent="0.2">
      <c r="A6279">
        <v>6218</v>
      </c>
      <c r="B6279" s="138">
        <f>'Acct Summary 7-8'!F83</f>
        <v>2.3729711607427529E-2</v>
      </c>
      <c r="D6279" s="2" t="str">
        <f t="shared" si="97"/>
        <v>Error?</v>
      </c>
      <c r="E6279" s="2" t="s">
        <v>199</v>
      </c>
    </row>
    <row r="6280" spans="1:5" x14ac:dyDescent="0.2">
      <c r="A6280">
        <v>6219</v>
      </c>
      <c r="B6280" s="138">
        <f>'Acct Summary 7-8'!G83</f>
        <v>7.731234929137823E-2</v>
      </c>
      <c r="D6280" s="2" t="str">
        <f t="shared" si="97"/>
        <v>Error?</v>
      </c>
      <c r="E6280" s="2" t="s">
        <v>199</v>
      </c>
    </row>
    <row r="6281" spans="1:5" x14ac:dyDescent="0.2">
      <c r="A6281">
        <v>6220</v>
      </c>
      <c r="B6281" s="138">
        <f>'Acct Summary 7-8'!H83</f>
        <v>-3.6563749050105105</v>
      </c>
      <c r="D6281" s="2" t="str">
        <f t="shared" si="97"/>
        <v>Error?</v>
      </c>
      <c r="E6281" s="2" t="s">
        <v>199</v>
      </c>
    </row>
    <row r="6282" spans="1:5" x14ac:dyDescent="0.2">
      <c r="A6282">
        <v>6221</v>
      </c>
      <c r="B6282" s="138">
        <f>'Acct Summary 7-8'!I83</f>
        <v>-0.30479063650298072</v>
      </c>
      <c r="D6282" s="2" t="str">
        <f t="shared" si="97"/>
        <v>Error?</v>
      </c>
      <c r="E6282" s="2" t="s">
        <v>199</v>
      </c>
    </row>
    <row r="6283" spans="1:5" x14ac:dyDescent="0.2">
      <c r="A6283">
        <v>6222</v>
      </c>
      <c r="B6283" s="138">
        <f>'Acct Summary 7-8'!J83</f>
        <v>-7.1314662052538669E-2</v>
      </c>
      <c r="D6283" s="2" t="str">
        <f t="shared" si="97"/>
        <v>Error?</v>
      </c>
      <c r="E6283" s="2" t="s">
        <v>199</v>
      </c>
    </row>
    <row r="6284" spans="1:5" x14ac:dyDescent="0.2">
      <c r="A6284">
        <v>6223</v>
      </c>
      <c r="B6284" s="138">
        <f>'Acct Summary 7-8'!K83</f>
        <v>-0.27741668381730028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588498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588498</v>
      </c>
      <c r="D6301" s="2" t="str">
        <f t="shared" si="97"/>
        <v>Error?</v>
      </c>
      <c r="E6301" s="2" t="s">
        <v>199</v>
      </c>
    </row>
    <row r="6302" spans="1:5" x14ac:dyDescent="0.2">
      <c r="A6302">
        <v>6241</v>
      </c>
      <c r="B6302" s="138">
        <f>'Revenues 9-14'!J14</f>
        <v>75</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75</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16481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16481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208757</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104284</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16010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605054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186699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158304</v>
      </c>
      <c r="D6880" s="2" t="str">
        <f t="shared" si="106"/>
        <v>Error?</v>
      </c>
    </row>
    <row r="6881" spans="1:4" x14ac:dyDescent="0.2">
      <c r="A6881">
        <v>6820</v>
      </c>
      <c r="B6881" s="138">
        <f>'Expenditures 15-22'!K22</f>
        <v>158304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547886</v>
      </c>
      <c r="D6983" s="2" t="str">
        <f t="shared" si="108"/>
        <v>Error?</v>
      </c>
    </row>
    <row r="6984" spans="1:4" x14ac:dyDescent="0.2">
      <c r="A6984">
        <v>6923</v>
      </c>
      <c r="B6984" s="138">
        <f>'Expenditures 15-22'!K86</f>
        <v>547886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622175</v>
      </c>
      <c r="D6987" s="2" t="str">
        <f t="shared" si="108"/>
        <v>Error?</v>
      </c>
    </row>
    <row r="6988" spans="1:4" x14ac:dyDescent="0.2">
      <c r="A6988">
        <v>6927</v>
      </c>
      <c r="B6988" s="138">
        <f>'Expenditures 15-22'!K88</f>
        <v>622175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1170061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702899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605054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1904</v>
      </c>
      <c r="D7079" s="2" t="str">
        <f t="shared" si="109"/>
        <v>Error?</v>
      </c>
    </row>
    <row r="7080" spans="1:4" x14ac:dyDescent="0.2">
      <c r="A7080">
        <v>7019</v>
      </c>
      <c r="B7080" s="138">
        <f>'Expenditures 15-22'!K226</f>
        <v>1904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3557</v>
      </c>
      <c r="D7089" s="2" t="str">
        <f t="shared" si="109"/>
        <v>Error?</v>
      </c>
    </row>
    <row r="7090" spans="1:4" x14ac:dyDescent="0.2">
      <c r="A7090">
        <v>7029</v>
      </c>
      <c r="B7090" s="138">
        <f>'Expenditures 15-22'!K252</f>
        <v>3557</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32742</v>
      </c>
      <c r="D7093" s="2" t="str">
        <f t="shared" si="109"/>
        <v>Error?</v>
      </c>
    </row>
    <row r="7094" spans="1:4" x14ac:dyDescent="0.2">
      <c r="A7094">
        <v>7033</v>
      </c>
      <c r="B7094" s="138">
        <f>'Expenditures 15-22'!K254</f>
        <v>32742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108200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108200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31788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31788</v>
      </c>
      <c r="D7153" s="2" t="str">
        <f t="shared" si="110"/>
        <v>Error?</v>
      </c>
    </row>
    <row r="7154" spans="1:4" x14ac:dyDescent="0.2">
      <c r="A7154">
        <v>7093</v>
      </c>
      <c r="B7154" s="138">
        <f>'Expenditures 15-22'!C323</f>
        <v>49743</v>
      </c>
      <c r="D7154" s="2" t="str">
        <f t="shared" si="110"/>
        <v>Error?</v>
      </c>
    </row>
    <row r="7155" spans="1:4" x14ac:dyDescent="0.2">
      <c r="A7155">
        <v>7094</v>
      </c>
      <c r="B7155" s="138">
        <f>'Expenditures 15-22'!D323</f>
        <v>10338</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60081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225108</v>
      </c>
      <c r="D7172" s="2" t="str">
        <f t="shared" si="111"/>
        <v>Error?</v>
      </c>
    </row>
    <row r="7173" spans="1:4" x14ac:dyDescent="0.2">
      <c r="A7173">
        <v>7112</v>
      </c>
      <c r="B7173" s="138">
        <f>'Expenditures 15-22'!D325</f>
        <v>48594</v>
      </c>
      <c r="D7173" s="2" t="str">
        <f t="shared" si="111"/>
        <v>Error?</v>
      </c>
    </row>
    <row r="7174" spans="1:4" x14ac:dyDescent="0.2">
      <c r="A7174">
        <v>7113</v>
      </c>
      <c r="B7174" s="138">
        <f>'Expenditures 15-22'!E325</f>
        <v>159162</v>
      </c>
      <c r="D7174" s="2" t="str">
        <f t="shared" si="111"/>
        <v>Error?</v>
      </c>
    </row>
    <row r="7175" spans="1:4" x14ac:dyDescent="0.2">
      <c r="A7175">
        <v>7114</v>
      </c>
      <c r="B7175" s="138">
        <f>'Expenditures 15-22'!F325</f>
        <v>2483</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435347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8315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8315</v>
      </c>
      <c r="D7198" s="2" t="str">
        <f t="shared" si="111"/>
        <v>Error?</v>
      </c>
    </row>
    <row r="7199" spans="1:4" x14ac:dyDescent="0.2">
      <c r="A7199">
        <v>7138</v>
      </c>
      <c r="B7199" s="138">
        <f>'Expenditures 15-22'!C330</f>
        <v>274851</v>
      </c>
      <c r="D7199" s="2" t="str">
        <f t="shared" si="111"/>
        <v>Error?</v>
      </c>
    </row>
    <row r="7200" spans="1:4" x14ac:dyDescent="0.2">
      <c r="A7200">
        <v>7139</v>
      </c>
      <c r="B7200" s="138">
        <f>'Expenditures 15-22'!D330</f>
        <v>58932</v>
      </c>
      <c r="D7200" s="2" t="str">
        <f t="shared" si="111"/>
        <v>Error?</v>
      </c>
    </row>
    <row r="7201" spans="1:4" x14ac:dyDescent="0.2">
      <c r="A7201">
        <v>7140</v>
      </c>
      <c r="B7201" s="138">
        <f>'Expenditures 15-22'!E330</f>
        <v>366633</v>
      </c>
      <c r="D7201" s="2" t="str">
        <f t="shared" si="111"/>
        <v>Error?</v>
      </c>
    </row>
    <row r="7202" spans="1:4" x14ac:dyDescent="0.2">
      <c r="A7202">
        <v>7141</v>
      </c>
      <c r="B7202" s="138">
        <f>'Expenditures 15-22'!F330</f>
        <v>2483</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702899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274851</v>
      </c>
      <c r="D7216" s="2" t="str">
        <f t="shared" si="111"/>
        <v>Error?</v>
      </c>
    </row>
    <row r="7217" spans="1:4" x14ac:dyDescent="0.2">
      <c r="A7217">
        <v>7156</v>
      </c>
      <c r="B7217" s="138">
        <f>'Expenditures 15-22'!D342</f>
        <v>58932</v>
      </c>
      <c r="D7217" s="2" t="str">
        <f t="shared" si="111"/>
        <v>Error?</v>
      </c>
    </row>
    <row r="7218" spans="1:4" x14ac:dyDescent="0.2">
      <c r="A7218">
        <v>7157</v>
      </c>
      <c r="B7218" s="138">
        <f>'Expenditures 15-22'!E342</f>
        <v>366633</v>
      </c>
      <c r="D7218" s="2" t="str">
        <f t="shared" si="111"/>
        <v>Error?</v>
      </c>
    </row>
    <row r="7219" spans="1:4" x14ac:dyDescent="0.2">
      <c r="A7219">
        <v>7158</v>
      </c>
      <c r="B7219" s="138">
        <f>'Expenditures 15-22'!F342</f>
        <v>2483</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702899</v>
      </c>
      <c r="D7224" s="2" t="str">
        <f t="shared" si="111"/>
        <v>Error?</v>
      </c>
    </row>
    <row r="7225" spans="1:4" x14ac:dyDescent="0.2">
      <c r="A7225">
        <v>7164</v>
      </c>
      <c r="B7225" s="138">
        <f>'Expenditures 15-22'!K343</f>
        <v>-97845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142249</v>
      </c>
      <c r="D7263" s="2" t="str">
        <f t="shared" si="112"/>
        <v>Error?</v>
      </c>
    </row>
    <row r="7264" spans="1:4" x14ac:dyDescent="0.2">
      <c r="A7264">
        <f t="shared" si="113"/>
        <v>7203</v>
      </c>
      <c r="B7264" s="138">
        <f>'Expenditures 15-22'!D17</f>
        <v>24971</v>
      </c>
      <c r="D7264" s="2" t="str">
        <f t="shared" si="112"/>
        <v>Error?</v>
      </c>
    </row>
    <row r="7265" spans="1:5" x14ac:dyDescent="0.2">
      <c r="A7265">
        <f t="shared" si="113"/>
        <v>7204</v>
      </c>
      <c r="B7265" s="138">
        <f>'Expenditures 15-22'!E17</f>
        <v>16841</v>
      </c>
      <c r="D7265" s="2" t="str">
        <f t="shared" si="112"/>
        <v>Error?</v>
      </c>
    </row>
    <row r="7266" spans="1:5" x14ac:dyDescent="0.2">
      <c r="A7266">
        <f t="shared" si="113"/>
        <v>7205</v>
      </c>
      <c r="B7266" s="138">
        <f>'Expenditures 15-22'!F17</f>
        <v>2638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9456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9456</v>
      </c>
      <c r="D7618" s="2" t="str">
        <f t="shared" si="124"/>
        <v>Error?</v>
      </c>
      <c r="E7618" s="2" t="s">
        <v>19</v>
      </c>
    </row>
    <row r="7619" spans="1:5" x14ac:dyDescent="0.2">
      <c r="A7619">
        <f t="shared" si="123"/>
        <v>7558</v>
      </c>
      <c r="B7619" s="138">
        <f>'Cap Outlay Deprec 26'!H14</f>
        <v>6977</v>
      </c>
      <c r="D7619" s="2" t="str">
        <f t="shared" si="124"/>
        <v>Error?</v>
      </c>
      <c r="E7619" s="2" t="s">
        <v>19</v>
      </c>
    </row>
    <row r="7620" spans="1:5" x14ac:dyDescent="0.2">
      <c r="A7620">
        <f t="shared" si="123"/>
        <v>7559</v>
      </c>
      <c r="B7620" s="138">
        <f>'Cap Outlay Deprec 26'!I14</f>
        <v>2479</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9456</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1220811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48747</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48747</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10421</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10421</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16010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69745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85755</v>
      </c>
      <c r="D7719" s="2" t="str">
        <f t="shared" si="126"/>
        <v>Error?</v>
      </c>
      <c r="E7719" s="2" t="s">
        <v>881</v>
      </c>
    </row>
    <row r="7720" spans="1:6" x14ac:dyDescent="0.2">
      <c r="A7720">
        <v>7659</v>
      </c>
      <c r="B7720" s="138">
        <f>'Rest Tax Levies-Tort Im 25'!H14</f>
        <v>105771</v>
      </c>
      <c r="D7720" s="2" t="str">
        <f t="shared" si="126"/>
        <v>Error?</v>
      </c>
      <c r="E7720" s="2" t="s">
        <v>881</v>
      </c>
    </row>
    <row r="7721" spans="1:6" x14ac:dyDescent="0.2">
      <c r="A7721">
        <v>7660</v>
      </c>
      <c r="B7721" s="138">
        <f>'Rest Tax Levies-Tort Im 25'!K14</f>
        <v>85755</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649461</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1856860</v>
      </c>
      <c r="D7797" s="2" t="str">
        <f t="shared" si="127"/>
        <v>Error?</v>
      </c>
      <c r="E7797" s="4" t="s">
        <v>2017</v>
      </c>
    </row>
    <row r="7798" spans="1:5" x14ac:dyDescent="0.2">
      <c r="A7798">
        <v>7737</v>
      </c>
      <c r="B7798" s="138">
        <f>'Contracts Paid in CY 29'!F141</f>
        <v>417311</v>
      </c>
      <c r="D7798" s="2" t="str">
        <f t="shared" si="127"/>
        <v>Error?</v>
      </c>
      <c r="E7798" s="4" t="s">
        <v>2017</v>
      </c>
    </row>
    <row r="7799" spans="1:5" x14ac:dyDescent="0.2">
      <c r="A7799">
        <v>7738</v>
      </c>
      <c r="B7799" s="138">
        <f>'Contracts Paid in CY 29'!G141</f>
        <v>413534</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7" zoomScale="110" zoomScaleNormal="110" workbookViewId="0">
      <selection activeCell="G12" sqref="G12:L12"/>
    </sheetView>
  </sheetViews>
  <sheetFormatPr defaultColWidth="9.140625" defaultRowHeight="12.75" x14ac:dyDescent="0.2"/>
  <cols>
    <col min="1" max="1" width="7.85546875" style="1181" customWidth="1"/>
    <col min="2" max="2" width="2.28515625" style="1177" customWidth="1"/>
    <col min="3" max="3" width="9.140625" style="1181"/>
    <col min="4" max="4" width="16.7109375"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0.4257812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1799</v>
      </c>
      <c r="B4" s="2438"/>
      <c r="C4" s="2438"/>
      <c r="D4" s="2438"/>
      <c r="E4" s="2438"/>
      <c r="F4" s="2438"/>
      <c r="G4" s="2438"/>
      <c r="H4" s="2438"/>
      <c r="I4" s="2438"/>
      <c r="J4" s="2438"/>
      <c r="K4" s="2438"/>
      <c r="L4" s="243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1" t="str">
        <f>COVER!A17</f>
        <v>United Twp HSD 30</v>
      </c>
      <c r="B7" s="2402"/>
      <c r="C7" s="2402"/>
      <c r="D7" s="2439"/>
      <c r="E7" s="2440">
        <f>COVER!A13</f>
        <v>49081030017</v>
      </c>
      <c r="F7" s="2441"/>
      <c r="G7" s="2408" t="str">
        <f>COVER!T23</f>
        <v>066.004397</v>
      </c>
      <c r="H7" s="2409"/>
      <c r="I7" s="2409"/>
      <c r="J7" s="2409"/>
      <c r="K7" s="2409"/>
      <c r="L7" s="241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1"/>
      <c r="B9" s="2412"/>
      <c r="C9" s="2412"/>
      <c r="D9" s="2412"/>
      <c r="E9" s="2412"/>
      <c r="F9" s="2413"/>
      <c r="G9" s="2414" t="str">
        <f>COVER!T13</f>
        <v>Bohnsack &amp; Frommelt, LLP</v>
      </c>
      <c r="H9" s="2415"/>
      <c r="I9" s="2415"/>
      <c r="J9" s="2415"/>
      <c r="K9" s="2415"/>
      <c r="L9" s="2416"/>
    </row>
    <row r="10" spans="1:29" ht="13.5" customHeight="1" x14ac:dyDescent="0.2">
      <c r="A10" s="2398" t="str">
        <f>COVER!A38</f>
        <v>Dr. Jay Morrow</v>
      </c>
      <c r="B10" s="2399"/>
      <c r="C10" s="2399"/>
      <c r="D10" s="2399"/>
      <c r="E10" s="2399"/>
      <c r="F10" s="2400"/>
      <c r="G10" s="2414" t="str">
        <f>COVER!T17</f>
        <v>1500 River Drive, Suite 200</v>
      </c>
      <c r="H10" s="2427"/>
      <c r="I10" s="2427"/>
      <c r="J10" s="2427"/>
      <c r="K10" s="2427"/>
      <c r="L10" s="2428"/>
    </row>
    <row r="11" spans="1:29" ht="13.5" customHeight="1" x14ac:dyDescent="0.2">
      <c r="A11" s="1185" t="s">
        <v>1599</v>
      </c>
      <c r="B11" s="1186"/>
      <c r="C11" s="1187"/>
      <c r="D11" s="1192"/>
      <c r="E11" s="1187"/>
      <c r="F11" s="1191"/>
      <c r="G11" s="2414" t="str">
        <f>COVER!T19</f>
        <v>Moline</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f>COVER!T25</f>
        <v>0</v>
      </c>
      <c r="J13" s="2436"/>
      <c r="K13" s="2436"/>
      <c r="L13" s="2437"/>
    </row>
    <row r="14" spans="1:29" ht="13.5" customHeight="1" x14ac:dyDescent="0.2">
      <c r="A14" s="2414" t="str">
        <f>COVER!A19</f>
        <v>1275 Avenue of the Cities</v>
      </c>
      <c r="B14" s="2427"/>
      <c r="C14" s="2427"/>
      <c r="D14" s="2427"/>
      <c r="E14" s="2427"/>
      <c r="F14" s="2428"/>
      <c r="G14" s="1196" t="s">
        <v>1247</v>
      </c>
      <c r="H14" s="1194"/>
      <c r="I14" s="1194"/>
      <c r="J14" s="1194"/>
      <c r="K14" s="1194"/>
      <c r="L14" s="1195"/>
    </row>
    <row r="15" spans="1:29" ht="13.5" customHeight="1" x14ac:dyDescent="0.2">
      <c r="A15" s="2414" t="str">
        <f>COVER!A21</f>
        <v>East Moline</v>
      </c>
      <c r="B15" s="2427"/>
      <c r="C15" s="2427"/>
      <c r="D15" s="2427"/>
      <c r="E15" s="2427"/>
      <c r="F15" s="2428"/>
      <c r="G15" s="2424" t="str">
        <f>COVER!T15</f>
        <v>Sarah Bohnsack</v>
      </c>
      <c r="H15" s="2425"/>
      <c r="I15" s="2425"/>
      <c r="J15" s="2425"/>
      <c r="K15" s="2425"/>
      <c r="L15" s="2426"/>
    </row>
    <row r="16" spans="1:29" ht="12.2" customHeight="1" x14ac:dyDescent="0.2">
      <c r="A16" s="2404">
        <f>COVER!A25</f>
        <v>61244</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6" t="s">
        <v>1246</v>
      </c>
      <c r="H17" s="1194"/>
      <c r="I17" s="1194"/>
      <c r="J17" s="1194"/>
      <c r="K17" s="1198" t="s">
        <v>1245</v>
      </c>
      <c r="L17" s="1191"/>
      <c r="M17" s="1184"/>
    </row>
    <row r="18" spans="1:13" ht="12.2" customHeight="1" x14ac:dyDescent="0.2">
      <c r="A18" s="2398"/>
      <c r="B18" s="2399"/>
      <c r="C18" s="2399"/>
      <c r="D18" s="2399"/>
      <c r="E18" s="2399"/>
      <c r="F18" s="2400"/>
      <c r="G18" s="2401" t="str">
        <f>COVER!T21</f>
        <v>563-343-9595</v>
      </c>
      <c r="H18" s="2402"/>
      <c r="I18" s="2402"/>
      <c r="J18" s="2402"/>
      <c r="K18" s="2401">
        <f>COVER!X21</f>
        <v>0</v>
      </c>
      <c r="L18" s="240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United Twp HSD 30</v>
      </c>
      <c r="B1" s="2438"/>
      <c r="C1" s="2438"/>
      <c r="D1" s="2438"/>
    </row>
    <row r="2" spans="1:11" s="1215" customFormat="1" ht="12.75" x14ac:dyDescent="0.2">
      <c r="A2" s="2443">
        <f>'Single Audit Cover'!E7</f>
        <v>49081030017</v>
      </c>
      <c r="B2" s="2444"/>
      <c r="C2" s="2444"/>
      <c r="D2" s="2444"/>
    </row>
    <row r="3" spans="1:11" s="1215" customFormat="1" ht="12.75" x14ac:dyDescent="0.2">
      <c r="A3" s="2442" t="s">
        <v>1593</v>
      </c>
      <c r="B3" s="2438"/>
      <c r="C3" s="2438"/>
      <c r="D3" s="243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H32" sqref="H32"/>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United Twp HSD 30</v>
      </c>
      <c r="B1" s="2446"/>
      <c r="C1" s="2446"/>
      <c r="D1" s="2446"/>
      <c r="E1" s="2446"/>
    </row>
    <row r="2" spans="1:5" x14ac:dyDescent="0.2">
      <c r="A2" s="2447">
        <f>'Single Audit Cover'!E7</f>
        <v>49081030017</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1298538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75495</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-28564</v>
      </c>
    </row>
    <row r="19" spans="1:4" ht="13.5" thickBot="1" x14ac:dyDescent="0.25">
      <c r="A19" s="1265" t="s">
        <v>1297</v>
      </c>
      <c r="D19" s="1266">
        <f>SUM(D10:D17)</f>
        <v>1345469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1345469</v>
      </c>
    </row>
    <row r="33" spans="1:4" x14ac:dyDescent="0.2">
      <c r="D33" s="1269"/>
    </row>
    <row r="34" spans="1:4" x14ac:dyDescent="0.2">
      <c r="A34" s="317" t="s">
        <v>1294</v>
      </c>
    </row>
    <row r="35" spans="1:4" x14ac:dyDescent="0.2">
      <c r="A35" s="317" t="s">
        <v>1293</v>
      </c>
      <c r="B35" s="1258" t="s">
        <v>1292</v>
      </c>
      <c r="D35" s="1270">
        <f>+' SEFA (3)'!F22</f>
        <v>1345469</v>
      </c>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1345469</v>
      </c>
    </row>
    <row r="49" spans="2:4" x14ac:dyDescent="0.2">
      <c r="B49" s="1272" t="s">
        <v>1288</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1" zoomScale="120" zoomScaleNormal="120" workbookViewId="0">
      <selection activeCell="C33" sqref="C33:C3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United Twp HSD 30</v>
      </c>
      <c r="B1" s="2451"/>
      <c r="C1" s="2451"/>
      <c r="D1" s="2451"/>
      <c r="E1" s="2451"/>
      <c r="F1" s="2451"/>
    </row>
    <row r="2" spans="1:7" ht="13.5" customHeight="1" x14ac:dyDescent="0.2">
      <c r="A2" s="2452">
        <f>'Single Audit Cover'!E7</f>
        <v>49081030017</v>
      </c>
      <c r="B2" s="2452"/>
      <c r="C2" s="2452"/>
      <c r="D2" s="2452"/>
      <c r="E2" s="2452"/>
      <c r="F2" s="2452"/>
      <c r="G2" s="1275"/>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76" t="s">
        <v>1831</v>
      </c>
      <c r="C6" s="317"/>
      <c r="D6" s="317"/>
    </row>
    <row r="7" spans="1:7" ht="60.95" customHeight="1" x14ac:dyDescent="0.2">
      <c r="A7" s="2450" t="s">
        <v>2160</v>
      </c>
      <c r="B7" s="2450"/>
      <c r="C7" s="2450"/>
      <c r="D7" s="2450"/>
      <c r="E7" s="2450"/>
      <c r="F7" s="2450"/>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2159</v>
      </c>
      <c r="F10" s="1280" t="s">
        <v>101</v>
      </c>
      <c r="G10" s="1278"/>
    </row>
    <row r="11" spans="1:7" ht="12" customHeight="1" x14ac:dyDescent="0.2">
      <c r="A11" s="1279"/>
      <c r="B11" s="1280"/>
      <c r="C11" s="1923"/>
      <c r="D11" s="1280"/>
      <c r="E11" s="1923"/>
      <c r="F11" s="1280"/>
      <c r="G11" s="1278"/>
    </row>
    <row r="12" spans="1:7" x14ac:dyDescent="0.2">
      <c r="A12" s="1276" t="s">
        <v>1669</v>
      </c>
      <c r="C12" s="1260"/>
      <c r="D12" s="1260"/>
    </row>
    <row r="13" spans="1:7" ht="22.5" customHeight="1" x14ac:dyDescent="0.2">
      <c r="A13" s="2450" t="s">
        <v>2161</v>
      </c>
      <c r="B13" s="2450"/>
      <c r="C13" s="2450"/>
      <c r="D13" s="2450"/>
      <c r="E13" s="2450"/>
      <c r="F13" s="2450"/>
    </row>
    <row r="14" spans="1:7" ht="9.75" customHeight="1" x14ac:dyDescent="0.2">
      <c r="C14" s="1260"/>
      <c r="D14" s="1260"/>
    </row>
    <row r="15" spans="1:7" ht="13.5" customHeight="1" x14ac:dyDescent="0.2">
      <c r="C15" s="1867" t="s">
        <v>1332</v>
      </c>
      <c r="D15" s="2456" t="s">
        <v>1331</v>
      </c>
      <c r="E15" s="2456"/>
      <c r="F15" s="2456"/>
    </row>
    <row r="16" spans="1:7" ht="13.5" customHeight="1" x14ac:dyDescent="0.2">
      <c r="A16" s="1282"/>
      <c r="B16" s="1276" t="s">
        <v>1330</v>
      </c>
      <c r="C16" s="1867" t="s">
        <v>1329</v>
      </c>
      <c r="D16" s="2457" t="s">
        <v>1670</v>
      </c>
      <c r="E16" s="2457"/>
      <c r="F16" s="2457"/>
    </row>
    <row r="17" spans="1:6" ht="20.45" customHeight="1" x14ac:dyDescent="0.2">
      <c r="A17" s="1283"/>
      <c r="B17" s="1284" t="s">
        <v>2127</v>
      </c>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4"/>
      <c r="E30" s="1286"/>
    </row>
    <row r="31" spans="1:6" ht="12" customHeight="1" x14ac:dyDescent="0.2">
      <c r="A31" s="1287" t="s">
        <v>1630</v>
      </c>
      <c r="B31" s="328"/>
      <c r="C31" s="1478"/>
      <c r="D31" s="1924"/>
      <c r="E31" s="1286"/>
    </row>
    <row r="32" spans="1:6" ht="30" customHeight="1" x14ac:dyDescent="0.2">
      <c r="A32" s="2459" t="s">
        <v>2162</v>
      </c>
      <c r="B32" s="2459"/>
      <c r="C32" s="2459"/>
      <c r="D32" s="2459"/>
      <c r="E32" s="2459"/>
      <c r="F32" s="2459"/>
    </row>
    <row r="33" spans="1:6" ht="13.5" customHeight="1" x14ac:dyDescent="0.2">
      <c r="A33" s="328" t="s">
        <v>1509</v>
      </c>
      <c r="B33" s="328"/>
      <c r="C33" s="1288">
        <f>+' SEFA'!I19</f>
        <v>60716</v>
      </c>
      <c r="D33" s="1924"/>
      <c r="E33" s="1286"/>
    </row>
    <row r="34" spans="1:6" ht="13.5" customHeight="1" x14ac:dyDescent="0.2">
      <c r="A34" s="328" t="s">
        <v>1946</v>
      </c>
      <c r="B34" s="328"/>
      <c r="C34" s="1289">
        <f>+' SEFA'!I18</f>
        <v>14779</v>
      </c>
      <c r="D34" s="1924" t="s">
        <v>1671</v>
      </c>
      <c r="E34" s="2460">
        <f>+C33+C34</f>
        <v>75495</v>
      </c>
      <c r="F34" s="2461"/>
    </row>
    <row r="35" spans="1:6" ht="12" customHeight="1" x14ac:dyDescent="0.2">
      <c r="A35" s="328"/>
      <c r="B35" s="328"/>
      <c r="C35" s="1925"/>
      <c r="D35" s="1924"/>
      <c r="E35" s="1290"/>
      <c r="F35" s="1291"/>
    </row>
    <row r="36" spans="1:6" ht="13.5" customHeight="1" x14ac:dyDescent="0.2">
      <c r="A36" s="1287" t="s">
        <v>1631</v>
      </c>
      <c r="B36" s="328"/>
      <c r="C36" s="1478"/>
      <c r="D36" s="1924"/>
      <c r="E36" s="1286"/>
    </row>
    <row r="37" spans="1:6" ht="14.25" customHeight="1" x14ac:dyDescent="0.2">
      <c r="A37" s="328" t="s">
        <v>1563</v>
      </c>
      <c r="B37" s="328"/>
      <c r="C37" s="1926"/>
      <c r="D37" s="1924"/>
      <c r="E37" s="1286"/>
    </row>
    <row r="38" spans="1:6" ht="14.25" customHeight="1" x14ac:dyDescent="0.2">
      <c r="A38" s="328"/>
      <c r="B38" s="328" t="s">
        <v>1510</v>
      </c>
      <c r="C38" s="1292">
        <v>0</v>
      </c>
      <c r="D38" s="1924"/>
      <c r="E38" s="1286"/>
    </row>
    <row r="39" spans="1:6" ht="14.25" customHeight="1" x14ac:dyDescent="0.2">
      <c r="A39" s="328"/>
      <c r="B39" s="328" t="s">
        <v>1511</v>
      </c>
      <c r="C39" s="1292">
        <v>0</v>
      </c>
      <c r="D39" s="1924"/>
      <c r="E39" s="1286"/>
    </row>
    <row r="40" spans="1:6" ht="14.25" customHeight="1" x14ac:dyDescent="0.2">
      <c r="A40" s="328"/>
      <c r="B40" s="328" t="s">
        <v>1512</v>
      </c>
      <c r="C40" s="1292">
        <v>0</v>
      </c>
      <c r="D40" s="1924"/>
      <c r="E40" s="1286"/>
    </row>
    <row r="41" spans="1:6" ht="14.25" customHeight="1" x14ac:dyDescent="0.2">
      <c r="A41" s="328"/>
      <c r="B41" s="328" t="s">
        <v>1513</v>
      </c>
      <c r="C41" s="1292">
        <v>0</v>
      </c>
      <c r="D41" s="1924"/>
      <c r="E41" s="1286"/>
    </row>
    <row r="42" spans="1:6" ht="14.25" customHeight="1" x14ac:dyDescent="0.2">
      <c r="A42" s="328" t="s">
        <v>1514</v>
      </c>
      <c r="B42" s="328"/>
      <c r="C42" s="1922">
        <v>0</v>
      </c>
      <c r="D42" s="1924"/>
      <c r="E42" s="1286"/>
    </row>
    <row r="43" spans="1:6" ht="14.25" customHeight="1" x14ac:dyDescent="0.2">
      <c r="A43" s="328" t="s">
        <v>1515</v>
      </c>
      <c r="B43" s="328"/>
      <c r="C43" s="1293" t="s">
        <v>401</v>
      </c>
      <c r="D43" s="1924"/>
      <c r="E43" s="1286"/>
    </row>
    <row r="44" spans="1:6" ht="14.25" customHeight="1" x14ac:dyDescent="0.2">
      <c r="A44" s="328"/>
      <c r="B44" s="328"/>
      <c r="C44" s="1926" t="s">
        <v>1516</v>
      </c>
      <c r="D44" s="1924"/>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1672</v>
      </c>
      <c r="C49" s="2462"/>
      <c r="D49" s="2462"/>
      <c r="E49" s="1399"/>
    </row>
    <row r="50" spans="1:5" s="1300" customFormat="1" ht="3.75" customHeight="1" x14ac:dyDescent="0.2">
      <c r="A50" s="1299"/>
      <c r="B50" s="1866"/>
      <c r="C50" s="1866"/>
      <c r="D50" s="1866"/>
      <c r="E50" s="1399"/>
    </row>
    <row r="51" spans="1:5" s="1300" customFormat="1" ht="20.25" customHeight="1" x14ac:dyDescent="0.2">
      <c r="A51" s="1301">
        <v>6</v>
      </c>
      <c r="B51" s="2458" t="s">
        <v>1632</v>
      </c>
      <c r="C51" s="2458"/>
      <c r="D51" s="2458"/>
    </row>
    <row r="52" spans="1:5" ht="14.25" customHeight="1" x14ac:dyDescent="0.2">
      <c r="A52" s="1301"/>
      <c r="B52" s="2458"/>
      <c r="C52" s="2458"/>
      <c r="D52" s="245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2" firstPageNumber="39" orientation="portrait" useFirstPageNumber="1" r:id="rId1"/>
  <headerFooter alignWithMargins="0">
    <oddHeader>&amp;L&amp;8Page 41&amp;R&amp;8Page 41</oddHeader>
  </headerFooter>
  <ignoredErrors>
    <ignoredError sqref="C33:C34"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2"/>
  <sheetViews>
    <sheetView showGridLines="0" zoomScaleNormal="100" workbookViewId="0">
      <selection activeCell="F18" sqref="F18:F1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United Twp HSD 30</v>
      </c>
      <c r="C1" s="2463"/>
      <c r="D1" s="2463"/>
      <c r="E1" s="2463"/>
      <c r="F1" s="2463"/>
      <c r="G1" s="2463"/>
      <c r="H1" s="2463"/>
      <c r="I1" s="2463"/>
      <c r="J1" s="2463"/>
      <c r="K1" s="2463"/>
      <c r="L1" s="2463"/>
      <c r="M1" s="2463"/>
    </row>
    <row r="2" spans="2:14" ht="15" x14ac:dyDescent="0.2">
      <c r="B2" s="2452">
        <f>'Single Audit Cover'!E7</f>
        <v>49081030017</v>
      </c>
      <c r="C2" s="2452"/>
      <c r="D2" s="2452"/>
      <c r="E2" s="2452"/>
      <c r="F2" s="2452"/>
      <c r="G2" s="2452"/>
      <c r="H2" s="2452"/>
      <c r="I2" s="2452"/>
      <c r="J2" s="2452"/>
      <c r="K2" s="2452"/>
      <c r="L2" s="2452"/>
      <c r="M2" s="2452"/>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2" t="s">
        <v>2098</v>
      </c>
      <c r="C11" s="1338"/>
      <c r="D11" s="1339"/>
      <c r="E11" s="1340"/>
      <c r="F11" s="1340"/>
      <c r="G11" s="1340"/>
      <c r="H11" s="1340"/>
      <c r="I11" s="1340"/>
      <c r="J11" s="1340"/>
      <c r="K11" s="1340"/>
      <c r="L11" s="1340">
        <f>+G11+I11+K11</f>
        <v>0</v>
      </c>
      <c r="M11" s="1340"/>
    </row>
    <row r="12" spans="2:14" ht="20.100000000000001" customHeight="1" x14ac:dyDescent="0.2">
      <c r="B12" s="1337" t="s">
        <v>2099</v>
      </c>
      <c r="C12" s="1341"/>
      <c r="D12" s="1342"/>
      <c r="E12" s="1343"/>
      <c r="F12" s="1343"/>
      <c r="G12" s="1343"/>
      <c r="H12" s="1343"/>
      <c r="I12" s="1343"/>
      <c r="J12" s="1343"/>
      <c r="K12" s="1343"/>
      <c r="L12" s="1340">
        <f t="shared" ref="L12:L27" si="0">+G12+I12+K12</f>
        <v>0</v>
      </c>
      <c r="M12" s="1343"/>
    </row>
    <row r="13" spans="2:14" ht="20.100000000000001" customHeight="1" x14ac:dyDescent="0.2">
      <c r="B13" s="1337" t="s">
        <v>2100</v>
      </c>
      <c r="C13" s="1341"/>
      <c r="D13" s="1342"/>
      <c r="E13" s="1343"/>
      <c r="F13" s="1343"/>
      <c r="G13" s="1343"/>
      <c r="H13" s="1343"/>
      <c r="I13" s="1343"/>
      <c r="J13" s="1343"/>
      <c r="K13" s="1343"/>
      <c r="L13" s="1340">
        <f t="shared" si="0"/>
        <v>0</v>
      </c>
      <c r="M13" s="1343"/>
    </row>
    <row r="14" spans="2:14" ht="20.100000000000001" customHeight="1" x14ac:dyDescent="0.2">
      <c r="B14" s="1337" t="s">
        <v>2129</v>
      </c>
      <c r="C14" s="1341">
        <v>10.555</v>
      </c>
      <c r="D14" s="1342" t="s">
        <v>2102</v>
      </c>
      <c r="E14" s="1343">
        <v>309622</v>
      </c>
      <c r="F14" s="1343">
        <v>109027</v>
      </c>
      <c r="G14" s="1343">
        <v>309622</v>
      </c>
      <c r="H14" s="1343">
        <v>0</v>
      </c>
      <c r="I14" s="1343">
        <v>109027</v>
      </c>
      <c r="J14" s="1343">
        <v>0</v>
      </c>
      <c r="K14" s="1343">
        <v>0</v>
      </c>
      <c r="L14" s="1340">
        <f t="shared" si="0"/>
        <v>418649</v>
      </c>
      <c r="M14" s="1343" t="s">
        <v>2130</v>
      </c>
    </row>
    <row r="15" spans="2:14" ht="20.100000000000001" customHeight="1" x14ac:dyDescent="0.2">
      <c r="B15" s="1337" t="s">
        <v>2129</v>
      </c>
      <c r="C15" s="1341">
        <v>10.555</v>
      </c>
      <c r="D15" s="1342" t="s">
        <v>2131</v>
      </c>
      <c r="E15" s="1343">
        <v>0</v>
      </c>
      <c r="F15" s="1343">
        <v>322865</v>
      </c>
      <c r="G15" s="1343">
        <v>0</v>
      </c>
      <c r="H15" s="1343">
        <v>0</v>
      </c>
      <c r="I15" s="1343">
        <v>322865</v>
      </c>
      <c r="J15" s="1343">
        <v>0</v>
      </c>
      <c r="K15" s="1343">
        <v>0</v>
      </c>
      <c r="L15" s="1340">
        <f t="shared" si="0"/>
        <v>322865</v>
      </c>
      <c r="M15" s="1343" t="s">
        <v>2130</v>
      </c>
    </row>
    <row r="16" spans="2:14" ht="20.100000000000001" customHeight="1" x14ac:dyDescent="0.2">
      <c r="B16" s="1337" t="s">
        <v>2132</v>
      </c>
      <c r="C16" s="1341">
        <v>10.553000000000001</v>
      </c>
      <c r="D16" s="1342" t="s">
        <v>2103</v>
      </c>
      <c r="E16" s="1343">
        <v>45983</v>
      </c>
      <c r="F16" s="1343">
        <v>13854</v>
      </c>
      <c r="G16" s="1343">
        <v>45983</v>
      </c>
      <c r="H16" s="1343">
        <v>0</v>
      </c>
      <c r="I16" s="1343">
        <v>13854</v>
      </c>
      <c r="J16" s="1343">
        <v>0</v>
      </c>
      <c r="K16" s="1343">
        <v>0</v>
      </c>
      <c r="L16" s="1340">
        <f t="shared" si="0"/>
        <v>59837</v>
      </c>
      <c r="M16" s="1343" t="s">
        <v>2130</v>
      </c>
    </row>
    <row r="17" spans="1:14" ht="20.100000000000001" customHeight="1" x14ac:dyDescent="0.2">
      <c r="B17" s="1337" t="s">
        <v>2132</v>
      </c>
      <c r="C17" s="1341">
        <v>10.553000000000001</v>
      </c>
      <c r="D17" s="1342" t="s">
        <v>2133</v>
      </c>
      <c r="E17" s="1343">
        <v>0</v>
      </c>
      <c r="F17" s="1343">
        <v>41135</v>
      </c>
      <c r="G17" s="1343">
        <v>0</v>
      </c>
      <c r="H17" s="1343">
        <v>0</v>
      </c>
      <c r="I17" s="1343">
        <v>41135</v>
      </c>
      <c r="J17" s="1343">
        <v>0</v>
      </c>
      <c r="K17" s="1343">
        <v>0</v>
      </c>
      <c r="L17" s="1340">
        <f t="shared" si="0"/>
        <v>41135</v>
      </c>
      <c r="M17" s="1343" t="s">
        <v>2130</v>
      </c>
    </row>
    <row r="18" spans="1:14" ht="20.100000000000001" customHeight="1" x14ac:dyDescent="0.2">
      <c r="A18" s="317" t="s">
        <v>2134</v>
      </c>
      <c r="B18" s="1337" t="s">
        <v>2135</v>
      </c>
      <c r="C18" s="1341">
        <v>10.555</v>
      </c>
      <c r="D18" s="1342" t="s">
        <v>2136</v>
      </c>
      <c r="E18" s="1343">
        <v>0</v>
      </c>
      <c r="F18" s="1343">
        <v>14779</v>
      </c>
      <c r="G18" s="1343">
        <v>0</v>
      </c>
      <c r="H18" s="1343">
        <v>0</v>
      </c>
      <c r="I18" s="1343">
        <v>14779</v>
      </c>
      <c r="J18" s="1343">
        <v>0</v>
      </c>
      <c r="K18" s="1343">
        <v>0</v>
      </c>
      <c r="L18" s="1340">
        <f t="shared" si="0"/>
        <v>14779</v>
      </c>
      <c r="M18" s="1343" t="s">
        <v>2130</v>
      </c>
    </row>
    <row r="19" spans="1:14" ht="20.100000000000001" customHeight="1" x14ac:dyDescent="0.2">
      <c r="B19" s="1337" t="s">
        <v>2137</v>
      </c>
      <c r="C19" s="1341">
        <v>10.555</v>
      </c>
      <c r="D19" s="1342" t="s">
        <v>2136</v>
      </c>
      <c r="E19" s="1343">
        <v>0</v>
      </c>
      <c r="F19" s="1343">
        <v>60716</v>
      </c>
      <c r="G19" s="1343">
        <v>0</v>
      </c>
      <c r="H19" s="1343">
        <v>0</v>
      </c>
      <c r="I19" s="1343">
        <v>60716</v>
      </c>
      <c r="J19" s="1343">
        <v>0</v>
      </c>
      <c r="K19" s="1343">
        <v>0</v>
      </c>
      <c r="L19" s="1340">
        <f t="shared" si="0"/>
        <v>60716</v>
      </c>
      <c r="M19" s="1343" t="s">
        <v>2130</v>
      </c>
    </row>
    <row r="20" spans="1:14" ht="20.100000000000001" customHeight="1" x14ac:dyDescent="0.2">
      <c r="B20" s="1337" t="s">
        <v>2101</v>
      </c>
      <c r="C20" s="1341"/>
      <c r="D20" s="1342"/>
      <c r="E20" s="1343">
        <f t="shared" ref="E20:K20" si="1">SUM(E14:E19)</f>
        <v>355605</v>
      </c>
      <c r="F20" s="1343">
        <f t="shared" si="1"/>
        <v>562376</v>
      </c>
      <c r="G20" s="1343">
        <f t="shared" si="1"/>
        <v>355605</v>
      </c>
      <c r="H20" s="1343">
        <f t="shared" si="1"/>
        <v>0</v>
      </c>
      <c r="I20" s="1343">
        <f t="shared" si="1"/>
        <v>562376</v>
      </c>
      <c r="J20" s="1343">
        <f t="shared" si="1"/>
        <v>0</v>
      </c>
      <c r="K20" s="1343">
        <f t="shared" si="1"/>
        <v>0</v>
      </c>
      <c r="L20" s="1340">
        <f>SUM(L11:L19)</f>
        <v>917981</v>
      </c>
      <c r="M20" s="1343"/>
    </row>
    <row r="21" spans="1:14" ht="20.100000000000001" customHeight="1" x14ac:dyDescent="0.2">
      <c r="B21" s="1952" t="s">
        <v>2138</v>
      </c>
      <c r="C21" s="1341"/>
      <c r="D21" s="1342"/>
      <c r="E21" s="1343">
        <f t="shared" ref="E21:K21" si="2">SUM(E20)</f>
        <v>355605</v>
      </c>
      <c r="F21" s="1343">
        <f t="shared" si="2"/>
        <v>562376</v>
      </c>
      <c r="G21" s="1343">
        <f t="shared" si="2"/>
        <v>355605</v>
      </c>
      <c r="H21" s="1343">
        <f t="shared" si="2"/>
        <v>0</v>
      </c>
      <c r="I21" s="1343">
        <f t="shared" si="2"/>
        <v>562376</v>
      </c>
      <c r="J21" s="1343">
        <f t="shared" si="2"/>
        <v>0</v>
      </c>
      <c r="K21" s="1343">
        <f t="shared" si="2"/>
        <v>0</v>
      </c>
      <c r="L21" s="1340">
        <f t="shared" si="0"/>
        <v>917981</v>
      </c>
      <c r="M21" s="1343"/>
    </row>
    <row r="22" spans="1:14" ht="20.100000000000001" customHeight="1" x14ac:dyDescent="0.2">
      <c r="B22" s="1337"/>
      <c r="C22" s="1341"/>
      <c r="D22" s="1342"/>
      <c r="E22" s="1343"/>
      <c r="F22" s="1343"/>
      <c r="G22" s="1343"/>
      <c r="H22" s="1343"/>
      <c r="I22" s="1343"/>
      <c r="J22" s="1343"/>
      <c r="K22" s="1343"/>
      <c r="L22" s="1340"/>
      <c r="M22" s="1343"/>
    </row>
    <row r="23" spans="1:14" ht="20.100000000000001" customHeight="1" x14ac:dyDescent="0.2">
      <c r="B23" s="1952" t="s">
        <v>2139</v>
      </c>
      <c r="C23" s="1341"/>
      <c r="D23" s="1342"/>
      <c r="E23" s="1343"/>
      <c r="F23" s="1343"/>
      <c r="G23" s="1343"/>
      <c r="H23" s="1343"/>
      <c r="I23" s="1343"/>
      <c r="J23" s="1343"/>
      <c r="K23" s="1343"/>
      <c r="L23" s="1340"/>
      <c r="M23" s="1343"/>
    </row>
    <row r="24" spans="1:14" ht="20.100000000000001" customHeight="1" x14ac:dyDescent="0.2">
      <c r="B24" s="1337" t="s">
        <v>2140</v>
      </c>
      <c r="C24" s="1341"/>
      <c r="D24" s="1342"/>
      <c r="E24" s="1343"/>
      <c r="F24" s="1343"/>
      <c r="G24" s="1343"/>
      <c r="H24" s="1343"/>
      <c r="I24" s="1343"/>
      <c r="J24" s="1343"/>
      <c r="K24" s="1343"/>
      <c r="L24" s="1340">
        <f t="shared" si="0"/>
        <v>0</v>
      </c>
      <c r="M24" s="1343"/>
    </row>
    <row r="25" spans="1:14" ht="20.100000000000001" customHeight="1" x14ac:dyDescent="0.2">
      <c r="B25" s="1337" t="s">
        <v>2141</v>
      </c>
      <c r="C25" s="1341">
        <v>45.31</v>
      </c>
      <c r="D25" s="1342" t="s">
        <v>2142</v>
      </c>
      <c r="E25" s="1343">
        <v>0</v>
      </c>
      <c r="F25" s="1343">
        <v>4500</v>
      </c>
      <c r="G25" s="1343">
        <v>0</v>
      </c>
      <c r="H25" s="1343">
        <v>0</v>
      </c>
      <c r="I25" s="1343">
        <v>4500</v>
      </c>
      <c r="J25" s="1343">
        <v>0</v>
      </c>
      <c r="K25" s="1343">
        <v>0</v>
      </c>
      <c r="L25" s="1340">
        <f t="shared" si="0"/>
        <v>4500</v>
      </c>
      <c r="M25" s="1343">
        <v>4500</v>
      </c>
    </row>
    <row r="26" spans="1:14" ht="20.100000000000001" customHeight="1" x14ac:dyDescent="0.2">
      <c r="B26" s="1337"/>
      <c r="C26" s="1341"/>
      <c r="D26" s="1342"/>
      <c r="E26" s="1343"/>
      <c r="F26" s="1343"/>
      <c r="G26" s="1343"/>
      <c r="H26" s="1343"/>
      <c r="I26" s="1343"/>
      <c r="J26" s="1343"/>
      <c r="K26" s="1343"/>
      <c r="L26" s="1340">
        <f t="shared" si="0"/>
        <v>0</v>
      </c>
      <c r="M26" s="1343"/>
    </row>
    <row r="27" spans="1:14" ht="20.100000000000001" customHeight="1" x14ac:dyDescent="0.2">
      <c r="B27" s="1337"/>
      <c r="C27" s="1341"/>
      <c r="D27" s="1342"/>
      <c r="E27" s="1343"/>
      <c r="F27" s="1343"/>
      <c r="G27" s="1343"/>
      <c r="H27" s="1343"/>
      <c r="I27" s="1343"/>
      <c r="J27" s="1343"/>
      <c r="K27" s="1343"/>
      <c r="L27" s="1340">
        <f t="shared" si="0"/>
        <v>0</v>
      </c>
      <c r="M27" s="1343"/>
      <c r="N27" s="1344"/>
    </row>
    <row r="28" spans="1:14" ht="12.75" customHeight="1" x14ac:dyDescent="0.2">
      <c r="B28" s="1345"/>
      <c r="C28" s="1346"/>
      <c r="D28" s="1347"/>
      <c r="E28" s="1348"/>
      <c r="F28" s="1348"/>
      <c r="G28" s="1348"/>
      <c r="H28" s="1348"/>
      <c r="I28" s="1348"/>
      <c r="J28" s="1348"/>
      <c r="K28" s="1348"/>
      <c r="L28" s="1348"/>
      <c r="M28" s="1348"/>
      <c r="N28" s="1344"/>
    </row>
    <row r="29" spans="1:14" x14ac:dyDescent="0.2">
      <c r="B29" s="1257"/>
      <c r="C29" s="1349"/>
      <c r="D29" s="1350"/>
      <c r="E29" s="1257"/>
      <c r="F29" s="1257"/>
      <c r="G29" s="1250"/>
      <c r="H29" s="1250"/>
      <c r="I29" s="1250"/>
      <c r="J29" s="1250"/>
      <c r="K29" s="1250"/>
      <c r="L29" s="1250"/>
      <c r="M29" s="1257"/>
      <c r="N29" s="1344"/>
    </row>
    <row r="30" spans="1:14" ht="13.5" customHeight="1" x14ac:dyDescent="0.2">
      <c r="B30" s="1282" t="s">
        <v>1837</v>
      </c>
      <c r="C30" s="1349"/>
      <c r="D30" s="1350"/>
      <c r="E30" s="1257"/>
      <c r="F30" s="1257"/>
      <c r="G30" s="1250"/>
      <c r="H30" s="1250"/>
      <c r="I30" s="1250"/>
      <c r="J30" s="1250"/>
      <c r="K30" s="1250"/>
      <c r="L30" s="1250"/>
      <c r="M30" s="1257"/>
      <c r="N30" s="1344"/>
    </row>
    <row r="31" spans="1:14" ht="8.25" customHeight="1" x14ac:dyDescent="0.2">
      <c r="B31" s="1282"/>
      <c r="C31" s="1349"/>
      <c r="D31" s="1350"/>
      <c r="E31" s="1257"/>
      <c r="F31" s="1257"/>
      <c r="G31" s="1250"/>
      <c r="H31" s="1250"/>
      <c r="I31" s="1250"/>
      <c r="J31" s="1250"/>
      <c r="K31" s="1250"/>
      <c r="L31" s="1250"/>
      <c r="M31" s="1257"/>
      <c r="N31" s="1344"/>
    </row>
    <row r="32" spans="1: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E20:I20 E21:I21 L21 L11:L19 L22:L28 J20:J21 K20:K21" unlockedFormula="1"/>
    <ignoredError sqref="L20" formula="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2293</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2164</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topLeftCell="A20" zoomScaleNormal="100" workbookViewId="0">
      <selection activeCell="E51" sqref="E5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United Twp HSD 30</v>
      </c>
      <c r="C1" s="2463"/>
      <c r="D1" s="2463"/>
      <c r="E1" s="2463"/>
      <c r="F1" s="2463"/>
      <c r="G1" s="2463"/>
      <c r="H1" s="2463"/>
      <c r="I1" s="2463"/>
      <c r="J1" s="2463"/>
      <c r="K1" s="2463"/>
      <c r="L1" s="2463"/>
      <c r="M1" s="2463"/>
    </row>
    <row r="2" spans="2:14" ht="15" x14ac:dyDescent="0.2">
      <c r="B2" s="2452">
        <f>'Single Audit Cover'!E7</f>
        <v>49081030017</v>
      </c>
      <c r="C2" s="2452"/>
      <c r="D2" s="2452"/>
      <c r="E2" s="2452"/>
      <c r="F2" s="2452"/>
      <c r="G2" s="2452"/>
      <c r="H2" s="2452"/>
      <c r="I2" s="2452"/>
      <c r="J2" s="2452"/>
      <c r="K2" s="2452"/>
      <c r="L2" s="2452"/>
      <c r="M2" s="2452"/>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2" t="s">
        <v>2104</v>
      </c>
      <c r="C11" s="1338"/>
      <c r="D11" s="1339"/>
      <c r="E11" s="1340"/>
      <c r="F11" s="1340"/>
      <c r="G11" s="1340"/>
      <c r="H11" s="1340"/>
      <c r="I11" s="1340"/>
      <c r="J11" s="1340"/>
      <c r="K11" s="1340"/>
      <c r="L11" s="1340">
        <f>+G11+I11+K11</f>
        <v>0</v>
      </c>
      <c r="M11" s="1340"/>
    </row>
    <row r="12" spans="2:14" ht="20.100000000000001" customHeight="1" x14ac:dyDescent="0.2">
      <c r="B12" s="1337" t="s">
        <v>2099</v>
      </c>
      <c r="C12" s="1341"/>
      <c r="D12" s="1342"/>
      <c r="E12" s="1343"/>
      <c r="F12" s="1343"/>
      <c r="G12" s="1343"/>
      <c r="H12" s="1343"/>
      <c r="I12" s="1343"/>
      <c r="J12" s="1343"/>
      <c r="K12" s="1343"/>
      <c r="L12" s="1340">
        <f t="shared" ref="L12:L27" si="0">+G12+I12+K12</f>
        <v>0</v>
      </c>
      <c r="M12" s="1343"/>
    </row>
    <row r="13" spans="2:14" ht="20.100000000000001" customHeight="1" x14ac:dyDescent="0.2">
      <c r="B13" s="1337" t="s">
        <v>2126</v>
      </c>
      <c r="C13" s="1341" t="s">
        <v>2109</v>
      </c>
      <c r="D13" s="1342" t="s">
        <v>2113</v>
      </c>
      <c r="E13" s="1343">
        <v>422179</v>
      </c>
      <c r="F13" s="1343">
        <v>61565</v>
      </c>
      <c r="G13" s="1343">
        <v>461736</v>
      </c>
      <c r="H13" s="1343">
        <v>0</v>
      </c>
      <c r="I13" s="1343">
        <v>22008</v>
      </c>
      <c r="J13" s="1343">
        <v>0</v>
      </c>
      <c r="K13" s="1343">
        <v>0</v>
      </c>
      <c r="L13" s="1340">
        <f t="shared" si="0"/>
        <v>483744</v>
      </c>
      <c r="M13" s="1343">
        <v>523779</v>
      </c>
    </row>
    <row r="14" spans="2:14" ht="20.100000000000001" customHeight="1" x14ac:dyDescent="0.2">
      <c r="B14" s="1337" t="s">
        <v>2126</v>
      </c>
      <c r="C14" s="1341" t="s">
        <v>2109</v>
      </c>
      <c r="D14" s="1342" t="s">
        <v>2144</v>
      </c>
      <c r="E14" s="1343">
        <v>0</v>
      </c>
      <c r="F14" s="1343">
        <v>335922</v>
      </c>
      <c r="G14" s="1343">
        <v>0</v>
      </c>
      <c r="H14" s="1343">
        <v>0</v>
      </c>
      <c r="I14" s="1343">
        <v>364317</v>
      </c>
      <c r="J14" s="1343">
        <v>0</v>
      </c>
      <c r="K14" s="1343">
        <v>0</v>
      </c>
      <c r="L14" s="1340">
        <f t="shared" si="0"/>
        <v>364317</v>
      </c>
      <c r="M14" s="1343">
        <v>526585</v>
      </c>
    </row>
    <row r="15" spans="2:14" ht="20.100000000000001" customHeight="1" x14ac:dyDescent="0.2">
      <c r="B15" s="1337" t="s">
        <v>2143</v>
      </c>
      <c r="C15" s="1341"/>
      <c r="D15" s="1342"/>
      <c r="E15" s="1343">
        <f>SUM(E13:E14)</f>
        <v>422179</v>
      </c>
      <c r="F15" s="1343">
        <f>SUM(F13:F14)</f>
        <v>397487</v>
      </c>
      <c r="G15" s="1343">
        <f>SUM(G13:G14)</f>
        <v>461736</v>
      </c>
      <c r="H15" s="1343">
        <f>SUM(H13:H14)</f>
        <v>0</v>
      </c>
      <c r="I15" s="1343">
        <f>SUM(I13:I14)</f>
        <v>386325</v>
      </c>
      <c r="J15" s="1343">
        <v>0</v>
      </c>
      <c r="K15" s="1343">
        <v>0</v>
      </c>
      <c r="L15" s="1340">
        <f t="shared" si="0"/>
        <v>848061</v>
      </c>
      <c r="M15" s="1343"/>
    </row>
    <row r="16" spans="2:14" ht="20.100000000000001" customHeight="1" x14ac:dyDescent="0.2">
      <c r="B16" s="1337" t="s">
        <v>2105</v>
      </c>
      <c r="C16" s="1341" t="s">
        <v>2110</v>
      </c>
      <c r="D16" s="1342" t="s">
        <v>2114</v>
      </c>
      <c r="E16" s="1343">
        <v>1550</v>
      </c>
      <c r="F16" s="1343">
        <v>0</v>
      </c>
      <c r="G16" s="1343">
        <v>0</v>
      </c>
      <c r="H16" s="1343">
        <v>0</v>
      </c>
      <c r="I16" s="1343">
        <v>1550</v>
      </c>
      <c r="J16" s="1343">
        <v>0</v>
      </c>
      <c r="K16" s="1343">
        <v>0</v>
      </c>
      <c r="L16" s="1340">
        <f t="shared" si="0"/>
        <v>1550</v>
      </c>
      <c r="M16" s="1343">
        <v>2634</v>
      </c>
    </row>
    <row r="17" spans="2:14" ht="20.100000000000001" customHeight="1" x14ac:dyDescent="0.2">
      <c r="B17" s="1337" t="s">
        <v>2105</v>
      </c>
      <c r="C17" s="1341" t="s">
        <v>2110</v>
      </c>
      <c r="D17" s="1342" t="s">
        <v>2146</v>
      </c>
      <c r="E17" s="1343">
        <v>0</v>
      </c>
      <c r="F17" s="1343">
        <v>387</v>
      </c>
      <c r="G17" s="1343">
        <v>0</v>
      </c>
      <c r="H17" s="1343">
        <v>0</v>
      </c>
      <c r="I17" s="1343">
        <v>1084</v>
      </c>
      <c r="J17" s="1343">
        <v>0</v>
      </c>
      <c r="K17" s="1343">
        <v>0</v>
      </c>
      <c r="L17" s="1340">
        <f t="shared" si="0"/>
        <v>1084</v>
      </c>
      <c r="M17" s="1343">
        <v>1084</v>
      </c>
    </row>
    <row r="18" spans="2:14" ht="20.100000000000001" customHeight="1" x14ac:dyDescent="0.2">
      <c r="B18" s="1337" t="s">
        <v>2145</v>
      </c>
      <c r="C18" s="1341"/>
      <c r="D18" s="1342"/>
      <c r="E18" s="1343">
        <f t="shared" ref="E18:K18" si="1">SUM(E16:E17)</f>
        <v>1550</v>
      </c>
      <c r="F18" s="1343">
        <f t="shared" si="1"/>
        <v>387</v>
      </c>
      <c r="G18" s="1343">
        <f t="shared" si="1"/>
        <v>0</v>
      </c>
      <c r="H18" s="1343">
        <f t="shared" si="1"/>
        <v>0</v>
      </c>
      <c r="I18" s="1343">
        <f t="shared" si="1"/>
        <v>2634</v>
      </c>
      <c r="J18" s="1343">
        <f t="shared" si="1"/>
        <v>0</v>
      </c>
      <c r="K18" s="1343">
        <f t="shared" si="1"/>
        <v>0</v>
      </c>
      <c r="L18" s="1340">
        <f t="shared" si="0"/>
        <v>2634</v>
      </c>
      <c r="M18" s="1343"/>
    </row>
    <row r="19" spans="2:14" ht="20.100000000000001" customHeight="1" x14ac:dyDescent="0.2">
      <c r="B19" s="1337" t="s">
        <v>2106</v>
      </c>
      <c r="C19" s="1341" t="s">
        <v>2111</v>
      </c>
      <c r="D19" s="1342" t="s">
        <v>2115</v>
      </c>
      <c r="E19" s="1343">
        <v>55382</v>
      </c>
      <c r="F19" s="1343">
        <v>15294</v>
      </c>
      <c r="G19" s="1343">
        <v>66152</v>
      </c>
      <c r="H19" s="1343">
        <v>0</v>
      </c>
      <c r="I19" s="1343">
        <v>4524</v>
      </c>
      <c r="J19" s="1343">
        <v>0</v>
      </c>
      <c r="K19" s="1343">
        <v>0</v>
      </c>
      <c r="L19" s="1340">
        <f t="shared" si="0"/>
        <v>70676</v>
      </c>
      <c r="M19" s="1343">
        <v>78811</v>
      </c>
    </row>
    <row r="20" spans="2:14" ht="20.100000000000001" customHeight="1" x14ac:dyDescent="0.2">
      <c r="B20" s="1337" t="s">
        <v>2106</v>
      </c>
      <c r="C20" s="1341" t="s">
        <v>2111</v>
      </c>
      <c r="D20" s="1342" t="s">
        <v>2147</v>
      </c>
      <c r="E20" s="1343">
        <v>0</v>
      </c>
      <c r="F20" s="1343">
        <v>47341</v>
      </c>
      <c r="G20" s="1343">
        <v>0</v>
      </c>
      <c r="H20" s="1343">
        <v>0</v>
      </c>
      <c r="I20" s="1343">
        <v>56748</v>
      </c>
      <c r="J20" s="1343">
        <v>0</v>
      </c>
      <c r="K20" s="1343">
        <v>0</v>
      </c>
      <c r="L20" s="1340">
        <f t="shared" si="0"/>
        <v>56748</v>
      </c>
      <c r="M20" s="1343">
        <v>80235</v>
      </c>
    </row>
    <row r="21" spans="2:14" ht="20.100000000000001" customHeight="1" x14ac:dyDescent="0.2">
      <c r="B21" s="1337" t="s">
        <v>2107</v>
      </c>
      <c r="C21" s="1341"/>
      <c r="D21" s="1342"/>
      <c r="E21" s="1343">
        <f t="shared" ref="E21:L21" si="2">SUM(E19:E20)</f>
        <v>55382</v>
      </c>
      <c r="F21" s="1343">
        <f t="shared" si="2"/>
        <v>62635</v>
      </c>
      <c r="G21" s="1343">
        <f t="shared" si="2"/>
        <v>66152</v>
      </c>
      <c r="H21" s="1343">
        <f t="shared" si="2"/>
        <v>0</v>
      </c>
      <c r="I21" s="1343">
        <f t="shared" si="2"/>
        <v>61272</v>
      </c>
      <c r="J21" s="1343">
        <f t="shared" si="2"/>
        <v>0</v>
      </c>
      <c r="K21" s="1343">
        <f t="shared" si="2"/>
        <v>0</v>
      </c>
      <c r="L21" s="1343">
        <f t="shared" si="2"/>
        <v>127424</v>
      </c>
      <c r="M21" s="1343"/>
    </row>
    <row r="22" spans="2:14" ht="20.100000000000001" customHeight="1" x14ac:dyDescent="0.2">
      <c r="B22" s="1337" t="s">
        <v>2148</v>
      </c>
      <c r="C22" s="1341">
        <v>84.027000000000001</v>
      </c>
      <c r="D22" s="1342" t="s">
        <v>2149</v>
      </c>
      <c r="E22" s="1343">
        <v>0</v>
      </c>
      <c r="F22" s="1343">
        <v>477</v>
      </c>
      <c r="G22" s="1343">
        <v>0</v>
      </c>
      <c r="H22" s="1343">
        <v>0</v>
      </c>
      <c r="I22" s="1343">
        <v>477</v>
      </c>
      <c r="J22" s="1343">
        <v>0</v>
      </c>
      <c r="K22" s="1343">
        <v>0</v>
      </c>
      <c r="L22" s="1340">
        <v>477</v>
      </c>
      <c r="M22" s="1343" t="s">
        <v>2130</v>
      </c>
    </row>
    <row r="23" spans="2:14" ht="20.100000000000001" customHeight="1" x14ac:dyDescent="0.2">
      <c r="B23" s="1337" t="s">
        <v>2148</v>
      </c>
      <c r="C23" s="1341">
        <v>84.027000000000001</v>
      </c>
      <c r="D23" s="1342" t="s">
        <v>2150</v>
      </c>
      <c r="E23" s="1343">
        <v>0</v>
      </c>
      <c r="F23" s="1343">
        <v>0</v>
      </c>
      <c r="G23" s="1343">
        <v>0</v>
      </c>
      <c r="H23" s="1343">
        <v>0</v>
      </c>
      <c r="I23" s="1343">
        <v>158</v>
      </c>
      <c r="J23" s="1343">
        <v>0</v>
      </c>
      <c r="K23" s="1343">
        <v>0</v>
      </c>
      <c r="L23" s="1340">
        <v>158</v>
      </c>
      <c r="M23" s="1343" t="s">
        <v>2130</v>
      </c>
    </row>
    <row r="24" spans="2:14" ht="20.100000000000001" customHeight="1" x14ac:dyDescent="0.2">
      <c r="B24" s="1337" t="s">
        <v>2151</v>
      </c>
      <c r="C24" s="1341"/>
      <c r="D24" s="1342"/>
      <c r="E24" s="1343">
        <f t="shared" ref="E24:L24" si="3">SUM(E22:E23)</f>
        <v>0</v>
      </c>
      <c r="F24" s="1343">
        <f t="shared" si="3"/>
        <v>477</v>
      </c>
      <c r="G24" s="1343">
        <f t="shared" si="3"/>
        <v>0</v>
      </c>
      <c r="H24" s="1343">
        <f t="shared" si="3"/>
        <v>0</v>
      </c>
      <c r="I24" s="1343">
        <f t="shared" si="3"/>
        <v>635</v>
      </c>
      <c r="J24" s="1343">
        <f t="shared" si="3"/>
        <v>0</v>
      </c>
      <c r="K24" s="1343">
        <f t="shared" si="3"/>
        <v>0</v>
      </c>
      <c r="L24" s="1343">
        <f t="shared" si="3"/>
        <v>635</v>
      </c>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t="s">
        <v>2108</v>
      </c>
      <c r="C26" s="1341"/>
      <c r="D26" s="1342"/>
      <c r="E26" s="1343"/>
      <c r="F26" s="1343"/>
      <c r="G26" s="1343"/>
      <c r="H26" s="1343"/>
      <c r="I26" s="1343"/>
      <c r="J26" s="1343"/>
      <c r="K26" s="1343"/>
      <c r="L26" s="1340">
        <f t="shared" si="0"/>
        <v>0</v>
      </c>
      <c r="M26" s="1343"/>
    </row>
    <row r="27" spans="2:14" ht="20.100000000000001" customHeight="1" x14ac:dyDescent="0.2">
      <c r="B27" s="1337" t="s">
        <v>2152</v>
      </c>
      <c r="C27" s="1341" t="s">
        <v>2112</v>
      </c>
      <c r="D27" s="1342" t="s">
        <v>2153</v>
      </c>
      <c r="E27" s="1343">
        <v>0</v>
      </c>
      <c r="F27" s="1343">
        <v>292694</v>
      </c>
      <c r="G27" s="1343">
        <v>0</v>
      </c>
      <c r="H27" s="1343">
        <v>0</v>
      </c>
      <c r="I27" s="1343">
        <v>292694</v>
      </c>
      <c r="J27" s="1343">
        <v>0</v>
      </c>
      <c r="K27" s="1343">
        <v>0</v>
      </c>
      <c r="L27" s="1340">
        <f t="shared" si="0"/>
        <v>292694</v>
      </c>
      <c r="M27" s="1343">
        <v>300468</v>
      </c>
    </row>
    <row r="28" spans="2:14" ht="20.100000000000001" customHeight="1" x14ac:dyDescent="0.2">
      <c r="B28" s="1337" t="s">
        <v>2152</v>
      </c>
      <c r="C28" s="1341" t="s">
        <v>2112</v>
      </c>
      <c r="D28" s="1342" t="s">
        <v>2153</v>
      </c>
      <c r="E28" s="1343">
        <v>0</v>
      </c>
      <c r="F28" s="1343">
        <v>1334</v>
      </c>
      <c r="G28" s="1343">
        <v>0</v>
      </c>
      <c r="H28" s="1343">
        <v>0</v>
      </c>
      <c r="I28" s="1343">
        <v>1334</v>
      </c>
      <c r="J28" s="1343">
        <v>0</v>
      </c>
      <c r="K28" s="1343">
        <v>0</v>
      </c>
      <c r="L28" s="1340">
        <f t="shared" ref="L28" si="4">+G28+I28+K28</f>
        <v>1334</v>
      </c>
      <c r="M28" s="1343">
        <v>1334</v>
      </c>
    </row>
    <row r="29" spans="2:14" ht="20.100000000000001" customHeight="1" x14ac:dyDescent="0.2">
      <c r="B29" s="1337" t="s">
        <v>2154</v>
      </c>
      <c r="C29" s="1341"/>
      <c r="D29" s="1342"/>
      <c r="E29" s="1343">
        <f t="shared" ref="E29:L29" si="5">SUM(E27:E28)</f>
        <v>0</v>
      </c>
      <c r="F29" s="1343">
        <f t="shared" si="5"/>
        <v>294028</v>
      </c>
      <c r="G29" s="1343">
        <f t="shared" si="5"/>
        <v>0</v>
      </c>
      <c r="H29" s="1343">
        <f t="shared" si="5"/>
        <v>0</v>
      </c>
      <c r="I29" s="1343">
        <f t="shared" si="5"/>
        <v>294028</v>
      </c>
      <c r="J29" s="1343">
        <f t="shared" si="5"/>
        <v>0</v>
      </c>
      <c r="K29" s="1343">
        <f t="shared" si="5"/>
        <v>0</v>
      </c>
      <c r="L29" s="1343">
        <f t="shared" si="5"/>
        <v>294028</v>
      </c>
      <c r="M29" s="1343"/>
    </row>
    <row r="30" spans="2:14" ht="20.100000000000001" customHeight="1" x14ac:dyDescent="0.2">
      <c r="B30" s="1337"/>
      <c r="C30" s="1341"/>
      <c r="D30" s="1342"/>
      <c r="E30" s="1343"/>
      <c r="F30" s="1343"/>
      <c r="G30" s="1343"/>
      <c r="H30" s="1343"/>
      <c r="I30" s="1343"/>
      <c r="J30" s="1343"/>
      <c r="K30" s="1343"/>
      <c r="L30" s="1340"/>
      <c r="M30" s="1343"/>
    </row>
    <row r="31" spans="2:14" ht="20.100000000000001" customHeight="1" x14ac:dyDescent="0.2">
      <c r="B31" s="1337"/>
      <c r="C31" s="1341"/>
      <c r="D31" s="1342"/>
      <c r="E31" s="1343"/>
      <c r="F31" s="1343"/>
      <c r="G31" s="1343"/>
      <c r="H31" s="1343"/>
      <c r="I31" s="1343"/>
      <c r="J31" s="1343"/>
      <c r="K31" s="1343"/>
      <c r="L31" s="1340"/>
      <c r="M31" s="1343"/>
      <c r="N31" s="1344"/>
    </row>
    <row r="32" spans="2:14" ht="13.5" customHeight="1" x14ac:dyDescent="0.2">
      <c r="B32" s="1282" t="s">
        <v>1837</v>
      </c>
      <c r="C32" s="1349"/>
      <c r="D32" s="1350"/>
      <c r="E32" s="1257"/>
      <c r="F32" s="1257"/>
      <c r="G32" s="1250"/>
      <c r="H32" s="1250"/>
      <c r="I32" s="1250"/>
      <c r="J32" s="1250"/>
      <c r="K32" s="1250"/>
      <c r="L32" s="1250"/>
      <c r="M32" s="1257"/>
      <c r="N32" s="1344"/>
    </row>
    <row r="33" spans="2:14" ht="8.25" customHeight="1" x14ac:dyDescent="0.2">
      <c r="B33" s="1282"/>
      <c r="C33" s="1349"/>
      <c r="D33" s="1350"/>
      <c r="E33" s="1257"/>
      <c r="F33" s="1257"/>
      <c r="G33" s="1250"/>
      <c r="H33" s="1250"/>
      <c r="I33" s="1250"/>
      <c r="J33" s="1250"/>
      <c r="K33" s="1250"/>
      <c r="L33" s="1250"/>
      <c r="M33" s="1257"/>
      <c r="N33" s="1344"/>
    </row>
    <row r="34" spans="2:14" x14ac:dyDescent="0.2">
      <c r="B34" s="1351" t="s">
        <v>1948</v>
      </c>
      <c r="C34" s="1352"/>
      <c r="D34" s="1353"/>
      <c r="E34" s="1354"/>
      <c r="F34" s="1354"/>
      <c r="G34" s="1354"/>
      <c r="H34" s="1354"/>
      <c r="I34" s="317"/>
      <c r="J34" s="317"/>
    </row>
    <row r="35" spans="2:14" ht="13.5" customHeight="1" x14ac:dyDescent="0.2">
      <c r="B35" s="1276" t="s">
        <v>1308</v>
      </c>
      <c r="G35" s="317"/>
      <c r="H35" s="317"/>
      <c r="I35" s="317"/>
      <c r="J35" s="317"/>
    </row>
    <row r="36" spans="2:14" ht="11.25" customHeight="1" x14ac:dyDescent="0.2">
      <c r="B36" s="1364" t="s">
        <v>1838</v>
      </c>
      <c r="C36" s="1365"/>
      <c r="D36" s="1365"/>
      <c r="E36" s="1365"/>
      <c r="F36" s="1365"/>
      <c r="G36" s="1365"/>
      <c r="H36" s="1365"/>
      <c r="I36" s="1366"/>
      <c r="J36" s="1366"/>
      <c r="K36" s="1366"/>
      <c r="L36" s="1366"/>
      <c r="M36" s="1366"/>
    </row>
    <row r="37" spans="2:14" ht="11.25" customHeight="1" x14ac:dyDescent="0.2">
      <c r="B37" s="1367" t="s">
        <v>1666</v>
      </c>
      <c r="C37" s="1366"/>
      <c r="D37" s="1366"/>
      <c r="E37" s="1366"/>
      <c r="F37" s="1366"/>
      <c r="G37" s="1366"/>
      <c r="H37" s="1366"/>
      <c r="I37" s="1366"/>
      <c r="J37" s="1366"/>
      <c r="K37" s="1366"/>
      <c r="L37" s="1366"/>
      <c r="M37" s="1366"/>
    </row>
    <row r="38" spans="2:14" ht="3.95" customHeight="1" x14ac:dyDescent="0.2">
      <c r="B38" s="1367"/>
      <c r="C38" s="1366"/>
      <c r="D38" s="1366"/>
      <c r="E38" s="1366"/>
      <c r="F38" s="1366"/>
      <c r="G38" s="1366"/>
      <c r="H38" s="1366"/>
      <c r="I38" s="1366"/>
      <c r="J38" s="1366"/>
      <c r="K38" s="1366"/>
      <c r="L38" s="1366"/>
      <c r="M38" s="1366"/>
    </row>
    <row r="39" spans="2:14" ht="11.25" customHeight="1" x14ac:dyDescent="0.2">
      <c r="B39" s="1364" t="s">
        <v>1839</v>
      </c>
      <c r="C39" s="1366"/>
      <c r="D39" s="1366"/>
      <c r="E39" s="1366"/>
      <c r="F39" s="1366"/>
      <c r="G39" s="1366"/>
      <c r="H39" s="1366"/>
      <c r="I39" s="1366"/>
      <c r="J39" s="1366"/>
      <c r="K39" s="1366"/>
      <c r="L39" s="1366"/>
      <c r="M39" s="1366"/>
    </row>
    <row r="40" spans="2:14" ht="11.25" customHeight="1" x14ac:dyDescent="0.2">
      <c r="B40" s="1300" t="s">
        <v>1667</v>
      </c>
      <c r="C40" s="1368"/>
      <c r="D40" s="1369"/>
      <c r="E40" s="1300"/>
      <c r="F40" s="1300"/>
      <c r="G40" s="1300"/>
      <c r="H40" s="1300"/>
      <c r="I40" s="1300"/>
      <c r="J40" s="1300"/>
      <c r="K40" s="1370"/>
      <c r="L40" s="1370"/>
      <c r="M40" s="1300"/>
    </row>
    <row r="41" spans="2:14" ht="3.95" customHeight="1" x14ac:dyDescent="0.2">
      <c r="B41" s="1300"/>
      <c r="C41" s="1368"/>
      <c r="D41" s="1369"/>
      <c r="E41" s="1300"/>
      <c r="F41" s="1300"/>
      <c r="G41" s="1300"/>
      <c r="H41" s="1300"/>
      <c r="I41" s="1300"/>
      <c r="J41" s="1300"/>
      <c r="K41" s="1370"/>
      <c r="L41" s="1370"/>
      <c r="M41" s="1300"/>
    </row>
    <row r="42" spans="2:14" ht="11.25" customHeight="1" x14ac:dyDescent="0.2">
      <c r="B42" s="1371" t="s">
        <v>1840</v>
      </c>
      <c r="C42" s="1368"/>
      <c r="D42" s="1369"/>
      <c r="E42" s="1300"/>
      <c r="F42" s="1300"/>
      <c r="G42" s="1300"/>
      <c r="H42" s="1300"/>
      <c r="I42" s="1300"/>
      <c r="J42" s="1300"/>
      <c r="K42" s="1370"/>
      <c r="L42" s="1370"/>
      <c r="M42" s="1300"/>
    </row>
    <row r="43" spans="2:14" ht="3.95" customHeight="1" x14ac:dyDescent="0.2">
      <c r="B43" s="1371"/>
      <c r="C43" s="1368"/>
      <c r="D43" s="1369"/>
      <c r="E43" s="1300"/>
      <c r="F43" s="1300"/>
      <c r="G43" s="1300"/>
      <c r="H43" s="1300"/>
      <c r="I43" s="1300"/>
      <c r="J43" s="1300"/>
      <c r="K43" s="1370"/>
      <c r="L43" s="1370"/>
      <c r="M43" s="1300"/>
    </row>
    <row r="44" spans="2:14" ht="11.25" customHeight="1" x14ac:dyDescent="0.2">
      <c r="B44" s="1372" t="s">
        <v>1841</v>
      </c>
      <c r="C44" s="1368"/>
      <c r="D44" s="1369"/>
      <c r="E44" s="1300"/>
      <c r="F44" s="1300"/>
      <c r="G44" s="1300"/>
      <c r="H44" s="1300"/>
      <c r="I44" s="1300"/>
      <c r="J44" s="1300"/>
      <c r="K44" s="1370"/>
      <c r="L44" s="1370"/>
      <c r="M44" s="1300"/>
    </row>
    <row r="45" spans="2:14" ht="11.25" customHeight="1" x14ac:dyDescent="0.2">
      <c r="B45" s="1300" t="s">
        <v>1668</v>
      </c>
      <c r="G45" s="317"/>
      <c r="H45" s="317"/>
      <c r="I45" s="317"/>
      <c r="J45" s="317"/>
    </row>
    <row r="46" spans="2:14" ht="11.1" customHeight="1" x14ac:dyDescent="0.2">
      <c r="B46" s="1300"/>
      <c r="G46" s="317"/>
      <c r="H46" s="317"/>
      <c r="I46" s="317"/>
      <c r="J46" s="317"/>
    </row>
    <row r="47" spans="2:14" ht="11.1" customHeight="1" x14ac:dyDescent="0.2">
      <c r="B47" s="1300"/>
      <c r="G47" s="317"/>
      <c r="H47" s="317"/>
      <c r="I47" s="317"/>
      <c r="J47" s="317"/>
    </row>
    <row r="48" spans="2:14"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E15:I15 E18:I18 E21:K21 L18 L11:L17 L19:L20 L26:L28 E24:L24 L29 E29:K29" unlockedFormula="1"/>
    <ignoredError sqref="J18:K18" formulaRange="1" unlockedFormula="1"/>
    <ignoredError sqref="L21" formula="1"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0"/>
  <sheetViews>
    <sheetView showGridLines="0" topLeftCell="A10" zoomScaleNormal="100" workbookViewId="0">
      <selection activeCell="F25" sqref="F2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United Twp HSD 30</v>
      </c>
      <c r="C1" s="2463"/>
      <c r="D1" s="2463"/>
      <c r="E1" s="2463"/>
      <c r="F1" s="2463"/>
      <c r="G1" s="2463"/>
      <c r="H1" s="2463"/>
      <c r="I1" s="2463"/>
      <c r="J1" s="2463"/>
      <c r="K1" s="2463"/>
      <c r="L1" s="2463"/>
      <c r="M1" s="2463"/>
    </row>
    <row r="2" spans="2:14" ht="15" x14ac:dyDescent="0.2">
      <c r="B2" s="2452">
        <f>'Single Audit Cover'!E7</f>
        <v>49081030017</v>
      </c>
      <c r="C2" s="2452"/>
      <c r="D2" s="2452"/>
      <c r="E2" s="2452"/>
      <c r="F2" s="2452"/>
      <c r="G2" s="2452"/>
      <c r="H2" s="2452"/>
      <c r="I2" s="2452"/>
      <c r="J2" s="2452"/>
      <c r="K2" s="2452"/>
      <c r="L2" s="2452"/>
      <c r="M2" s="2452"/>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2" t="s">
        <v>2104</v>
      </c>
      <c r="C11" s="1338"/>
      <c r="D11" s="1339"/>
      <c r="E11" s="1340"/>
      <c r="F11" s="1340"/>
      <c r="G11" s="1340"/>
      <c r="H11" s="1340"/>
      <c r="I11" s="1340"/>
      <c r="J11" s="1340"/>
      <c r="K11" s="1340"/>
      <c r="L11" s="1340">
        <f>+G11+I11+K11</f>
        <v>0</v>
      </c>
      <c r="M11" s="1340"/>
    </row>
    <row r="12" spans="2:14" ht="20.100000000000001" customHeight="1" x14ac:dyDescent="0.2">
      <c r="B12" s="1337" t="s">
        <v>2116</v>
      </c>
      <c r="C12" s="1341"/>
      <c r="D12" s="1342"/>
      <c r="E12" s="1343"/>
      <c r="F12" s="1343"/>
      <c r="G12" s="1343"/>
      <c r="H12" s="1343"/>
      <c r="I12" s="1343"/>
      <c r="J12" s="1343"/>
      <c r="K12" s="1343"/>
      <c r="L12" s="1340">
        <f t="shared" ref="L12:L25" si="0">+G12+I12+K12</f>
        <v>0</v>
      </c>
      <c r="M12" s="1343"/>
    </row>
    <row r="13" spans="2:14" ht="20.100000000000001" customHeight="1" x14ac:dyDescent="0.2">
      <c r="B13" s="1337" t="s">
        <v>2155</v>
      </c>
      <c r="C13" s="1341" t="s">
        <v>2110</v>
      </c>
      <c r="D13" s="1342" t="s">
        <v>2123</v>
      </c>
      <c r="E13" s="1343">
        <v>4451</v>
      </c>
      <c r="F13" s="1343">
        <v>1478</v>
      </c>
      <c r="G13" s="1343">
        <v>4511</v>
      </c>
      <c r="H13" s="1343">
        <v>0</v>
      </c>
      <c r="I13" s="1343">
        <v>1418</v>
      </c>
      <c r="J13" s="1343">
        <v>0</v>
      </c>
      <c r="K13" s="1343">
        <v>0</v>
      </c>
      <c r="L13" s="1340">
        <f t="shared" si="0"/>
        <v>5929</v>
      </c>
      <c r="M13" s="1343">
        <v>5929</v>
      </c>
    </row>
    <row r="14" spans="2:14" ht="20.100000000000001" customHeight="1" x14ac:dyDescent="0.2">
      <c r="B14" s="1952" t="s">
        <v>2117</v>
      </c>
      <c r="C14" s="1341"/>
      <c r="D14" s="1342"/>
      <c r="E14" s="1343">
        <f>+' SEFA (2)'!E15+' SEFA (2)'!E18+' SEFA (2)'!E21+' SEFA (2)'!E24+' SEFA (2)'!E29+' SEFA (3)'!E13</f>
        <v>483562</v>
      </c>
      <c r="F14" s="1343">
        <f>+' SEFA (2)'!F15+' SEFA (2)'!F18+' SEFA (2)'!F21+' SEFA (2)'!F24+' SEFA (2)'!F29+' SEFA (3)'!F13</f>
        <v>756492</v>
      </c>
      <c r="G14" s="1343">
        <f>+' SEFA (2)'!G15+' SEFA (2)'!G18+' SEFA (2)'!G21+' SEFA (2)'!G24+' SEFA (2)'!G29+' SEFA (3)'!G13</f>
        <v>532399</v>
      </c>
      <c r="H14" s="1343">
        <f>+' SEFA (2)'!H15+' SEFA (2)'!H18+' SEFA (2)'!H21+' SEFA (2)'!H24+' SEFA (2)'!H29+' SEFA (3)'!H13</f>
        <v>0</v>
      </c>
      <c r="I14" s="1343">
        <f>+' SEFA (2)'!I15+' SEFA (2)'!I18+' SEFA (2)'!I21+' SEFA (2)'!I24+' SEFA (2)'!I29+' SEFA (3)'!I13</f>
        <v>746312</v>
      </c>
      <c r="J14" s="1343">
        <f>+' SEFA (2)'!J15+' SEFA (2)'!J18+' SEFA (2)'!J21+' SEFA (2)'!J24+' SEFA (2)'!J29+' SEFA (3)'!J13</f>
        <v>0</v>
      </c>
      <c r="K14" s="1343">
        <f>+' SEFA (2)'!K15+' SEFA (2)'!K18+' SEFA (2)'!K21+' SEFA (2)'!K24+' SEFA (2)'!K29+' SEFA (3)'!K13</f>
        <v>0</v>
      </c>
      <c r="L14" s="1340">
        <f t="shared" si="0"/>
        <v>1278711</v>
      </c>
      <c r="M14" s="1343"/>
    </row>
    <row r="15" spans="2:14" ht="20.100000000000001" customHeight="1" x14ac:dyDescent="0.2">
      <c r="B15" s="1337"/>
      <c r="C15" s="1341"/>
      <c r="D15" s="1342"/>
      <c r="E15" s="1343"/>
      <c r="F15" s="1343"/>
      <c r="G15" s="1343"/>
      <c r="H15" s="1343"/>
      <c r="I15" s="1343"/>
      <c r="J15" s="1343"/>
      <c r="K15" s="1343"/>
      <c r="L15" s="1340">
        <f t="shared" si="0"/>
        <v>0</v>
      </c>
      <c r="M15" s="1343"/>
    </row>
    <row r="16" spans="2:14" ht="20.100000000000001" customHeight="1" x14ac:dyDescent="0.2">
      <c r="B16" s="1952" t="s">
        <v>2118</v>
      </c>
      <c r="C16" s="1341"/>
      <c r="D16" s="1342"/>
      <c r="E16" s="1343"/>
      <c r="F16" s="1343"/>
      <c r="G16" s="1343"/>
      <c r="H16" s="1343"/>
      <c r="I16" s="1343"/>
      <c r="J16" s="1343"/>
      <c r="K16" s="1343"/>
      <c r="L16" s="1340">
        <f t="shared" si="0"/>
        <v>0</v>
      </c>
      <c r="M16" s="1343"/>
    </row>
    <row r="17" spans="2:14" ht="20.100000000000001" customHeight="1" x14ac:dyDescent="0.2">
      <c r="B17" s="1337" t="s">
        <v>2119</v>
      </c>
      <c r="C17" s="1341"/>
      <c r="D17" s="1342"/>
      <c r="E17" s="1343"/>
      <c r="F17" s="1343"/>
      <c r="G17" s="1343"/>
      <c r="H17" s="1343"/>
      <c r="I17" s="1343"/>
      <c r="J17" s="1343"/>
      <c r="K17" s="1343"/>
      <c r="L17" s="1340">
        <f t="shared" si="0"/>
        <v>0</v>
      </c>
      <c r="M17" s="1343"/>
    </row>
    <row r="18" spans="2:14" ht="20.100000000000001" customHeight="1" x14ac:dyDescent="0.2">
      <c r="B18" s="1337" t="s">
        <v>2120</v>
      </c>
      <c r="C18" s="1341">
        <v>93.778000000000006</v>
      </c>
      <c r="D18" s="1342" t="s">
        <v>2124</v>
      </c>
      <c r="E18" s="1343">
        <v>6773</v>
      </c>
      <c r="F18" s="1343">
        <v>22101</v>
      </c>
      <c r="G18" s="1343">
        <v>28874</v>
      </c>
      <c r="H18" s="1343">
        <v>0</v>
      </c>
      <c r="I18" s="1343">
        <v>0</v>
      </c>
      <c r="J18" s="1343">
        <v>0</v>
      </c>
      <c r="K18" s="1343">
        <v>0</v>
      </c>
      <c r="L18" s="1340">
        <f t="shared" si="0"/>
        <v>28874</v>
      </c>
      <c r="M18" s="1343" t="s">
        <v>2130</v>
      </c>
    </row>
    <row r="19" spans="2:14" ht="20.100000000000001" customHeight="1" x14ac:dyDescent="0.2">
      <c r="B19" s="1337" t="s">
        <v>2120</v>
      </c>
      <c r="C19" s="1341">
        <v>93.778000000000006</v>
      </c>
      <c r="D19" s="1342" t="s">
        <v>2156</v>
      </c>
      <c r="E19" s="1343">
        <v>0</v>
      </c>
      <c r="F19" s="1343">
        <v>0</v>
      </c>
      <c r="G19" s="1343">
        <v>0</v>
      </c>
      <c r="H19" s="1343">
        <v>0</v>
      </c>
      <c r="I19" s="1343">
        <v>17555</v>
      </c>
      <c r="J19" s="1343">
        <v>0</v>
      </c>
      <c r="K19" s="1343">
        <v>0</v>
      </c>
      <c r="L19" s="1340">
        <f t="shared" si="0"/>
        <v>17555</v>
      </c>
      <c r="M19" s="1343" t="s">
        <v>2130</v>
      </c>
    </row>
    <row r="20" spans="2:14" ht="20.100000000000001" customHeight="1" x14ac:dyDescent="0.2">
      <c r="B20" s="1952" t="s">
        <v>2122</v>
      </c>
      <c r="C20" s="1341"/>
      <c r="D20" s="1342"/>
      <c r="E20" s="1343">
        <f t="shared" ref="E20:L20" si="1">SUM(E18:E19)</f>
        <v>6773</v>
      </c>
      <c r="F20" s="1343">
        <f t="shared" si="1"/>
        <v>22101</v>
      </c>
      <c r="G20" s="1343">
        <f t="shared" si="1"/>
        <v>28874</v>
      </c>
      <c r="H20" s="1343">
        <f t="shared" si="1"/>
        <v>0</v>
      </c>
      <c r="I20" s="1343">
        <f t="shared" si="1"/>
        <v>17555</v>
      </c>
      <c r="J20" s="1343">
        <f t="shared" si="1"/>
        <v>0</v>
      </c>
      <c r="K20" s="1343">
        <f t="shared" si="1"/>
        <v>0</v>
      </c>
      <c r="L20" s="1340">
        <f t="shared" si="1"/>
        <v>46429</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952" t="s">
        <v>2121</v>
      </c>
      <c r="C22" s="1341"/>
      <c r="D22" s="1342"/>
      <c r="E22" s="1343">
        <f>+' SEFA'!E21+' SEFA'!E25+' SEFA (3)'!E14+' SEFA (3)'!E20</f>
        <v>845940</v>
      </c>
      <c r="F22" s="1343">
        <f>+' SEFA'!F21+' SEFA'!F25+' SEFA (3)'!F14+' SEFA (3)'!F20</f>
        <v>1345469</v>
      </c>
      <c r="G22" s="1343">
        <f>+' SEFA'!G21+' SEFA'!G25+' SEFA (3)'!G14+' SEFA (3)'!G20</f>
        <v>916878</v>
      </c>
      <c r="H22" s="1343">
        <f>+' SEFA'!H21+' SEFA'!H25+' SEFA (3)'!H14+' SEFA (3)'!H20</f>
        <v>0</v>
      </c>
      <c r="I22" s="1343">
        <f>+' SEFA'!I21+' SEFA'!I25+' SEFA (3)'!I14+' SEFA (3)'!I20</f>
        <v>1330743</v>
      </c>
      <c r="J22" s="1343">
        <f>+' SEFA'!J21+' SEFA'!J25+' SEFA (3)'!J14+' SEFA (3)'!J20</f>
        <v>0</v>
      </c>
      <c r="K22" s="1343">
        <f>+' SEFA'!K21+' SEFA'!K25+' SEFA (3)'!K14+' SEFA (3)'!K20</f>
        <v>0</v>
      </c>
      <c r="L22" s="1343">
        <f>+' SEFA'!L21+' SEFA'!L25+' SEFA (3)'!L14+' SEFA (3)'!L20</f>
        <v>2247621</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t="s">
        <v>2157</v>
      </c>
      <c r="C24" s="1341"/>
      <c r="D24" s="1342"/>
      <c r="E24" s="1343"/>
      <c r="F24" s="1343"/>
      <c r="G24" s="1343"/>
      <c r="H24" s="1343"/>
      <c r="I24" s="1343"/>
      <c r="J24" s="1343"/>
      <c r="K24" s="1343"/>
      <c r="L24" s="1340">
        <f t="shared" si="0"/>
        <v>0</v>
      </c>
      <c r="M24" s="1343"/>
    </row>
    <row r="25" spans="2:14" ht="20.100000000000001" customHeight="1" x14ac:dyDescent="0.2">
      <c r="B25" s="1337" t="s">
        <v>2158</v>
      </c>
      <c r="C25" s="1341"/>
      <c r="D25" s="1342"/>
      <c r="E25" s="1343"/>
      <c r="F25" s="1343"/>
      <c r="G25" s="1343"/>
      <c r="H25" s="1343"/>
      <c r="I25" s="1343"/>
      <c r="J25" s="1343"/>
      <c r="K25" s="1343"/>
      <c r="L25" s="1340">
        <f t="shared" si="0"/>
        <v>0</v>
      </c>
      <c r="M25" s="1343"/>
      <c r="N25" s="1344"/>
    </row>
    <row r="26" spans="2:14" ht="12.75" customHeight="1" x14ac:dyDescent="0.2">
      <c r="B26" s="1345"/>
      <c r="C26" s="1346"/>
      <c r="D26" s="1347"/>
      <c r="E26" s="1348"/>
      <c r="F26" s="1348"/>
      <c r="G26" s="1348"/>
      <c r="H26" s="1348"/>
      <c r="I26" s="1348"/>
      <c r="J26" s="1348"/>
      <c r="K26" s="1348"/>
      <c r="L26" s="1348"/>
      <c r="M26" s="1348"/>
      <c r="N26" s="1344"/>
    </row>
    <row r="27" spans="2:14" x14ac:dyDescent="0.2">
      <c r="B27" s="1257"/>
      <c r="C27" s="1349"/>
      <c r="D27" s="1350"/>
      <c r="E27" s="1257"/>
      <c r="F27" s="1257"/>
      <c r="G27" s="1250"/>
      <c r="H27" s="1250"/>
      <c r="I27" s="1250"/>
      <c r="J27" s="1250"/>
      <c r="K27" s="1250"/>
      <c r="L27" s="1250"/>
      <c r="M27" s="1257"/>
      <c r="N27" s="1344"/>
    </row>
    <row r="28" spans="2:14" ht="13.5" customHeight="1" x14ac:dyDescent="0.2">
      <c r="B28" s="1282" t="s">
        <v>1837</v>
      </c>
      <c r="C28" s="1349"/>
      <c r="D28" s="1350"/>
      <c r="E28" s="1257"/>
      <c r="F28" s="1257"/>
      <c r="G28" s="1250"/>
      <c r="H28" s="1250"/>
      <c r="I28" s="1250"/>
      <c r="J28" s="1250"/>
      <c r="K28" s="1250"/>
      <c r="L28" s="1250"/>
      <c r="M28" s="1257"/>
      <c r="N28" s="1344"/>
    </row>
    <row r="29" spans="2:14" ht="8.25" customHeight="1" x14ac:dyDescent="0.2">
      <c r="B29" s="1282"/>
      <c r="C29" s="1349"/>
      <c r="D29" s="1350"/>
      <c r="E29" s="1257"/>
      <c r="F29" s="1257"/>
      <c r="G29" s="1250"/>
      <c r="H29" s="1250"/>
      <c r="I29" s="1250"/>
      <c r="J29" s="1250"/>
      <c r="K29" s="1250"/>
      <c r="L29" s="1250"/>
      <c r="M29" s="1257"/>
      <c r="N29" s="1344"/>
    </row>
    <row r="30" spans="2:14" x14ac:dyDescent="0.2">
      <c r="B30" s="1351" t="s">
        <v>1948</v>
      </c>
      <c r="C30" s="1352"/>
      <c r="D30" s="1353"/>
      <c r="E30" s="1354"/>
      <c r="F30" s="1354"/>
      <c r="G30" s="1354"/>
      <c r="H30" s="1354"/>
      <c r="I30" s="317"/>
      <c r="J30" s="317"/>
    </row>
    <row r="31" spans="2:14" x14ac:dyDescent="0.2">
      <c r="B31" s="1277"/>
      <c r="C31" s="1355"/>
      <c r="D31" s="1356"/>
      <c r="E31" s="1278"/>
      <c r="F31" s="1278"/>
      <c r="G31" s="317"/>
      <c r="H31" s="317"/>
      <c r="I31" s="317"/>
      <c r="J31" s="317"/>
    </row>
    <row r="32" spans="2:14" ht="13.5" customHeight="1" x14ac:dyDescent="0.2">
      <c r="B32" s="1276" t="s">
        <v>1308</v>
      </c>
      <c r="G32" s="317"/>
      <c r="H32" s="317"/>
      <c r="I32" s="317"/>
      <c r="J32" s="317"/>
    </row>
    <row r="33" spans="2:13" ht="13.5" customHeight="1" x14ac:dyDescent="0.2">
      <c r="B33" s="1359"/>
      <c r="C33" s="1360"/>
      <c r="D33" s="1361"/>
      <c r="E33" s="1297"/>
      <c r="F33" s="1297"/>
      <c r="G33" s="1297"/>
      <c r="H33" s="1297"/>
      <c r="I33" s="1297"/>
      <c r="J33" s="1297"/>
      <c r="K33" s="1362"/>
      <c r="L33" s="1362"/>
      <c r="M33" s="1297"/>
    </row>
    <row r="34" spans="2:13" ht="9.6" customHeight="1" x14ac:dyDescent="0.2">
      <c r="B34" s="1363"/>
      <c r="G34" s="317"/>
      <c r="H34" s="317"/>
      <c r="I34" s="317"/>
      <c r="J34" s="317"/>
    </row>
    <row r="35" spans="2:13" ht="11.25" customHeight="1" x14ac:dyDescent="0.2">
      <c r="B35" s="1364" t="s">
        <v>1838</v>
      </c>
      <c r="C35" s="1365"/>
      <c r="D35" s="1365"/>
      <c r="E35" s="1365"/>
      <c r="F35" s="1365"/>
      <c r="G35" s="1365"/>
      <c r="H35" s="1365"/>
      <c r="I35" s="1366"/>
      <c r="J35" s="1366"/>
      <c r="K35" s="1366"/>
      <c r="L35" s="1366"/>
      <c r="M35" s="1366"/>
    </row>
    <row r="36" spans="2:13" ht="11.25" customHeight="1" x14ac:dyDescent="0.2">
      <c r="B36" s="1367" t="s">
        <v>1666</v>
      </c>
      <c r="C36" s="1366"/>
      <c r="D36" s="1366"/>
      <c r="E36" s="1366"/>
      <c r="F36" s="1366"/>
      <c r="G36" s="1366"/>
      <c r="H36" s="1366"/>
      <c r="I36" s="1366"/>
      <c r="J36" s="1366"/>
      <c r="K36" s="1366"/>
      <c r="L36" s="1366"/>
      <c r="M36" s="1366"/>
    </row>
    <row r="37" spans="2:13" ht="3.95" customHeight="1" x14ac:dyDescent="0.2">
      <c r="B37" s="1367"/>
      <c r="C37" s="1366"/>
      <c r="D37" s="1366"/>
      <c r="E37" s="1366"/>
      <c r="F37" s="1366"/>
      <c r="G37" s="1366"/>
      <c r="H37" s="1366"/>
      <c r="I37" s="1366"/>
      <c r="J37" s="1366"/>
      <c r="K37" s="1366"/>
      <c r="L37" s="1366"/>
      <c r="M37" s="1366"/>
    </row>
    <row r="38" spans="2:13" ht="11.25" customHeight="1" x14ac:dyDescent="0.2">
      <c r="B38" s="1364" t="s">
        <v>1839</v>
      </c>
      <c r="C38" s="1366"/>
      <c r="D38" s="1366"/>
      <c r="E38" s="1366"/>
      <c r="F38" s="1366"/>
      <c r="G38" s="1366"/>
      <c r="H38" s="1366"/>
      <c r="I38" s="1366"/>
      <c r="J38" s="1366"/>
      <c r="K38" s="1366"/>
      <c r="L38" s="1366"/>
      <c r="M38" s="1366"/>
    </row>
    <row r="39" spans="2:13" ht="11.25" customHeight="1" x14ac:dyDescent="0.2">
      <c r="B39" s="1300" t="s">
        <v>1667</v>
      </c>
      <c r="C39" s="1368"/>
      <c r="D39" s="1369"/>
      <c r="E39" s="1300"/>
      <c r="F39" s="1300"/>
      <c r="G39" s="1300"/>
      <c r="H39" s="1300"/>
      <c r="I39" s="1300"/>
      <c r="J39" s="1300"/>
      <c r="K39" s="1370"/>
      <c r="L39" s="1370"/>
      <c r="M39" s="1300"/>
    </row>
    <row r="40" spans="2:13" ht="3.95" customHeight="1" x14ac:dyDescent="0.2">
      <c r="B40" s="1300"/>
      <c r="C40" s="1368"/>
      <c r="D40" s="1369"/>
      <c r="E40" s="1300"/>
      <c r="F40" s="1300"/>
      <c r="G40" s="1300"/>
      <c r="H40" s="1300"/>
      <c r="I40" s="1300"/>
      <c r="J40" s="1300"/>
      <c r="K40" s="1370"/>
      <c r="L40" s="1370"/>
      <c r="M40" s="1300"/>
    </row>
    <row r="41" spans="2:13" ht="11.25" customHeight="1" x14ac:dyDescent="0.2">
      <c r="B41" s="1371" t="s">
        <v>1840</v>
      </c>
      <c r="C41" s="1368"/>
      <c r="D41" s="1369"/>
      <c r="E41" s="1300"/>
      <c r="F41" s="1300"/>
      <c r="G41" s="1300"/>
      <c r="H41" s="1300"/>
      <c r="I41" s="1300"/>
      <c r="J41" s="1300"/>
      <c r="K41" s="1370"/>
      <c r="L41" s="1370"/>
      <c r="M41" s="1300"/>
    </row>
    <row r="42" spans="2:13" ht="3.95" customHeight="1" x14ac:dyDescent="0.2">
      <c r="B42" s="1371"/>
      <c r="C42" s="1368"/>
      <c r="D42" s="1369"/>
      <c r="E42" s="1300"/>
      <c r="F42" s="1300"/>
      <c r="G42" s="1300"/>
      <c r="H42" s="1300"/>
      <c r="I42" s="1300"/>
      <c r="J42" s="1300"/>
      <c r="K42" s="1370"/>
      <c r="L42" s="1370"/>
      <c r="M42" s="1300"/>
    </row>
    <row r="43" spans="2:13" ht="11.25" customHeight="1" x14ac:dyDescent="0.2">
      <c r="B43" s="1372" t="s">
        <v>1841</v>
      </c>
      <c r="C43" s="1368"/>
      <c r="D43" s="1369"/>
      <c r="E43" s="1300"/>
      <c r="F43" s="1300"/>
      <c r="G43" s="1300"/>
      <c r="H43" s="1300"/>
      <c r="I43" s="1300"/>
      <c r="J43" s="1300"/>
      <c r="K43" s="1370"/>
      <c r="L43" s="1370"/>
      <c r="M43" s="1300"/>
    </row>
    <row r="44" spans="2:13" ht="11.25" customHeight="1" x14ac:dyDescent="0.2">
      <c r="B44" s="1300" t="s">
        <v>1668</v>
      </c>
      <c r="G44" s="317"/>
      <c r="H44" s="317"/>
      <c r="I44" s="317"/>
      <c r="J44" s="317"/>
    </row>
    <row r="45" spans="2:13" ht="11.1" customHeight="1" x14ac:dyDescent="0.2">
      <c r="B45" s="1300"/>
      <c r="G45" s="317"/>
      <c r="H45" s="317"/>
      <c r="I45" s="317"/>
      <c r="J45" s="317"/>
    </row>
    <row r="46" spans="2:13" ht="11.1" customHeight="1" x14ac:dyDescent="0.2">
      <c r="B46" s="1300"/>
      <c r="G46" s="317"/>
      <c r="H46" s="317"/>
      <c r="I46" s="317"/>
      <c r="J46" s="317"/>
    </row>
    <row r="47" spans="2:13" ht="13.5" customHeight="1" x14ac:dyDescent="0.2">
      <c r="M47" s="1373"/>
    </row>
    <row r="48" spans="2:13" ht="13.5" customHeight="1" x14ac:dyDescent="0.2">
      <c r="M48" s="1373"/>
    </row>
    <row r="49" spans="7:13" ht="13.5" customHeight="1" x14ac:dyDescent="0.2">
      <c r="M49" s="1373"/>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1:L20 E14:K14 E20:K20 L23:L25 E22:K22 L22 L21"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8" zoomScale="110" zoomScaleNormal="110" workbookViewId="0">
      <selection activeCell="K32" sqref="K3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United Twp HSD 30</v>
      </c>
      <c r="C1" s="2471"/>
      <c r="D1" s="2471"/>
      <c r="E1" s="2471"/>
      <c r="F1" s="2471"/>
      <c r="G1" s="2471"/>
      <c r="H1" s="2471"/>
      <c r="I1" s="2471"/>
      <c r="J1" s="1422"/>
    </row>
    <row r="2" spans="2:10" s="317" customFormat="1" ht="12.75" customHeight="1" x14ac:dyDescent="0.2">
      <c r="B2" s="2472">
        <f>'Single Audit Cover'!E7</f>
        <v>49081030017</v>
      </c>
      <c r="C2" s="2473"/>
      <c r="D2" s="2473"/>
      <c r="E2" s="2473"/>
      <c r="F2" s="2473"/>
      <c r="G2" s="2473"/>
      <c r="H2" s="2473"/>
      <c r="I2" s="2473"/>
      <c r="J2" s="1422"/>
    </row>
    <row r="3" spans="2:10" s="317" customFormat="1" ht="12.75" customHeight="1" x14ac:dyDescent="0.2">
      <c r="B3" s="2474" t="s">
        <v>1347</v>
      </c>
      <c r="C3" s="2475"/>
      <c r="D3" s="2475"/>
      <c r="E3" s="2475"/>
      <c r="F3" s="2475"/>
      <c r="G3" s="2475"/>
      <c r="H3" s="2475"/>
      <c r="I3" s="2475"/>
      <c r="J3" s="1423"/>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4" t="s">
        <v>1346</v>
      </c>
      <c r="C7" s="2475"/>
      <c r="D7" s="2475"/>
      <c r="E7" s="2475"/>
      <c r="F7" s="2475"/>
      <c r="G7" s="2475"/>
      <c r="H7" s="2475"/>
      <c r="I7" s="247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6" t="s">
        <v>2125</v>
      </c>
      <c r="D11" s="247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7" t="s">
        <v>2125</v>
      </c>
      <c r="E29" s="2477"/>
      <c r="F29" s="2477"/>
      <c r="G29" s="2477"/>
      <c r="H29" s="2477"/>
      <c r="I29" s="2477"/>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78" t="s">
        <v>1851</v>
      </c>
      <c r="D37" s="2479"/>
      <c r="E37" s="2479"/>
      <c r="F37" s="2480"/>
      <c r="G37" s="2478" t="s">
        <v>1674</v>
      </c>
      <c r="H37" s="2479"/>
      <c r="I37" s="2480"/>
    </row>
    <row r="38" spans="2:9" ht="16.5" customHeight="1" x14ac:dyDescent="0.2">
      <c r="B38" s="1444" t="s">
        <v>2100</v>
      </c>
      <c r="C38" s="2466" t="s">
        <v>2100</v>
      </c>
      <c r="D38" s="2467"/>
      <c r="E38" s="2467"/>
      <c r="F38" s="2468"/>
      <c r="G38" s="2481"/>
      <c r="H38" s="2482"/>
      <c r="I38" s="2483"/>
    </row>
    <row r="39" spans="2:9" ht="16.5" customHeight="1" x14ac:dyDescent="0.2">
      <c r="B39" s="1444">
        <v>10.553000000000001</v>
      </c>
      <c r="C39" s="2466" t="s">
        <v>1119</v>
      </c>
      <c r="D39" s="2467"/>
      <c r="E39" s="2467"/>
      <c r="F39" s="2468"/>
      <c r="G39" s="2469">
        <v>54989</v>
      </c>
      <c r="H39" s="2469"/>
      <c r="I39" s="2469"/>
    </row>
    <row r="40" spans="2:9" ht="16.5" customHeight="1" x14ac:dyDescent="0.2">
      <c r="B40" s="1444">
        <v>10.555</v>
      </c>
      <c r="C40" s="2466" t="s">
        <v>1118</v>
      </c>
      <c r="D40" s="2467"/>
      <c r="E40" s="2467"/>
      <c r="F40" s="2468"/>
      <c r="G40" s="2469">
        <v>431892</v>
      </c>
      <c r="H40" s="2469"/>
      <c r="I40" s="2469"/>
    </row>
    <row r="41" spans="2:9" ht="16.5" customHeight="1" x14ac:dyDescent="0.2">
      <c r="B41" s="1444">
        <v>10.555</v>
      </c>
      <c r="C41" s="2466" t="s">
        <v>2163</v>
      </c>
      <c r="D41" s="2467"/>
      <c r="E41" s="2467"/>
      <c r="F41" s="2468"/>
      <c r="G41" s="2469">
        <v>75495</v>
      </c>
      <c r="H41" s="2469"/>
      <c r="I41" s="2469"/>
    </row>
    <row r="42" spans="2:9" ht="16.5" customHeight="1" x14ac:dyDescent="0.2">
      <c r="B42" s="1444"/>
      <c r="C42" s="2466"/>
      <c r="D42" s="2467"/>
      <c r="E42" s="2467"/>
      <c r="F42" s="2468"/>
      <c r="G42" s="2469"/>
      <c r="H42" s="2469"/>
      <c r="I42" s="2469"/>
    </row>
    <row r="43" spans="2:9" ht="16.5" customHeight="1" x14ac:dyDescent="0.2">
      <c r="B43" s="1444"/>
      <c r="C43" s="2484" t="s">
        <v>1675</v>
      </c>
      <c r="D43" s="2485"/>
      <c r="E43" s="2485"/>
      <c r="F43" s="2486"/>
      <c r="G43" s="2487">
        <f>SUM(G38:I42)</f>
        <v>562376</v>
      </c>
      <c r="H43" s="2487"/>
      <c r="I43" s="2487"/>
    </row>
    <row r="44" spans="2:9" ht="12.75" customHeight="1" x14ac:dyDescent="0.2"/>
    <row r="45" spans="2:9" ht="12.75" customHeight="1" x14ac:dyDescent="0.2">
      <c r="B45" s="1435" t="s">
        <v>1949</v>
      </c>
      <c r="D45" s="2488">
        <f>+' SEFA (3)'!I22</f>
        <v>1330743</v>
      </c>
      <c r="E45" s="2489"/>
    </row>
    <row r="46" spans="2:9" ht="5.25" customHeight="1" x14ac:dyDescent="0.2">
      <c r="B46" s="1445"/>
      <c r="D46" s="1446"/>
      <c r="E46" s="1447"/>
    </row>
    <row r="47" spans="2:9" ht="12.75" customHeight="1" x14ac:dyDescent="0.2">
      <c r="B47" s="1300" t="s">
        <v>1676</v>
      </c>
      <c r="C47" s="1300"/>
      <c r="D47" s="1448">
        <f>+G43/D45</f>
        <v>0.42260301200156603</v>
      </c>
      <c r="E47" s="1449"/>
      <c r="F47" s="1450"/>
      <c r="I47" s="1451"/>
    </row>
    <row r="48" spans="2:9" ht="9.9499999999999993" customHeight="1" x14ac:dyDescent="0.2"/>
    <row r="49" spans="1:9" x14ac:dyDescent="0.2">
      <c r="B49" s="1368" t="s">
        <v>1335</v>
      </c>
      <c r="C49" s="1282"/>
      <c r="D49" s="1282"/>
      <c r="E49" s="2490">
        <v>750000</v>
      </c>
      <c r="F49" s="2490"/>
      <c r="G49" s="2490"/>
      <c r="H49" s="322"/>
    </row>
    <row r="51" spans="1:9" ht="13.5" customHeight="1" x14ac:dyDescent="0.2">
      <c r="B51" s="1368" t="s">
        <v>1334</v>
      </c>
      <c r="C51" s="1282"/>
      <c r="E51" s="1438"/>
      <c r="F51" s="1300" t="s">
        <v>940</v>
      </c>
      <c r="G51" s="1438" t="s">
        <v>2159</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8"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United Twp HSD 30</v>
      </c>
      <c r="C1" s="2470"/>
      <c r="D1" s="2470"/>
      <c r="E1" s="2470"/>
      <c r="F1" s="2470"/>
      <c r="G1" s="2470"/>
      <c r="H1" s="2470"/>
      <c r="I1" s="2470"/>
      <c r="J1" s="2470"/>
      <c r="K1" s="2470"/>
      <c r="L1" s="1374"/>
      <c r="M1" s="1374"/>
    </row>
    <row r="2" spans="1:13" ht="12" customHeight="1" x14ac:dyDescent="0.2">
      <c r="B2" s="2472">
        <f>'Single Audit Cover'!E7</f>
        <v>49081030017</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t="s">
        <v>2127</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34"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United Twp HSD 30</v>
      </c>
      <c r="C1" s="2497"/>
      <c r="D1" s="2497"/>
      <c r="E1" s="2497"/>
      <c r="F1" s="2497"/>
      <c r="G1" s="2497"/>
      <c r="H1" s="2497"/>
      <c r="I1" s="2497"/>
      <c r="J1" s="2497"/>
      <c r="K1" s="2497"/>
      <c r="L1" s="1465"/>
    </row>
    <row r="2" spans="1:12" ht="12.75" customHeight="1" x14ac:dyDescent="0.2">
      <c r="B2" s="2498">
        <f>'Single Audit Cover'!E7</f>
        <v>49081030017</v>
      </c>
      <c r="C2" s="2498"/>
      <c r="D2" s="2498"/>
      <c r="E2" s="2498"/>
      <c r="F2" s="2498"/>
      <c r="G2" s="2498"/>
      <c r="H2" s="2498"/>
      <c r="I2" s="2498"/>
      <c r="J2" s="2498"/>
      <c r="K2" s="2498"/>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t="s">
        <v>2127</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7"/>
      <c r="G12" s="2477"/>
      <c r="H12" s="2477"/>
      <c r="I12" s="2477"/>
      <c r="J12" s="2477"/>
      <c r="K12" s="247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topLeftCell="A1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0" t="str">
        <f>'Single Audit Cover'!A7</f>
        <v>United Twp HSD 30</v>
      </c>
      <c r="C1" s="2470"/>
      <c r="D1" s="2470"/>
      <c r="E1" s="1491"/>
    </row>
    <row r="2" spans="2:5" s="1282" customFormat="1" ht="12.75" customHeight="1" x14ac:dyDescent="0.2">
      <c r="B2" s="2472">
        <f>'Single Audit Cover'!E7</f>
        <v>49081030017</v>
      </c>
      <c r="C2" s="2472"/>
      <c r="D2" s="2472"/>
      <c r="E2" s="1492"/>
    </row>
    <row r="3" spans="2:5" ht="12.75" customHeight="1" x14ac:dyDescent="0.2">
      <c r="B3" s="2493" t="s">
        <v>1866</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t="s">
        <v>2128</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531684820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9.1999999999999998E-3</v>
      </c>
      <c r="E10" s="356" t="s">
        <v>1062</v>
      </c>
      <c r="F10" s="355">
        <v>2.5000000000000001E-3</v>
      </c>
      <c r="G10" s="356" t="s">
        <v>1062</v>
      </c>
      <c r="H10" s="355">
        <v>1.1999999999999999E-3</v>
      </c>
      <c r="I10" s="356" t="s">
        <v>1063</v>
      </c>
      <c r="J10" s="1752">
        <f>ROUND(D10+F10+H10,5)</f>
        <v>1.29E-2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17307353</v>
      </c>
      <c r="E16" s="356"/>
      <c r="F16" s="1753">
        <f>SUM('Acct Summary 7-8'!C17,'Acct Summary 7-8'!D17,'Acct Summary 7-8'!F17)</f>
        <v>16109744</v>
      </c>
      <c r="G16" s="356"/>
      <c r="H16" s="1753">
        <f>SUM(D16-F16)</f>
        <v>1197609</v>
      </c>
      <c r="I16" s="222"/>
      <c r="J16" s="1753">
        <f>SUM('Acct Summary 7-8'!C81,'Acct Summary 7-8'!D81,'Acct Summary 7-8'!F81,'Acct Summary 7-8'!I81)</f>
        <v>13599260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607</v>
      </c>
      <c r="D31" s="237" t="s">
        <v>1132</v>
      </c>
      <c r="E31" s="222"/>
      <c r="F31" s="222"/>
      <c r="G31" s="363"/>
      <c r="H31" s="1755">
        <f>IF(B31="X",(J7*0.069),IF(B32="X",(J7*0.138),"Enter x in a.or b."))</f>
        <v>36686252.580000006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1000000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United Twp HSD 30</v>
      </c>
      <c r="E7" s="391"/>
      <c r="G7" s="252"/>
      <c r="H7" s="387"/>
      <c r="I7" s="387"/>
      <c r="J7" s="387"/>
      <c r="K7" s="387"/>
      <c r="L7" s="329"/>
      <c r="M7" s="329"/>
      <c r="N7" s="329"/>
      <c r="O7" s="329"/>
      <c r="P7" s="329"/>
    </row>
    <row r="8" spans="1:18" ht="12.75" x14ac:dyDescent="0.2">
      <c r="A8" s="329"/>
      <c r="B8" s="329"/>
      <c r="C8" s="389" t="s">
        <v>1187</v>
      </c>
      <c r="D8" s="392">
        <f>COVER!A13</f>
        <v>49081030017</v>
      </c>
      <c r="E8" s="393"/>
      <c r="G8" s="329"/>
      <c r="H8" s="329"/>
      <c r="I8" s="329"/>
      <c r="J8" s="329"/>
      <c r="K8" s="329"/>
      <c r="L8" s="329"/>
      <c r="M8" s="329"/>
      <c r="N8" s="329"/>
      <c r="O8" s="329"/>
      <c r="P8" s="329"/>
    </row>
    <row r="9" spans="1:18" ht="12.75" x14ac:dyDescent="0.2">
      <c r="A9" s="329"/>
      <c r="B9" s="329"/>
      <c r="C9" s="389" t="s">
        <v>737</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13599260</v>
      </c>
      <c r="I12" s="404"/>
      <c r="J12" s="404"/>
      <c r="K12" s="405">
        <f>TRUNC((H12/H13*100000),5)/100000</f>
        <v>0.78575042640000003</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17307353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16109744</v>
      </c>
      <c r="I17" s="404"/>
      <c r="J17" s="416"/>
      <c r="K17" s="405">
        <f>TRUNC((H17/H18*100000),5)/100000</f>
        <v>0.93080345669999998</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17307353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13599260</v>
      </c>
      <c r="I24" s="422"/>
      <c r="J24" s="422"/>
      <c r="K24" s="423">
        <f>TRUNC(((H24/H25*100000)/100000),2)</f>
        <v>303.89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44749.288890000003</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5829924.0513000004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1000000</v>
      </c>
      <c r="I32" s="420"/>
      <c r="J32" s="420"/>
      <c r="K32" s="423">
        <f>TRUNC(100-((((H32/H33*100))*100)/100),2)</f>
        <v>97.27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36686252.580000006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Normal="100" workbookViewId="0">
      <pane ySplit="2" topLeftCell="A9" activePane="bottomLeft" state="frozen"/>
      <selection activeCell="A47" sqref="A47"/>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5597257</v>
      </c>
      <c r="D4" s="466">
        <v>3756502</v>
      </c>
      <c r="E4" s="466">
        <v>483121</v>
      </c>
      <c r="F4" s="466">
        <v>1947727</v>
      </c>
      <c r="G4" s="466">
        <v>1437791</v>
      </c>
      <c r="H4" s="466">
        <v>405308</v>
      </c>
      <c r="I4" s="466">
        <v>2297774</v>
      </c>
      <c r="J4" s="467">
        <v>1372018</v>
      </c>
      <c r="K4" s="466">
        <v>417866</v>
      </c>
      <c r="L4" s="466">
        <v>871777</v>
      </c>
      <c r="M4" s="468"/>
      <c r="N4" s="469"/>
    </row>
    <row r="5" spans="1:14" x14ac:dyDescent="0.2">
      <c r="A5" s="463" t="s">
        <v>1049</v>
      </c>
      <c r="B5" s="470">
        <v>120</v>
      </c>
      <c r="C5" s="465"/>
      <c r="D5" s="466"/>
      <c r="E5" s="466"/>
      <c r="F5" s="466"/>
      <c r="G5" s="466"/>
      <c r="H5" s="466"/>
      <c r="I5" s="466"/>
      <c r="J5" s="467"/>
      <c r="K5" s="471"/>
      <c r="L5" s="472">
        <v>23664</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5597257</v>
      </c>
      <c r="D13" s="1757">
        <f t="shared" ref="D13:L13" si="0">SUM(D4:D12)</f>
        <v>3756502</v>
      </c>
      <c r="E13" s="1757">
        <f t="shared" si="0"/>
        <v>483121</v>
      </c>
      <c r="F13" s="1757">
        <f t="shared" si="0"/>
        <v>1947727</v>
      </c>
      <c r="G13" s="1757">
        <f t="shared" si="0"/>
        <v>1437791</v>
      </c>
      <c r="H13" s="1757">
        <f t="shared" si="0"/>
        <v>405308</v>
      </c>
      <c r="I13" s="1757">
        <f t="shared" si="0"/>
        <v>2297774</v>
      </c>
      <c r="J13" s="1757">
        <f t="shared" si="0"/>
        <v>1372018</v>
      </c>
      <c r="K13" s="1757">
        <f t="shared" si="0"/>
        <v>417866</v>
      </c>
      <c r="L13" s="1757">
        <f t="shared" si="0"/>
        <v>895441</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563816</v>
      </c>
      <c r="N16" s="484"/>
    </row>
    <row r="17" spans="1:14" s="485" customFormat="1" ht="12.75" customHeight="1" x14ac:dyDescent="0.2">
      <c r="A17" s="482" t="s">
        <v>1470</v>
      </c>
      <c r="B17" s="483">
        <v>230</v>
      </c>
      <c r="C17" s="477"/>
      <c r="D17" s="477"/>
      <c r="E17" s="477"/>
      <c r="F17" s="477"/>
      <c r="G17" s="477"/>
      <c r="H17" s="477"/>
      <c r="I17" s="477"/>
      <c r="J17" s="477"/>
      <c r="K17" s="477"/>
      <c r="L17" s="477"/>
      <c r="M17" s="467">
        <v>12718262</v>
      </c>
      <c r="N17" s="484"/>
    </row>
    <row r="18" spans="1:14" s="485" customFormat="1" ht="12.75" customHeight="1" x14ac:dyDescent="0.2">
      <c r="A18" s="482" t="s">
        <v>1471</v>
      </c>
      <c r="B18" s="483">
        <v>240</v>
      </c>
      <c r="C18" s="477"/>
      <c r="D18" s="477"/>
      <c r="E18" s="477"/>
      <c r="F18" s="477"/>
      <c r="G18" s="477"/>
      <c r="H18" s="477"/>
      <c r="I18" s="477"/>
      <c r="J18" s="477"/>
      <c r="K18" s="477"/>
      <c r="L18" s="477"/>
      <c r="M18" s="467">
        <v>5884829</v>
      </c>
      <c r="N18" s="484"/>
    </row>
    <row r="19" spans="1:14" s="485" customFormat="1" ht="12.75" customHeight="1" x14ac:dyDescent="0.2">
      <c r="A19" s="482" t="s">
        <v>1472</v>
      </c>
      <c r="B19" s="483">
        <v>250</v>
      </c>
      <c r="C19" s="477"/>
      <c r="D19" s="477"/>
      <c r="E19" s="477"/>
      <c r="F19" s="477"/>
      <c r="G19" s="477"/>
      <c r="H19" s="477"/>
      <c r="I19" s="477"/>
      <c r="J19" s="477"/>
      <c r="K19" s="477"/>
      <c r="L19" s="477"/>
      <c r="M19" s="467">
        <v>773283</v>
      </c>
      <c r="N19" s="484"/>
    </row>
    <row r="20" spans="1:14" s="485" customFormat="1" ht="12.75" customHeight="1" x14ac:dyDescent="0.2">
      <c r="A20" s="482" t="s">
        <v>1473</v>
      </c>
      <c r="B20" s="483">
        <v>260</v>
      </c>
      <c r="C20" s="477"/>
      <c r="D20" s="477"/>
      <c r="E20" s="477"/>
      <c r="F20" s="477"/>
      <c r="G20" s="477"/>
      <c r="H20" s="477"/>
      <c r="I20" s="477"/>
      <c r="J20" s="477"/>
      <c r="K20" s="477"/>
      <c r="L20" s="477"/>
      <c r="M20" s="467">
        <v>958497</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483121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516879</v>
      </c>
    </row>
    <row r="23" spans="1:14" ht="13.5" customHeight="1" thickBot="1" x14ac:dyDescent="0.25">
      <c r="A23" s="1756" t="s">
        <v>664</v>
      </c>
      <c r="B23" s="1761"/>
      <c r="C23" s="468"/>
      <c r="D23" s="468"/>
      <c r="E23" s="468"/>
      <c r="F23" s="468"/>
      <c r="G23" s="468"/>
      <c r="H23" s="468"/>
      <c r="I23" s="468"/>
      <c r="J23" s="468"/>
      <c r="K23" s="468"/>
      <c r="L23" s="468"/>
      <c r="M23" s="1708">
        <f>SUM(M15:M22)</f>
        <v>20898687</v>
      </c>
      <c r="N23" s="1708">
        <f>SUM(N21:N22)</f>
        <v>1000000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895441</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895441</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1000000</v>
      </c>
    </row>
    <row r="37" spans="1:14" ht="13.5" thickBot="1" x14ac:dyDescent="0.25">
      <c r="A37" s="1756" t="s">
        <v>674</v>
      </c>
      <c r="B37" s="1761"/>
      <c r="C37" s="477"/>
      <c r="D37" s="477"/>
      <c r="E37" s="477"/>
      <c r="F37" s="477"/>
      <c r="G37" s="477"/>
      <c r="H37" s="477"/>
      <c r="I37" s="477"/>
      <c r="J37" s="477"/>
      <c r="K37" s="477"/>
      <c r="L37" s="480"/>
      <c r="M37" s="468"/>
      <c r="N37" s="1708">
        <f>SUM(N36:N36)</f>
        <v>1000000</v>
      </c>
    </row>
    <row r="38" spans="1:14" s="329" customFormat="1" ht="13.5" customHeight="1" thickTop="1" x14ac:dyDescent="0.2">
      <c r="A38" s="496" t="s">
        <v>440</v>
      </c>
      <c r="B38" s="483">
        <v>714</v>
      </c>
      <c r="C38" s="466"/>
      <c r="D38" s="466"/>
      <c r="E38" s="466">
        <v>483121</v>
      </c>
      <c r="F38" s="466">
        <v>1947727</v>
      </c>
      <c r="G38" s="466">
        <v>1437791</v>
      </c>
      <c r="H38" s="466">
        <v>405308</v>
      </c>
      <c r="I38" s="466">
        <v>2297774</v>
      </c>
      <c r="J38" s="467">
        <v>1372018</v>
      </c>
      <c r="K38" s="466">
        <v>417866</v>
      </c>
      <c r="L38" s="481"/>
      <c r="M38" s="497"/>
      <c r="N38" s="497"/>
    </row>
    <row r="39" spans="1:14" s="329" customFormat="1" ht="13.5" customHeight="1" x14ac:dyDescent="0.2">
      <c r="A39" s="496" t="s">
        <v>360</v>
      </c>
      <c r="B39" s="483">
        <v>730</v>
      </c>
      <c r="C39" s="466">
        <v>5597257</v>
      </c>
      <c r="D39" s="466">
        <v>3756502</v>
      </c>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20898687</v>
      </c>
      <c r="N40" s="497"/>
    </row>
    <row r="41" spans="1:14" ht="13.5" customHeight="1" thickBot="1" x14ac:dyDescent="0.25">
      <c r="A41" s="1756" t="s">
        <v>676</v>
      </c>
      <c r="B41" s="1726"/>
      <c r="C41" s="1708">
        <f>(SUM(C34,C37,C38,C39))</f>
        <v>5597257</v>
      </c>
      <c r="D41" s="1708">
        <f t="shared" ref="D41:L41" si="2">SUM(D34,D37,D38:D39)</f>
        <v>3756502</v>
      </c>
      <c r="E41" s="1708">
        <f t="shared" si="2"/>
        <v>483121</v>
      </c>
      <c r="F41" s="1708">
        <f t="shared" si="2"/>
        <v>1947727</v>
      </c>
      <c r="G41" s="1708">
        <f t="shared" si="2"/>
        <v>1437791</v>
      </c>
      <c r="H41" s="1708">
        <f t="shared" si="2"/>
        <v>405308</v>
      </c>
      <c r="I41" s="1708">
        <f t="shared" si="2"/>
        <v>2297774</v>
      </c>
      <c r="J41" s="1708">
        <f t="shared" si="2"/>
        <v>1372018</v>
      </c>
      <c r="K41" s="1708">
        <f t="shared" si="2"/>
        <v>417866</v>
      </c>
      <c r="L41" s="1708">
        <f t="shared" si="2"/>
        <v>895441</v>
      </c>
      <c r="M41" s="1708">
        <f>SUM(M40)</f>
        <v>20898687</v>
      </c>
      <c r="N41" s="1708">
        <f>SUM(N37)</f>
        <v>1000000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F81" sqref="F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0" t="s">
        <v>1579</v>
      </c>
      <c r="B4" s="1951">
        <v>1000</v>
      </c>
      <c r="C4" s="1762">
        <f>'Revenues 9-14'!C109</f>
        <v>7551584</v>
      </c>
      <c r="D4" s="1762">
        <f>'Revenues 9-14'!D109</f>
        <v>1983552</v>
      </c>
      <c r="E4" s="1762">
        <f>'Revenues 9-14'!E109</f>
        <v>1039145</v>
      </c>
      <c r="F4" s="1762">
        <f>'Revenues 9-14'!F109</f>
        <v>796576</v>
      </c>
      <c r="G4" s="1762">
        <f>'Revenues 9-14'!G109</f>
        <v>783049</v>
      </c>
      <c r="H4" s="1762">
        <f>'Revenues 9-14'!H109</f>
        <v>762641</v>
      </c>
      <c r="I4" s="1762">
        <f>'Revenues 9-14'!I109</f>
        <v>299660</v>
      </c>
      <c r="J4" s="1762">
        <f>'Revenues 9-14'!J109</f>
        <v>605054</v>
      </c>
      <c r="K4" s="1762">
        <f>'Revenues 9-14'!K109</f>
        <v>268268</v>
      </c>
      <c r="L4" s="347"/>
    </row>
    <row r="5" spans="1:13" ht="15.75" customHeight="1" x14ac:dyDescent="0.2">
      <c r="A5" s="1598" t="s">
        <v>1580</v>
      </c>
      <c r="B5" s="1599">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8" t="s">
        <v>1581</v>
      </c>
      <c r="B6" s="1600">
        <v>3000</v>
      </c>
      <c r="C6" s="1763">
        <f>'Revenues 9-14'!C173</f>
        <v>5186048</v>
      </c>
      <c r="D6" s="1763">
        <f>'Revenues 9-14'!D173</f>
        <v>0</v>
      </c>
      <c r="E6" s="1763">
        <f>'Revenues 9-14'!E173</f>
        <v>0</v>
      </c>
      <c r="F6" s="1763">
        <f>'Revenues 9-14'!F173</f>
        <v>191395</v>
      </c>
      <c r="G6" s="1763">
        <f>'Revenues 9-14'!G173</f>
        <v>0</v>
      </c>
      <c r="H6" s="1763">
        <f>'Revenues 9-14'!H173</f>
        <v>0</v>
      </c>
      <c r="I6" s="1763">
        <f>'Revenues 9-14'!I173</f>
        <v>0</v>
      </c>
      <c r="J6" s="1763">
        <f>'Revenues 9-14'!J173</f>
        <v>0</v>
      </c>
      <c r="K6" s="1763">
        <f>'Revenues 9-14'!K173</f>
        <v>0</v>
      </c>
      <c r="L6" s="347"/>
      <c r="M6" s="513"/>
    </row>
    <row r="7" spans="1:13" ht="15.75" customHeight="1" x14ac:dyDescent="0.2">
      <c r="A7" s="1598" t="s">
        <v>1582</v>
      </c>
      <c r="B7" s="1600">
        <v>4000</v>
      </c>
      <c r="C7" s="1763">
        <f>'Revenues 9-14'!C274</f>
        <v>1298538</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14036170</v>
      </c>
      <c r="D8" s="1708">
        <f t="shared" ref="D8:K8" si="0">SUM(D4:D7)</f>
        <v>1983552</v>
      </c>
      <c r="E8" s="1708">
        <f t="shared" si="0"/>
        <v>1039145</v>
      </c>
      <c r="F8" s="1708">
        <f t="shared" si="0"/>
        <v>987971</v>
      </c>
      <c r="G8" s="1708">
        <f t="shared" si="0"/>
        <v>783049</v>
      </c>
      <c r="H8" s="1708">
        <f t="shared" si="0"/>
        <v>762641</v>
      </c>
      <c r="I8" s="1708">
        <f t="shared" si="0"/>
        <v>299660</v>
      </c>
      <c r="J8" s="1708">
        <f t="shared" si="0"/>
        <v>605054</v>
      </c>
      <c r="K8" s="1708">
        <f t="shared" si="0"/>
        <v>268268</v>
      </c>
      <c r="L8" s="347"/>
    </row>
    <row r="9" spans="1:13" ht="15.75" thickTop="1" x14ac:dyDescent="0.2">
      <c r="A9" s="514" t="s">
        <v>1752</v>
      </c>
      <c r="B9" s="515">
        <v>3998</v>
      </c>
      <c r="C9" s="481">
        <v>6389619</v>
      </c>
      <c r="D9" s="516"/>
      <c r="E9" s="481"/>
      <c r="F9" s="481"/>
      <c r="G9" s="517"/>
      <c r="H9" s="481"/>
      <c r="I9" s="509" t="s">
        <v>1231</v>
      </c>
      <c r="J9" s="478"/>
      <c r="K9" s="481"/>
      <c r="L9" s="347"/>
    </row>
    <row r="10" spans="1:13" s="519" customFormat="1" ht="13.5" thickBot="1" x14ac:dyDescent="0.25">
      <c r="A10" s="1756" t="s">
        <v>1235</v>
      </c>
      <c r="B10" s="1729"/>
      <c r="C10" s="1708">
        <f>SUM(C8:C9)</f>
        <v>20425789</v>
      </c>
      <c r="D10" s="1708">
        <f t="shared" ref="D10:K10" si="1">SUM(D8:D9)</f>
        <v>1983552</v>
      </c>
      <c r="E10" s="1708">
        <f t="shared" si="1"/>
        <v>1039145</v>
      </c>
      <c r="F10" s="1708">
        <f t="shared" si="1"/>
        <v>987971</v>
      </c>
      <c r="G10" s="1708">
        <f t="shared" si="1"/>
        <v>783049</v>
      </c>
      <c r="H10" s="1708">
        <f t="shared" si="1"/>
        <v>762641</v>
      </c>
      <c r="I10" s="1708">
        <f t="shared" si="1"/>
        <v>299660</v>
      </c>
      <c r="J10" s="1708">
        <f t="shared" si="1"/>
        <v>605054</v>
      </c>
      <c r="K10" s="1708">
        <f t="shared" si="1"/>
        <v>268268</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2">
        <f>'Expenditures 15-22'!K33</f>
        <v>8635047</v>
      </c>
      <c r="D12" s="520" t="s">
        <v>1231</v>
      </c>
      <c r="E12" s="468" t="s">
        <v>1231</v>
      </c>
      <c r="F12" s="468" t="s">
        <v>1231</v>
      </c>
      <c r="G12" s="1762">
        <f>'Expenditures 15-22'!K229</f>
        <v>200766</v>
      </c>
      <c r="H12" s="521"/>
      <c r="I12" s="468" t="s">
        <v>1231</v>
      </c>
      <c r="J12" s="468" t="s">
        <v>1231</v>
      </c>
      <c r="K12" s="521" t="s">
        <v>1231</v>
      </c>
      <c r="L12" s="347"/>
    </row>
    <row r="13" spans="1:13" ht="15.75" customHeight="1" x14ac:dyDescent="0.2">
      <c r="A13" s="1598" t="s">
        <v>477</v>
      </c>
      <c r="B13" s="1600">
        <v>2000</v>
      </c>
      <c r="C13" s="1763">
        <f>'Expenditures 15-22'!K74</f>
        <v>3417605</v>
      </c>
      <c r="D13" s="1763">
        <f>'Expenditures 15-22'!K129</f>
        <v>1645788</v>
      </c>
      <c r="E13" s="469" t="s">
        <v>1231</v>
      </c>
      <c r="F13" s="1763">
        <f>'Expenditures 15-22'!K184</f>
        <v>986752</v>
      </c>
      <c r="G13" s="1763">
        <f>'Expenditures 15-22'!K279</f>
        <v>470989</v>
      </c>
      <c r="H13" s="1763">
        <f>'Expenditures 15-22'!K303</f>
        <v>2244599</v>
      </c>
      <c r="I13" s="468" t="s">
        <v>1231</v>
      </c>
      <c r="J13" s="1763">
        <f>'Expenditures 15-22'!K330</f>
        <v>702899</v>
      </c>
      <c r="K13" s="1767">
        <f>'Expenditures 15-22'!K352</f>
        <v>384191</v>
      </c>
      <c r="L13" s="347"/>
    </row>
    <row r="14" spans="1:13" ht="15.75" customHeight="1" x14ac:dyDescent="0.2">
      <c r="A14" s="1598" t="s">
        <v>469</v>
      </c>
      <c r="B14" s="1600">
        <v>3000</v>
      </c>
      <c r="C14" s="1763">
        <f>'Expenditures 15-22'!K75</f>
        <v>63289</v>
      </c>
      <c r="D14" s="1763">
        <f>'Expenditures 15-22'!K130</f>
        <v>0</v>
      </c>
      <c r="E14" s="520" t="s">
        <v>1231</v>
      </c>
      <c r="F14" s="1763">
        <f>'Expenditures 15-22'!K185</f>
        <v>0</v>
      </c>
      <c r="G14" s="1763">
        <f>'Expenditures 15-22'!K280</f>
        <v>135</v>
      </c>
      <c r="H14" s="512"/>
      <c r="I14" s="468" t="s">
        <v>1231</v>
      </c>
      <c r="J14" s="468" t="s">
        <v>1231</v>
      </c>
      <c r="K14" s="512" t="s">
        <v>1231</v>
      </c>
      <c r="L14" s="347"/>
    </row>
    <row r="15" spans="1:13" ht="15.75" customHeight="1" x14ac:dyDescent="0.2">
      <c r="A15" s="1598" t="s">
        <v>109</v>
      </c>
      <c r="B15" s="1600">
        <v>4000</v>
      </c>
      <c r="C15" s="1763">
        <f>'Expenditures 15-22'!K102</f>
        <v>1361263</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8" t="s">
        <v>470</v>
      </c>
      <c r="B16" s="1600">
        <v>5000</v>
      </c>
      <c r="C16" s="1763">
        <f>'Expenditures 15-22'!K112</f>
        <v>0</v>
      </c>
      <c r="D16" s="1763">
        <f>'Expenditures 15-22'!K149</f>
        <v>0</v>
      </c>
      <c r="E16" s="1763">
        <f>'Expenditures 15-22'!K172</f>
        <v>1031313</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13477204</v>
      </c>
      <c r="D17" s="1708">
        <f t="shared" si="2"/>
        <v>1645788</v>
      </c>
      <c r="E17" s="1708">
        <f t="shared" si="2"/>
        <v>1031313</v>
      </c>
      <c r="F17" s="1708">
        <f t="shared" si="2"/>
        <v>986752</v>
      </c>
      <c r="G17" s="1708">
        <f t="shared" si="2"/>
        <v>671890</v>
      </c>
      <c r="H17" s="1708">
        <f t="shared" si="2"/>
        <v>2244599</v>
      </c>
      <c r="I17" s="468"/>
      <c r="J17" s="1708">
        <f>SUM(J12:J16)</f>
        <v>702899</v>
      </c>
      <c r="K17" s="1708">
        <f>SUM(K12:K16)</f>
        <v>384191</v>
      </c>
      <c r="L17" s="347"/>
    </row>
    <row r="18" spans="1:12" ht="15" customHeight="1" thickTop="1" x14ac:dyDescent="0.2">
      <c r="A18" s="1764" t="s">
        <v>1753</v>
      </c>
      <c r="B18" s="1765">
        <v>4180</v>
      </c>
      <c r="C18" s="1762">
        <f t="shared" ref="C18:H18" si="3">C9</f>
        <v>6389619</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19866823</v>
      </c>
      <c r="D19" s="1708">
        <f t="shared" si="4"/>
        <v>1645788</v>
      </c>
      <c r="E19" s="1708">
        <f t="shared" si="4"/>
        <v>1031313</v>
      </c>
      <c r="F19" s="1708">
        <f t="shared" si="4"/>
        <v>986752</v>
      </c>
      <c r="G19" s="1708">
        <f t="shared" si="4"/>
        <v>671890</v>
      </c>
      <c r="H19" s="1708">
        <f t="shared" si="4"/>
        <v>2244599</v>
      </c>
      <c r="I19" s="468"/>
      <c r="J19" s="1708">
        <f>SUM(J17:J18)</f>
        <v>702899</v>
      </c>
      <c r="K19" s="1708">
        <f>SUM(K17:K18)</f>
        <v>384191</v>
      </c>
      <c r="L19" s="347"/>
    </row>
    <row r="20" spans="1:12" ht="16.5" thickTop="1" thickBot="1" x14ac:dyDescent="0.25">
      <c r="A20" s="2143" t="s">
        <v>1754</v>
      </c>
      <c r="B20" s="2144"/>
      <c r="C20" s="1766">
        <f>C8-C17</f>
        <v>558966</v>
      </c>
      <c r="D20" s="1766">
        <f t="shared" ref="D20:K20" si="5">D8-D17</f>
        <v>337764</v>
      </c>
      <c r="E20" s="1766">
        <f t="shared" si="5"/>
        <v>7832</v>
      </c>
      <c r="F20" s="1766">
        <f t="shared" si="5"/>
        <v>1219</v>
      </c>
      <c r="G20" s="1766">
        <f t="shared" si="5"/>
        <v>111159</v>
      </c>
      <c r="H20" s="1766">
        <f t="shared" si="5"/>
        <v>-1481958</v>
      </c>
      <c r="I20" s="1766">
        <f t="shared" si="5"/>
        <v>299660</v>
      </c>
      <c r="J20" s="1766">
        <f t="shared" si="5"/>
        <v>-97845</v>
      </c>
      <c r="K20" s="1766">
        <f t="shared" si="5"/>
        <v>-115923</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v>1000000</v>
      </c>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v>45000</v>
      </c>
      <c r="G36" s="467"/>
      <c r="H36" s="467"/>
      <c r="I36" s="475"/>
      <c r="J36" s="467"/>
      <c r="K36" s="467"/>
      <c r="L36" s="524"/>
    </row>
    <row r="37" spans="1:12" s="485" customFormat="1" x14ac:dyDescent="0.2">
      <c r="A37" s="1511" t="s">
        <v>461</v>
      </c>
      <c r="B37" s="525">
        <v>7400</v>
      </c>
      <c r="C37" s="475"/>
      <c r="D37" s="475"/>
      <c r="E37" s="1763">
        <f>SUM(C54:D57,H54:H57)</f>
        <v>0</v>
      </c>
      <c r="F37" s="475"/>
      <c r="G37" s="475"/>
      <c r="H37" s="475"/>
      <c r="I37" s="477"/>
      <c r="J37" s="475"/>
      <c r="K37" s="475"/>
      <c r="L37" s="524"/>
    </row>
    <row r="38" spans="1:12" s="485" customFormat="1" x14ac:dyDescent="0.2">
      <c r="A38" s="1511" t="s">
        <v>462</v>
      </c>
      <c r="B38" s="525">
        <v>7500</v>
      </c>
      <c r="C38" s="477"/>
      <c r="D38" s="477"/>
      <c r="E38" s="1763">
        <f>SUM(C58:D61,H58:H61)</f>
        <v>0</v>
      </c>
      <c r="F38" s="477"/>
      <c r="G38" s="477"/>
      <c r="H38" s="477"/>
      <c r="I38" s="477"/>
      <c r="J38" s="477"/>
      <c r="K38" s="477"/>
      <c r="L38" s="524"/>
    </row>
    <row r="39" spans="1:12" s="485" customFormat="1" x14ac:dyDescent="0.2">
      <c r="A39" s="1511" t="s">
        <v>463</v>
      </c>
      <c r="B39" s="525">
        <v>7600</v>
      </c>
      <c r="C39" s="477"/>
      <c r="D39" s="477"/>
      <c r="E39" s="1763">
        <f>SUM(C62:D65)</f>
        <v>0</v>
      </c>
      <c r="F39" s="477"/>
      <c r="G39" s="477"/>
      <c r="H39" s="477"/>
      <c r="I39" s="477"/>
      <c r="J39" s="477"/>
      <c r="K39" s="477"/>
      <c r="L39" s="524"/>
    </row>
    <row r="40" spans="1:12" s="485" customFormat="1" ht="13.5" customHeight="1" x14ac:dyDescent="0.2">
      <c r="A40" s="1511" t="s">
        <v>663</v>
      </c>
      <c r="B40" s="483">
        <v>7700</v>
      </c>
      <c r="C40" s="477"/>
      <c r="D40" s="477"/>
      <c r="E40" s="1763">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3">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3">
        <f>SUM(C24:C43)</f>
        <v>1000000</v>
      </c>
      <c r="D44" s="1723">
        <f t="shared" ref="D44:K44" si="6">SUM(D24:D43)</f>
        <v>0</v>
      </c>
      <c r="E44" s="1723">
        <f t="shared" si="6"/>
        <v>0</v>
      </c>
      <c r="F44" s="1723">
        <f t="shared" si="6"/>
        <v>45000</v>
      </c>
      <c r="G44" s="1723">
        <f t="shared" si="6"/>
        <v>0</v>
      </c>
      <c r="H44" s="1723">
        <f t="shared" si="6"/>
        <v>0</v>
      </c>
      <c r="I44" s="1723">
        <f t="shared" si="6"/>
        <v>0</v>
      </c>
      <c r="J44" s="1723">
        <f t="shared" si="6"/>
        <v>0</v>
      </c>
      <c r="K44" s="1723">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3">
        <f>SUM(C24,C25:H25,J25:K25)</f>
        <v>1000000</v>
      </c>
      <c r="J47" s="477"/>
      <c r="K47" s="477"/>
      <c r="L47" s="529"/>
    </row>
    <row r="48" spans="1:12" s="485" customFormat="1" ht="15" x14ac:dyDescent="0.2">
      <c r="A48" s="1512" t="s">
        <v>1759</v>
      </c>
      <c r="B48" s="483">
        <v>8120</v>
      </c>
      <c r="C48" s="480"/>
      <c r="D48" s="480"/>
      <c r="E48" s="477"/>
      <c r="F48" s="480"/>
      <c r="G48" s="477"/>
      <c r="H48" s="477"/>
      <c r="I48" s="1763">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3">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3">
        <f>D30</f>
        <v>0</v>
      </c>
      <c r="L52" s="524"/>
    </row>
    <row r="53" spans="1:12" s="485" customFormat="1" ht="26.25" x14ac:dyDescent="0.2">
      <c r="A53" s="1512" t="s">
        <v>1896</v>
      </c>
      <c r="B53" s="483">
        <v>8170</v>
      </c>
      <c r="C53" s="480"/>
      <c r="D53" s="480"/>
      <c r="E53" s="477"/>
      <c r="F53" s="477"/>
      <c r="G53" s="477"/>
      <c r="H53" s="480"/>
      <c r="I53" s="477"/>
      <c r="J53" s="477"/>
      <c r="K53" s="1763">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3">
        <f t="shared" ref="C76:K76" si="7">SUM(C47:C75)</f>
        <v>0</v>
      </c>
      <c r="D76" s="1723">
        <f t="shared" si="7"/>
        <v>0</v>
      </c>
      <c r="E76" s="1723">
        <f t="shared" si="7"/>
        <v>0</v>
      </c>
      <c r="F76" s="1723">
        <f t="shared" si="7"/>
        <v>0</v>
      </c>
      <c r="G76" s="1723">
        <f t="shared" si="7"/>
        <v>0</v>
      </c>
      <c r="H76" s="1723">
        <f t="shared" si="7"/>
        <v>0</v>
      </c>
      <c r="I76" s="1723">
        <f t="shared" si="7"/>
        <v>1000000</v>
      </c>
      <c r="J76" s="1723">
        <f t="shared" si="7"/>
        <v>0</v>
      </c>
      <c r="K76" s="1723">
        <f t="shared" si="7"/>
        <v>0</v>
      </c>
      <c r="L76" s="524"/>
    </row>
    <row r="77" spans="1:12" ht="14.25" thickTop="1" thickBot="1" x14ac:dyDescent="0.25">
      <c r="A77" s="2135" t="s">
        <v>1239</v>
      </c>
      <c r="B77" s="2136"/>
      <c r="C77" s="1723">
        <f t="shared" ref="C77:K77" si="8">C44-C76</f>
        <v>1000000</v>
      </c>
      <c r="D77" s="1723">
        <f t="shared" si="8"/>
        <v>0</v>
      </c>
      <c r="E77" s="1723">
        <f t="shared" si="8"/>
        <v>0</v>
      </c>
      <c r="F77" s="1723">
        <f t="shared" si="8"/>
        <v>45000</v>
      </c>
      <c r="G77" s="1723">
        <f t="shared" si="8"/>
        <v>0</v>
      </c>
      <c r="H77" s="1723">
        <f t="shared" si="8"/>
        <v>0</v>
      </c>
      <c r="I77" s="1723">
        <f t="shared" si="8"/>
        <v>-1000000</v>
      </c>
      <c r="J77" s="1723">
        <f t="shared" si="8"/>
        <v>0</v>
      </c>
      <c r="K77" s="1723">
        <f t="shared" si="8"/>
        <v>0</v>
      </c>
      <c r="L77" s="347"/>
    </row>
    <row r="78" spans="1:12" ht="21.75" customHeight="1" thickTop="1" thickBot="1" x14ac:dyDescent="0.25">
      <c r="A78" s="2139" t="s">
        <v>618</v>
      </c>
      <c r="B78" s="2140"/>
      <c r="C78" s="1722">
        <f t="shared" ref="C78:K78" si="9">C20+C77</f>
        <v>1558966</v>
      </c>
      <c r="D78" s="1722">
        <f t="shared" si="9"/>
        <v>337764</v>
      </c>
      <c r="E78" s="1722">
        <f t="shared" si="9"/>
        <v>7832</v>
      </c>
      <c r="F78" s="1722">
        <f t="shared" si="9"/>
        <v>46219</v>
      </c>
      <c r="G78" s="1722">
        <f t="shared" si="9"/>
        <v>111159</v>
      </c>
      <c r="H78" s="1722">
        <f t="shared" si="9"/>
        <v>-1481958</v>
      </c>
      <c r="I78" s="1722">
        <f t="shared" si="9"/>
        <v>-700340</v>
      </c>
      <c r="J78" s="1722">
        <f t="shared" si="9"/>
        <v>-97845</v>
      </c>
      <c r="K78" s="1722">
        <f t="shared" si="9"/>
        <v>-115923</v>
      </c>
      <c r="L78" s="533"/>
    </row>
    <row r="79" spans="1:12" ht="13.5" thickTop="1" x14ac:dyDescent="0.2">
      <c r="A79" s="1516" t="s">
        <v>2070</v>
      </c>
      <c r="B79" s="534"/>
      <c r="C79" s="478">
        <v>4038291</v>
      </c>
      <c r="D79" s="535">
        <v>3418738</v>
      </c>
      <c r="E79" s="535">
        <v>475289</v>
      </c>
      <c r="F79" s="535">
        <v>1901508</v>
      </c>
      <c r="G79" s="535">
        <v>1326632</v>
      </c>
      <c r="H79" s="535">
        <v>1887266</v>
      </c>
      <c r="I79" s="535">
        <v>2998114</v>
      </c>
      <c r="J79" s="535">
        <v>1469863</v>
      </c>
      <c r="K79" s="535">
        <v>533789</v>
      </c>
      <c r="L79" s="347"/>
    </row>
    <row r="80" spans="1:12" x14ac:dyDescent="0.2">
      <c r="A80" s="2145" t="s">
        <v>1895</v>
      </c>
      <c r="B80" s="2146"/>
      <c r="C80" s="467"/>
      <c r="D80" s="467"/>
      <c r="E80" s="467"/>
      <c r="F80" s="467"/>
      <c r="G80" s="467"/>
      <c r="H80" s="467"/>
      <c r="I80" s="467"/>
      <c r="J80" s="467"/>
      <c r="K80" s="467"/>
      <c r="L80" s="347"/>
    </row>
    <row r="81" spans="1:12" ht="13.5" thickBot="1" x14ac:dyDescent="0.25">
      <c r="A81" s="2137" t="s">
        <v>2071</v>
      </c>
      <c r="B81" s="2138"/>
      <c r="C81" s="1708">
        <f>(SUM(C78:C80))</f>
        <v>5597257</v>
      </c>
      <c r="D81" s="1708">
        <f>SUM(D78:D80)</f>
        <v>3756502</v>
      </c>
      <c r="E81" s="1708">
        <f t="shared" ref="E81:K81" si="10">SUM(E78:E80)</f>
        <v>483121</v>
      </c>
      <c r="F81" s="1708">
        <f t="shared" si="10"/>
        <v>1947727</v>
      </c>
      <c r="G81" s="1708">
        <f t="shared" si="10"/>
        <v>1437791</v>
      </c>
      <c r="H81" s="1708">
        <f t="shared" si="10"/>
        <v>405308</v>
      </c>
      <c r="I81" s="1708">
        <f t="shared" si="10"/>
        <v>2297774</v>
      </c>
      <c r="J81" s="1708">
        <f t="shared" si="10"/>
        <v>1372018</v>
      </c>
      <c r="K81" s="1708">
        <f t="shared" si="10"/>
        <v>417866</v>
      </c>
      <c r="L81" s="347"/>
    </row>
    <row r="82" spans="1:12" ht="0.75" customHeight="1" thickTop="1" thickBot="1" x14ac:dyDescent="0.25">
      <c r="A82" s="536" t="s">
        <v>361</v>
      </c>
      <c r="B82" s="537"/>
      <c r="C82" s="538">
        <f>(C81-C79)</f>
        <v>1558966</v>
      </c>
      <c r="D82" s="538">
        <f t="shared" ref="D82:K82" si="11">(D81-D79)</f>
        <v>337764</v>
      </c>
      <c r="E82" s="538">
        <f t="shared" si="11"/>
        <v>7832</v>
      </c>
      <c r="F82" s="538">
        <f t="shared" si="11"/>
        <v>46219</v>
      </c>
      <c r="G82" s="538">
        <f t="shared" si="11"/>
        <v>111159</v>
      </c>
      <c r="H82" s="538">
        <f t="shared" si="11"/>
        <v>-1481958</v>
      </c>
      <c r="I82" s="538">
        <f t="shared" si="11"/>
        <v>-700340</v>
      </c>
      <c r="J82" s="538">
        <f t="shared" si="11"/>
        <v>-97845</v>
      </c>
      <c r="K82" s="538">
        <f t="shared" si="11"/>
        <v>-115923</v>
      </c>
    </row>
    <row r="83" spans="1:12" ht="14.25" hidden="1" thickTop="1" thickBot="1" x14ac:dyDescent="0.25">
      <c r="A83" s="539" t="s">
        <v>362</v>
      </c>
      <c r="B83" s="464"/>
      <c r="C83" s="540">
        <f>C82/C81</f>
        <v>0.2785232123520503</v>
      </c>
      <c r="D83" s="540">
        <f t="shared" ref="D83:K83" si="12">D82/D81</f>
        <v>8.9914500245174903E-2</v>
      </c>
      <c r="E83" s="540">
        <f t="shared" si="12"/>
        <v>1.621125970512563E-2</v>
      </c>
      <c r="F83" s="540">
        <f t="shared" si="12"/>
        <v>2.3729711607427529E-2</v>
      </c>
      <c r="G83" s="540">
        <f t="shared" si="12"/>
        <v>7.731234929137823E-2</v>
      </c>
      <c r="H83" s="540">
        <f t="shared" si="12"/>
        <v>-3.6563749050105105</v>
      </c>
      <c r="I83" s="540">
        <f t="shared" si="12"/>
        <v>-0.30479063650298072</v>
      </c>
      <c r="J83" s="540">
        <f t="shared" si="12"/>
        <v>-7.1314662052538669E-2</v>
      </c>
      <c r="K83" s="540">
        <f t="shared" si="12"/>
        <v>-0.27741668381730028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1902</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4865470</v>
      </c>
      <c r="D5" s="481">
        <v>1322139</v>
      </c>
      <c r="E5" s="466">
        <v>1034477</v>
      </c>
      <c r="F5" s="548">
        <v>634626</v>
      </c>
      <c r="G5" s="466">
        <v>94943</v>
      </c>
      <c r="H5" s="466"/>
      <c r="I5" s="466">
        <v>264428</v>
      </c>
      <c r="J5" s="467">
        <v>588498</v>
      </c>
      <c r="K5" s="466">
        <v>264428</v>
      </c>
    </row>
    <row r="6" spans="1:12" ht="15" x14ac:dyDescent="0.2">
      <c r="A6" s="463" t="s">
        <v>1761</v>
      </c>
      <c r="B6" s="470">
        <v>1130</v>
      </c>
      <c r="C6" s="466">
        <v>69606</v>
      </c>
      <c r="D6" s="466">
        <v>194822</v>
      </c>
      <c r="E6" s="475"/>
      <c r="F6" s="475"/>
      <c r="G6" s="468"/>
      <c r="H6" s="468"/>
      <c r="I6" s="468"/>
      <c r="J6" s="468"/>
      <c r="K6" s="468"/>
    </row>
    <row r="7" spans="1:12" x14ac:dyDescent="0.2">
      <c r="A7" s="463" t="s">
        <v>112</v>
      </c>
      <c r="B7" s="549">
        <v>1140</v>
      </c>
      <c r="C7" s="466">
        <v>105771</v>
      </c>
      <c r="D7" s="466"/>
      <c r="E7" s="468"/>
      <c r="F7" s="467"/>
      <c r="G7" s="467"/>
      <c r="H7" s="467"/>
      <c r="I7" s="468"/>
      <c r="J7" s="468"/>
      <c r="K7" s="468"/>
    </row>
    <row r="8" spans="1:12" x14ac:dyDescent="0.2">
      <c r="A8" s="463" t="s">
        <v>433</v>
      </c>
      <c r="B8" s="470">
        <v>1150</v>
      </c>
      <c r="C8" s="475"/>
      <c r="D8" s="475"/>
      <c r="E8" s="477"/>
      <c r="F8" s="477"/>
      <c r="G8" s="481">
        <v>526089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5040847</v>
      </c>
      <c r="D12" s="1727">
        <f t="shared" si="0"/>
        <v>1516961</v>
      </c>
      <c r="E12" s="1727">
        <f t="shared" si="0"/>
        <v>1034477</v>
      </c>
      <c r="F12" s="1727">
        <f t="shared" si="0"/>
        <v>634626</v>
      </c>
      <c r="G12" s="1727">
        <f t="shared" si="0"/>
        <v>621032</v>
      </c>
      <c r="H12" s="1727">
        <f t="shared" si="0"/>
        <v>0</v>
      </c>
      <c r="I12" s="1727">
        <f t="shared" si="0"/>
        <v>264428</v>
      </c>
      <c r="J12" s="1727">
        <f t="shared" si="0"/>
        <v>588498</v>
      </c>
      <c r="K12" s="1708">
        <f t="shared" si="0"/>
        <v>264428</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648</v>
      </c>
      <c r="D14" s="466">
        <v>191</v>
      </c>
      <c r="E14" s="466">
        <v>135</v>
      </c>
      <c r="F14" s="466">
        <v>81</v>
      </c>
      <c r="G14" s="466">
        <v>78</v>
      </c>
      <c r="H14" s="466"/>
      <c r="I14" s="466">
        <v>34</v>
      </c>
      <c r="J14" s="467">
        <v>75</v>
      </c>
      <c r="K14" s="466">
        <v>34</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1607805</v>
      </c>
      <c r="D16" s="466">
        <v>219246</v>
      </c>
      <c r="E16" s="466"/>
      <c r="F16" s="466"/>
      <c r="G16" s="466">
        <v>145554</v>
      </c>
      <c r="H16" s="466"/>
      <c r="I16" s="466"/>
      <c r="J16" s="467"/>
      <c r="K16" s="466"/>
    </row>
    <row r="17" spans="1:11" ht="12.75" customHeight="1" x14ac:dyDescent="0.2">
      <c r="A17" s="463" t="s">
        <v>840</v>
      </c>
      <c r="B17" s="470">
        <v>1290</v>
      </c>
      <c r="C17" s="551">
        <v>11777</v>
      </c>
      <c r="D17" s="466"/>
      <c r="E17" s="466"/>
      <c r="F17" s="466"/>
      <c r="G17" s="466"/>
      <c r="H17" s="466"/>
      <c r="I17" s="466"/>
      <c r="J17" s="467"/>
      <c r="K17" s="466"/>
    </row>
    <row r="18" spans="1:11" ht="12.75" customHeight="1" thickBot="1" x14ac:dyDescent="0.25">
      <c r="A18" s="1728" t="s">
        <v>558</v>
      </c>
      <c r="B18" s="1729"/>
      <c r="C18" s="1730">
        <f>SUM(C14:C17)</f>
        <v>1620230</v>
      </c>
      <c r="D18" s="1730">
        <f t="shared" ref="D18:K18" si="1">SUM(D14:D17)</f>
        <v>219437</v>
      </c>
      <c r="E18" s="1730">
        <f t="shared" si="1"/>
        <v>135</v>
      </c>
      <c r="F18" s="1730">
        <f t="shared" si="1"/>
        <v>81</v>
      </c>
      <c r="G18" s="1730">
        <f t="shared" si="1"/>
        <v>145632</v>
      </c>
      <c r="H18" s="1730">
        <f t="shared" si="1"/>
        <v>0</v>
      </c>
      <c r="I18" s="1730">
        <f t="shared" si="1"/>
        <v>34</v>
      </c>
      <c r="J18" s="1730">
        <f t="shared" si="1"/>
        <v>75</v>
      </c>
      <c r="K18" s="1731">
        <f t="shared" si="1"/>
        <v>34</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v>47045</v>
      </c>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47045</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42596</v>
      </c>
      <c r="D65" s="466">
        <v>42755</v>
      </c>
      <c r="E65" s="466">
        <v>4533</v>
      </c>
      <c r="F65" s="467">
        <v>21640</v>
      </c>
      <c r="G65" s="466">
        <v>16385</v>
      </c>
      <c r="H65" s="466">
        <v>8896</v>
      </c>
      <c r="I65" s="466">
        <v>35198</v>
      </c>
      <c r="J65" s="467">
        <v>16481</v>
      </c>
      <c r="K65" s="466">
        <v>3806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42596</v>
      </c>
      <c r="D67" s="1708">
        <f t="shared" ref="D67:K67" si="2">SUM(D65:D66)</f>
        <v>42755</v>
      </c>
      <c r="E67" s="1708">
        <f t="shared" si="2"/>
        <v>4533</v>
      </c>
      <c r="F67" s="1708">
        <f t="shared" si="2"/>
        <v>21640</v>
      </c>
      <c r="G67" s="1708">
        <f t="shared" si="2"/>
        <v>16385</v>
      </c>
      <c r="H67" s="1708">
        <f t="shared" si="2"/>
        <v>8896</v>
      </c>
      <c r="I67" s="1708">
        <f t="shared" si="2"/>
        <v>35198</v>
      </c>
      <c r="J67" s="1708">
        <f t="shared" si="2"/>
        <v>16481</v>
      </c>
      <c r="K67" s="1708">
        <f t="shared" si="2"/>
        <v>3806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160371</v>
      </c>
      <c r="D69" s="468"/>
      <c r="E69" s="468"/>
      <c r="F69" s="468"/>
      <c r="G69" s="468"/>
      <c r="H69" s="468"/>
      <c r="I69" s="468"/>
      <c r="J69" s="468"/>
      <c r="K69" s="468"/>
    </row>
    <row r="70" spans="1:11" ht="12.75" customHeight="1" x14ac:dyDescent="0.2">
      <c r="A70" s="463" t="s">
        <v>1054</v>
      </c>
      <c r="B70" s="470">
        <v>1612</v>
      </c>
      <c r="C70" s="551">
        <v>6113</v>
      </c>
      <c r="D70" s="468"/>
      <c r="E70" s="468"/>
      <c r="F70" s="468"/>
      <c r="G70" s="468"/>
      <c r="H70" s="468"/>
      <c r="I70" s="468"/>
      <c r="J70" s="468"/>
      <c r="K70" s="468"/>
    </row>
    <row r="71" spans="1:11" ht="12.75" customHeight="1" x14ac:dyDescent="0.2">
      <c r="A71" s="463" t="s">
        <v>291</v>
      </c>
      <c r="B71" s="470">
        <v>1613</v>
      </c>
      <c r="C71" s="551">
        <v>84368</v>
      </c>
      <c r="D71" s="468"/>
      <c r="E71" s="468"/>
      <c r="F71" s="468"/>
      <c r="G71" s="468"/>
      <c r="H71" s="468"/>
      <c r="I71" s="468"/>
      <c r="J71" s="468"/>
      <c r="K71" s="468"/>
    </row>
    <row r="72" spans="1:11" ht="12.75" customHeight="1" x14ac:dyDescent="0.2">
      <c r="A72" s="463" t="s">
        <v>24</v>
      </c>
      <c r="B72" s="470">
        <v>1614</v>
      </c>
      <c r="C72" s="551">
        <v>12577</v>
      </c>
      <c r="D72" s="468"/>
      <c r="E72" s="468"/>
      <c r="F72" s="468"/>
      <c r="G72" s="468"/>
      <c r="H72" s="468"/>
      <c r="I72" s="468"/>
      <c r="J72" s="468"/>
      <c r="K72" s="468"/>
    </row>
    <row r="73" spans="1:11" ht="12.75" customHeight="1" x14ac:dyDescent="0.2">
      <c r="A73" s="463" t="s">
        <v>1055</v>
      </c>
      <c r="B73" s="470">
        <v>1620</v>
      </c>
      <c r="C73" s="551">
        <v>5408</v>
      </c>
      <c r="D73" s="468"/>
      <c r="E73" s="468"/>
      <c r="F73" s="468"/>
      <c r="G73" s="468"/>
      <c r="H73" s="468"/>
      <c r="I73" s="468"/>
      <c r="J73" s="468"/>
      <c r="K73" s="468"/>
    </row>
    <row r="74" spans="1:11" ht="12.75" customHeight="1" x14ac:dyDescent="0.2">
      <c r="A74" s="463" t="s">
        <v>25</v>
      </c>
      <c r="B74" s="470">
        <v>1690</v>
      </c>
      <c r="C74" s="551">
        <f>76237-1166</f>
        <v>75071</v>
      </c>
      <c r="D74" s="468"/>
      <c r="E74" s="468"/>
      <c r="F74" s="468"/>
      <c r="G74" s="468"/>
      <c r="H74" s="468"/>
      <c r="I74" s="468"/>
      <c r="J74" s="468"/>
      <c r="K74" s="468"/>
    </row>
    <row r="75" spans="1:11" ht="12.75" customHeight="1" thickBot="1" x14ac:dyDescent="0.25">
      <c r="A75" s="1728" t="s">
        <v>569</v>
      </c>
      <c r="B75" s="1729"/>
      <c r="C75" s="1708">
        <f>SUM(C69:C74)</f>
        <v>343908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94621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16945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385</v>
      </c>
      <c r="D81" s="466"/>
      <c r="E81" s="468"/>
      <c r="F81" s="468"/>
      <c r="G81" s="468"/>
      <c r="H81" s="468"/>
      <c r="I81" s="468"/>
      <c r="J81" s="468"/>
      <c r="K81" s="468"/>
    </row>
    <row r="82" spans="1:11" ht="12.75" customHeight="1" thickBot="1" x14ac:dyDescent="0.25">
      <c r="A82" s="1728" t="s">
        <v>259</v>
      </c>
      <c r="B82" s="1729"/>
      <c r="C82" s="1727">
        <f>SUM(C77:C81)</f>
        <v>111951</v>
      </c>
      <c r="D82" s="1708">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31763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31763</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554</v>
      </c>
      <c r="E95" s="521"/>
      <c r="F95" s="521"/>
      <c r="G95" s="521"/>
      <c r="H95" s="521"/>
      <c r="I95" s="521"/>
      <c r="J95" s="521"/>
      <c r="K95" s="521"/>
    </row>
    <row r="96" spans="1:11" ht="12.75" customHeight="1" x14ac:dyDescent="0.2">
      <c r="A96" s="463" t="s">
        <v>409</v>
      </c>
      <c r="B96" s="470">
        <v>1920</v>
      </c>
      <c r="C96" s="551">
        <v>750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26002</v>
      </c>
      <c r="D98" s="466">
        <v>183949</v>
      </c>
      <c r="E98" s="512"/>
      <c r="F98" s="466">
        <v>39504</v>
      </c>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208757</v>
      </c>
      <c r="D100" s="489"/>
      <c r="E100" s="489"/>
      <c r="F100" s="489"/>
      <c r="G100" s="489"/>
      <c r="H100" s="489">
        <v>104284</v>
      </c>
      <c r="I100" s="467"/>
      <c r="J100" s="489"/>
      <c r="K100" s="467"/>
    </row>
    <row r="101" spans="1:12" ht="12.75" customHeight="1" x14ac:dyDescent="0.2">
      <c r="A101" s="463" t="s">
        <v>264</v>
      </c>
      <c r="B101" s="470">
        <v>1970</v>
      </c>
      <c r="C101" s="489">
        <v>16010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649461</v>
      </c>
      <c r="I103" s="468"/>
      <c r="J103" s="510"/>
      <c r="K103" s="510"/>
    </row>
    <row r="104" spans="1:12" ht="12.75" customHeight="1" x14ac:dyDescent="0.2">
      <c r="A104" s="463" t="s">
        <v>885</v>
      </c>
      <c r="B104" s="470">
        <v>1991</v>
      </c>
      <c r="C104" s="489">
        <v>14057</v>
      </c>
      <c r="D104" s="466"/>
      <c r="E104" s="481"/>
      <c r="F104" s="467">
        <v>53680</v>
      </c>
      <c r="G104" s="467"/>
      <c r="H104" s="466"/>
      <c r="I104" s="468"/>
      <c r="J104" s="468"/>
      <c r="K104" s="468"/>
    </row>
    <row r="105" spans="1:12" ht="12.75" customHeight="1" x14ac:dyDescent="0.2">
      <c r="A105" s="463" t="s">
        <v>876</v>
      </c>
      <c r="B105" s="470">
        <v>1992</v>
      </c>
      <c r="C105" s="466">
        <v>30000</v>
      </c>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64713</v>
      </c>
      <c r="D107" s="466">
        <v>19896</v>
      </c>
      <c r="E107" s="466"/>
      <c r="F107" s="466"/>
      <c r="G107" s="466"/>
      <c r="H107" s="466"/>
      <c r="I107" s="466"/>
      <c r="J107" s="467"/>
      <c r="K107" s="466"/>
    </row>
    <row r="108" spans="1:12" ht="12.75" customHeight="1" thickBot="1" x14ac:dyDescent="0.25">
      <c r="A108" s="1728" t="s">
        <v>508</v>
      </c>
      <c r="B108" s="1732"/>
      <c r="C108" s="1727">
        <f>SUM(C95:C107)</f>
        <v>360289</v>
      </c>
      <c r="D108" s="1727">
        <f t="shared" ref="D108:K108" si="3">SUM(D95:D107)</f>
        <v>204399</v>
      </c>
      <c r="E108" s="1727">
        <f t="shared" si="3"/>
        <v>0</v>
      </c>
      <c r="F108" s="1727">
        <f t="shared" si="3"/>
        <v>93184</v>
      </c>
      <c r="G108" s="1727">
        <f t="shared" si="3"/>
        <v>0</v>
      </c>
      <c r="H108" s="1727">
        <f t="shared" si="3"/>
        <v>753745</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7551584</v>
      </c>
      <c r="D109" s="1735">
        <f t="shared" si="4"/>
        <v>1983552</v>
      </c>
      <c r="E109" s="1735">
        <f t="shared" si="4"/>
        <v>1039145</v>
      </c>
      <c r="F109" s="1735">
        <f t="shared" si="4"/>
        <v>796576</v>
      </c>
      <c r="G109" s="1735">
        <f t="shared" si="4"/>
        <v>783049</v>
      </c>
      <c r="H109" s="1735">
        <f t="shared" si="4"/>
        <v>762641</v>
      </c>
      <c r="I109" s="1735">
        <f t="shared" si="4"/>
        <v>299660</v>
      </c>
      <c r="J109" s="1735">
        <f t="shared" si="4"/>
        <v>605054</v>
      </c>
      <c r="K109" s="1722">
        <f t="shared" si="4"/>
        <v>268268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4743036</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4743036</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71170</v>
      </c>
      <c r="D124" s="561"/>
      <c r="E124" s="468"/>
      <c r="F124" s="548"/>
      <c r="G124" s="468"/>
      <c r="H124" s="468"/>
      <c r="I124" s="468"/>
      <c r="J124" s="468"/>
      <c r="K124" s="468"/>
    </row>
    <row r="125" spans="1:11" ht="12.75" customHeight="1" x14ac:dyDescent="0.2">
      <c r="A125" s="463" t="s">
        <v>1521</v>
      </c>
      <c r="B125" s="562">
        <v>3105</v>
      </c>
      <c r="C125" s="466">
        <v>109397</v>
      </c>
      <c r="D125" s="561"/>
      <c r="E125" s="468"/>
      <c r="F125" s="466"/>
      <c r="G125" s="468"/>
      <c r="H125" s="468"/>
      <c r="I125" s="468"/>
      <c r="J125" s="468"/>
      <c r="K125" s="468"/>
    </row>
    <row r="126" spans="1:11" ht="12.75" customHeight="1" x14ac:dyDescent="0.2">
      <c r="A126" s="463" t="s">
        <v>922</v>
      </c>
      <c r="B126" s="562">
        <v>3110</v>
      </c>
      <c r="C126" s="551">
        <v>69610</v>
      </c>
      <c r="D126" s="466"/>
      <c r="E126" s="468"/>
      <c r="F126" s="466"/>
      <c r="G126" s="468"/>
      <c r="H126" s="468"/>
      <c r="I126" s="468"/>
      <c r="J126" s="468"/>
      <c r="K126" s="468"/>
    </row>
    <row r="127" spans="1:11" ht="12.75" customHeight="1" x14ac:dyDescent="0.2">
      <c r="A127" s="463" t="s">
        <v>107</v>
      </c>
      <c r="B127" s="562">
        <v>3120</v>
      </c>
      <c r="C127" s="466">
        <v>5203</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3465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258845</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84483</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84483</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21133</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21133</v>
      </c>
      <c r="D144" s="468"/>
      <c r="E144" s="509"/>
      <c r="F144" s="468"/>
      <c r="G144" s="1741">
        <f>SUM(G142:G143)</f>
        <v>0</v>
      </c>
      <c r="H144" s="468"/>
      <c r="I144" s="468"/>
      <c r="J144" s="468"/>
      <c r="K144" s="468"/>
    </row>
    <row r="145" spans="1:11" s="202" customFormat="1" ht="12.75" customHeight="1" thickTop="1" x14ac:dyDescent="0.2">
      <c r="A145" s="1520" t="s">
        <v>1116</v>
      </c>
      <c r="B145" s="568">
        <v>3360</v>
      </c>
      <c r="C145" s="569">
        <v>6465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69745</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30223</v>
      </c>
      <c r="G151" s="467"/>
      <c r="H151" s="468"/>
      <c r="I151" s="468"/>
      <c r="J151" s="468"/>
      <c r="K151" s="468"/>
    </row>
    <row r="152" spans="1:11" ht="12.75" customHeight="1" x14ac:dyDescent="0.2">
      <c r="A152" s="463" t="s">
        <v>1117</v>
      </c>
      <c r="B152" s="562">
        <v>3510</v>
      </c>
      <c r="C152" s="551"/>
      <c r="D152" s="466"/>
      <c r="E152" s="561"/>
      <c r="F152" s="466">
        <v>161172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191395</v>
      </c>
      <c r="G154" s="1727">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2341</v>
      </c>
      <c r="D171" s="580"/>
      <c r="E171" s="580"/>
      <c r="F171" s="580"/>
      <c r="G171" s="581"/>
      <c r="H171" s="582"/>
      <c r="I171" s="581"/>
      <c r="J171" s="581"/>
      <c r="K171" s="582"/>
    </row>
    <row r="172" spans="1:11" ht="12.75" customHeight="1" thickTop="1" thickBot="1" x14ac:dyDescent="0.25">
      <c r="A172" s="2161" t="s">
        <v>418</v>
      </c>
      <c r="B172" s="2162"/>
      <c r="C172" s="1742">
        <f t="shared" ref="C172:K172" si="6">SUM(C131,C140,C144,C145:C149,C154,C155:C170,C171)</f>
        <v>443012</v>
      </c>
      <c r="D172" s="1742">
        <f t="shared" si="6"/>
        <v>0</v>
      </c>
      <c r="E172" s="1742">
        <f t="shared" si="6"/>
        <v>0</v>
      </c>
      <c r="F172" s="1742">
        <f t="shared" si="6"/>
        <v>191395</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5186048</v>
      </c>
      <c r="D173" s="1735">
        <f>SUM(D121,D172)</f>
        <v>0</v>
      </c>
      <c r="E173" s="1735">
        <f>SUM(E121,E172)</f>
        <v>0</v>
      </c>
      <c r="F173" s="1735">
        <f t="shared" ref="F173:K173" si="7">SUM(F121,F172)</f>
        <v>191395</v>
      </c>
      <c r="G173" s="1735">
        <f t="shared" si="7"/>
        <v>0</v>
      </c>
      <c r="H173" s="1735">
        <f t="shared" si="7"/>
        <v>0</v>
      </c>
      <c r="I173" s="1735">
        <f t="shared" si="7"/>
        <v>0</v>
      </c>
      <c r="J173" s="1735">
        <f t="shared" si="7"/>
        <v>0</v>
      </c>
      <c r="K173" s="1722">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5" t="s">
        <v>1903</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f>430726+1166</f>
        <v>431892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54989</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486881</v>
      </c>
      <c r="D201" s="468"/>
      <c r="E201" s="468"/>
      <c r="F201" s="468"/>
      <c r="G201" s="1708">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397487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397487</v>
      </c>
      <c r="D211" s="1727">
        <f>SUM(D203:D210)</f>
        <v>0</v>
      </c>
      <c r="E211" s="468"/>
      <c r="F211" s="1727">
        <f>SUM(F203:F210)</f>
        <v>0</v>
      </c>
      <c r="G211" s="1727">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294028</v>
      </c>
      <c r="D220" s="466"/>
      <c r="E220" s="468"/>
      <c r="F220" s="466"/>
      <c r="G220" s="466"/>
      <c r="H220" s="468"/>
      <c r="I220" s="468"/>
      <c r="J220" s="468"/>
      <c r="K220" s="468"/>
    </row>
    <row r="221" spans="1:11" ht="12.75" customHeight="1" x14ac:dyDescent="0.2">
      <c r="A221" s="463" t="s">
        <v>1114</v>
      </c>
      <c r="B221" s="470">
        <v>4625</v>
      </c>
      <c r="C221" s="551">
        <v>477</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294505</v>
      </c>
      <c r="D224" s="1727">
        <f>SUM(D218:D223)</f>
        <v>0</v>
      </c>
      <c r="E224" s="468"/>
      <c r="F224" s="1727">
        <f>SUM(F218:F223)</f>
        <v>0</v>
      </c>
      <c r="G224" s="1727">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v>387</v>
      </c>
      <c r="D263" s="468"/>
      <c r="E263" s="468"/>
      <c r="F263" s="578"/>
      <c r="G263" s="573"/>
      <c r="H263" s="468"/>
      <c r="I263" s="468"/>
      <c r="J263" s="468"/>
      <c r="K263" s="468"/>
    </row>
    <row r="264" spans="1:11" ht="12.75" customHeight="1" thickTop="1" thickBot="1" x14ac:dyDescent="0.25">
      <c r="A264" s="463" t="s">
        <v>1532</v>
      </c>
      <c r="B264" s="470">
        <v>4909</v>
      </c>
      <c r="C264" s="576">
        <v>1478</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62635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22101</v>
      </c>
      <c r="D270" s="576"/>
      <c r="E270" s="468"/>
      <c r="F270" s="576"/>
      <c r="G270" s="576"/>
      <c r="H270" s="468"/>
      <c r="I270" s="468"/>
      <c r="J270" s="468"/>
      <c r="K270" s="468"/>
    </row>
    <row r="271" spans="1:11" ht="12.75" customHeight="1" thickTop="1" thickBot="1" x14ac:dyDescent="0.25">
      <c r="A271" s="463" t="s">
        <v>395</v>
      </c>
      <c r="B271" s="470">
        <v>4992</v>
      </c>
      <c r="C271" s="575">
        <v>28564</v>
      </c>
      <c r="D271" s="576"/>
      <c r="E271" s="468"/>
      <c r="F271" s="576"/>
      <c r="G271" s="576"/>
      <c r="H271" s="468"/>
      <c r="I271" s="468"/>
      <c r="J271" s="468"/>
      <c r="K271" s="468"/>
    </row>
    <row r="272" spans="1:11" s="594" customFormat="1" ht="12.75" customHeight="1" thickTop="1" thickBot="1" x14ac:dyDescent="0.25">
      <c r="A272" s="563" t="s">
        <v>77</v>
      </c>
      <c r="B272" s="557">
        <v>4999</v>
      </c>
      <c r="C272" s="575">
        <v>4500</v>
      </c>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1298538</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1298538</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14036170</v>
      </c>
      <c r="D275" s="1735">
        <f t="shared" si="12"/>
        <v>1983552</v>
      </c>
      <c r="E275" s="1735">
        <f t="shared" si="12"/>
        <v>1039145</v>
      </c>
      <c r="F275" s="1735">
        <f t="shared" si="12"/>
        <v>987971</v>
      </c>
      <c r="G275" s="1735">
        <f t="shared" si="12"/>
        <v>783049</v>
      </c>
      <c r="H275" s="1735">
        <f t="shared" si="12"/>
        <v>762641</v>
      </c>
      <c r="I275" s="1735">
        <f t="shared" si="12"/>
        <v>299660</v>
      </c>
      <c r="J275" s="1735">
        <f t="shared" si="12"/>
        <v>605054</v>
      </c>
      <c r="K275" s="1722">
        <f t="shared" si="12"/>
        <v>268268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42" activePane="bottomLeft" state="frozen"/>
      <selection activeCell="A47" sqref="A47"/>
      <selection pane="bottomLeft" activeCell="F385" sqref="F38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4043796</v>
      </c>
      <c r="D5" s="466">
        <v>882025</v>
      </c>
      <c r="E5" s="466">
        <v>81154</v>
      </c>
      <c r="F5" s="466">
        <v>74911</v>
      </c>
      <c r="G5" s="466">
        <v>1525</v>
      </c>
      <c r="H5" s="466">
        <v>650</v>
      </c>
      <c r="I5" s="467"/>
      <c r="J5" s="467"/>
      <c r="K5" s="1691">
        <f>SUM(C5:J5)</f>
        <v>5084061</v>
      </c>
      <c r="L5" s="466">
        <v>5207270</v>
      </c>
    </row>
    <row r="6" spans="1:14" x14ac:dyDescent="0.2">
      <c r="A6" s="1526" t="s">
        <v>1508</v>
      </c>
      <c r="B6" s="615" t="s">
        <v>1506</v>
      </c>
      <c r="C6" s="477"/>
      <c r="D6" s="477"/>
      <c r="E6" s="466"/>
      <c r="F6" s="477"/>
      <c r="G6" s="477"/>
      <c r="H6" s="477"/>
      <c r="I6" s="477"/>
      <c r="J6" s="477"/>
      <c r="K6" s="1691">
        <f>SUM(C6,E6)</f>
        <v>0</v>
      </c>
      <c r="L6" s="466">
        <v>0</v>
      </c>
    </row>
    <row r="7" spans="1:14" x14ac:dyDescent="0.2">
      <c r="A7" s="1526" t="s">
        <v>165</v>
      </c>
      <c r="B7" s="615" t="s">
        <v>1024</v>
      </c>
      <c r="C7" s="467"/>
      <c r="D7" s="467"/>
      <c r="E7" s="467"/>
      <c r="F7" s="467"/>
      <c r="G7" s="467"/>
      <c r="H7" s="467"/>
      <c r="I7" s="467"/>
      <c r="J7" s="467"/>
      <c r="K7" s="1691">
        <f t="shared" ref="K7:K32" si="0">SUM(C7:J7)</f>
        <v>0</v>
      </c>
      <c r="L7" s="466">
        <v>0</v>
      </c>
    </row>
    <row r="8" spans="1:14" x14ac:dyDescent="0.2">
      <c r="A8" s="1526" t="s">
        <v>166</v>
      </c>
      <c r="B8" s="615">
        <v>1200</v>
      </c>
      <c r="C8" s="466">
        <v>1139670</v>
      </c>
      <c r="D8" s="466">
        <v>240876</v>
      </c>
      <c r="E8" s="466">
        <v>2366</v>
      </c>
      <c r="F8" s="466">
        <v>2718</v>
      </c>
      <c r="G8" s="466"/>
      <c r="H8" s="466"/>
      <c r="I8" s="467"/>
      <c r="J8" s="467"/>
      <c r="K8" s="1691">
        <f t="shared" si="0"/>
        <v>1385630</v>
      </c>
      <c r="L8" s="466">
        <v>1438122</v>
      </c>
    </row>
    <row r="9" spans="1:14" x14ac:dyDescent="0.2">
      <c r="A9" s="1526" t="s">
        <v>745</v>
      </c>
      <c r="B9" s="615" t="s">
        <v>1025</v>
      </c>
      <c r="C9" s="467"/>
      <c r="D9" s="467"/>
      <c r="E9" s="467"/>
      <c r="F9" s="467"/>
      <c r="G9" s="467"/>
      <c r="H9" s="467"/>
      <c r="I9" s="467"/>
      <c r="J9" s="467"/>
      <c r="K9" s="1691">
        <f t="shared" si="0"/>
        <v>0</v>
      </c>
      <c r="L9" s="466">
        <v>0</v>
      </c>
    </row>
    <row r="10" spans="1:14" x14ac:dyDescent="0.2">
      <c r="A10" s="1526" t="s">
        <v>746</v>
      </c>
      <c r="B10" s="615">
        <v>1250</v>
      </c>
      <c r="C10" s="466">
        <v>232280</v>
      </c>
      <c r="D10" s="466">
        <v>57377</v>
      </c>
      <c r="E10" s="466">
        <v>11005</v>
      </c>
      <c r="F10" s="466">
        <v>46125</v>
      </c>
      <c r="G10" s="466">
        <v>8392</v>
      </c>
      <c r="H10" s="466"/>
      <c r="I10" s="467"/>
      <c r="J10" s="467"/>
      <c r="K10" s="1691">
        <f t="shared" si="0"/>
        <v>355179</v>
      </c>
      <c r="L10" s="466">
        <v>415396</v>
      </c>
    </row>
    <row r="11" spans="1:14" x14ac:dyDescent="0.2">
      <c r="A11" s="1526" t="s">
        <v>1192</v>
      </c>
      <c r="B11" s="615" t="s">
        <v>163</v>
      </c>
      <c r="C11" s="467"/>
      <c r="D11" s="467"/>
      <c r="E11" s="467"/>
      <c r="F11" s="467"/>
      <c r="G11" s="467"/>
      <c r="H11" s="467"/>
      <c r="I11" s="467"/>
      <c r="J11" s="467"/>
      <c r="K11" s="1691">
        <f t="shared" si="0"/>
        <v>0</v>
      </c>
      <c r="L11" s="466">
        <v>0</v>
      </c>
    </row>
    <row r="12" spans="1:14" x14ac:dyDescent="0.2">
      <c r="A12" s="1526" t="s">
        <v>1019</v>
      </c>
      <c r="B12" s="615">
        <v>1300</v>
      </c>
      <c r="C12" s="466"/>
      <c r="D12" s="466"/>
      <c r="E12" s="466"/>
      <c r="F12" s="466"/>
      <c r="G12" s="466"/>
      <c r="H12" s="466"/>
      <c r="I12" s="467"/>
      <c r="J12" s="467"/>
      <c r="K12" s="1691">
        <f t="shared" si="0"/>
        <v>0</v>
      </c>
      <c r="L12" s="466">
        <v>0</v>
      </c>
    </row>
    <row r="13" spans="1:14" x14ac:dyDescent="0.2">
      <c r="A13" s="1526" t="s">
        <v>747</v>
      </c>
      <c r="B13" s="615">
        <v>1400</v>
      </c>
      <c r="C13" s="466">
        <v>595483</v>
      </c>
      <c r="D13" s="466">
        <v>120750</v>
      </c>
      <c r="E13" s="466">
        <v>1761</v>
      </c>
      <c r="F13" s="466">
        <v>14362</v>
      </c>
      <c r="G13" s="466"/>
      <c r="H13" s="466"/>
      <c r="I13" s="467"/>
      <c r="J13" s="467"/>
      <c r="K13" s="1691">
        <f t="shared" si="0"/>
        <v>732356</v>
      </c>
      <c r="L13" s="466">
        <v>736118</v>
      </c>
    </row>
    <row r="14" spans="1:14" x14ac:dyDescent="0.2">
      <c r="A14" s="1526" t="s">
        <v>1020</v>
      </c>
      <c r="B14" s="615">
        <v>1500</v>
      </c>
      <c r="C14" s="466">
        <v>498509</v>
      </c>
      <c r="D14" s="466">
        <v>43560</v>
      </c>
      <c r="E14" s="466">
        <v>51545</v>
      </c>
      <c r="F14" s="466">
        <v>17664</v>
      </c>
      <c r="G14" s="466">
        <v>47</v>
      </c>
      <c r="H14" s="466">
        <v>16227</v>
      </c>
      <c r="I14" s="467"/>
      <c r="J14" s="467"/>
      <c r="K14" s="1691">
        <f t="shared" si="0"/>
        <v>627552</v>
      </c>
      <c r="L14" s="466">
        <v>659399</v>
      </c>
    </row>
    <row r="15" spans="1:14" x14ac:dyDescent="0.2">
      <c r="A15" s="1526" t="s">
        <v>1021</v>
      </c>
      <c r="B15" s="615">
        <v>1600</v>
      </c>
      <c r="C15" s="466">
        <v>3225</v>
      </c>
      <c r="D15" s="466"/>
      <c r="E15" s="466"/>
      <c r="F15" s="466"/>
      <c r="G15" s="466"/>
      <c r="H15" s="466"/>
      <c r="I15" s="467"/>
      <c r="J15" s="467"/>
      <c r="K15" s="1691">
        <f t="shared" si="0"/>
        <v>3225</v>
      </c>
      <c r="L15" s="466">
        <v>5100</v>
      </c>
    </row>
    <row r="16" spans="1:14" x14ac:dyDescent="0.2">
      <c r="A16" s="1526" t="s">
        <v>1044</v>
      </c>
      <c r="B16" s="615" t="s">
        <v>444</v>
      </c>
      <c r="C16" s="466"/>
      <c r="D16" s="466"/>
      <c r="E16" s="466"/>
      <c r="F16" s="466"/>
      <c r="G16" s="466"/>
      <c r="H16" s="466"/>
      <c r="I16" s="467"/>
      <c r="J16" s="467"/>
      <c r="K16" s="1691">
        <f t="shared" si="0"/>
        <v>0</v>
      </c>
      <c r="L16" s="466">
        <v>0</v>
      </c>
    </row>
    <row r="17" spans="1:12" x14ac:dyDescent="0.2">
      <c r="A17" s="1526" t="s">
        <v>748</v>
      </c>
      <c r="B17" s="615" t="s">
        <v>164</v>
      </c>
      <c r="C17" s="467">
        <v>142249</v>
      </c>
      <c r="D17" s="467">
        <v>24971</v>
      </c>
      <c r="E17" s="467">
        <v>16841</v>
      </c>
      <c r="F17" s="467">
        <v>2638</v>
      </c>
      <c r="G17" s="467"/>
      <c r="H17" s="467"/>
      <c r="I17" s="467"/>
      <c r="J17" s="467"/>
      <c r="K17" s="1691">
        <f t="shared" si="0"/>
        <v>186699</v>
      </c>
      <c r="L17" s="466">
        <v>192838</v>
      </c>
    </row>
    <row r="18" spans="1:12" x14ac:dyDescent="0.2">
      <c r="A18" s="1526" t="s">
        <v>1148</v>
      </c>
      <c r="B18" s="615">
        <v>1800</v>
      </c>
      <c r="C18" s="466">
        <v>80315</v>
      </c>
      <c r="D18" s="466">
        <v>20982</v>
      </c>
      <c r="E18" s="466"/>
      <c r="F18" s="466">
        <v>744</v>
      </c>
      <c r="G18" s="466"/>
      <c r="H18" s="466"/>
      <c r="I18" s="467"/>
      <c r="J18" s="467"/>
      <c r="K18" s="1691">
        <f t="shared" si="0"/>
        <v>102041</v>
      </c>
      <c r="L18" s="466">
        <v>87607</v>
      </c>
    </row>
    <row r="19" spans="1:12" x14ac:dyDescent="0.2">
      <c r="A19" s="1526" t="s">
        <v>136</v>
      </c>
      <c r="B19" s="615">
        <v>1900</v>
      </c>
      <c r="C19" s="466"/>
      <c r="D19" s="466"/>
      <c r="E19" s="466"/>
      <c r="F19" s="466"/>
      <c r="G19" s="466"/>
      <c r="H19" s="466"/>
      <c r="I19" s="467"/>
      <c r="J19" s="467"/>
      <c r="K19" s="1691">
        <f t="shared" si="0"/>
        <v>0</v>
      </c>
      <c r="L19" s="466">
        <v>0</v>
      </c>
    </row>
    <row r="20" spans="1:12" x14ac:dyDescent="0.2">
      <c r="A20" s="1527" t="s">
        <v>762</v>
      </c>
      <c r="B20" s="603" t="s">
        <v>749</v>
      </c>
      <c r="C20" s="477"/>
      <c r="D20" s="477"/>
      <c r="E20" s="477"/>
      <c r="F20" s="477"/>
      <c r="G20" s="477"/>
      <c r="H20" s="474"/>
      <c r="I20" s="617"/>
      <c r="J20" s="475"/>
      <c r="K20" s="1691">
        <f t="shared" si="0"/>
        <v>0</v>
      </c>
      <c r="L20" s="471">
        <v>0</v>
      </c>
    </row>
    <row r="21" spans="1:12" x14ac:dyDescent="0.2">
      <c r="A21" s="1527" t="s">
        <v>763</v>
      </c>
      <c r="B21" s="603" t="s">
        <v>750</v>
      </c>
      <c r="C21" s="477"/>
      <c r="D21" s="477"/>
      <c r="E21" s="477"/>
      <c r="F21" s="477"/>
      <c r="G21" s="477"/>
      <c r="H21" s="474"/>
      <c r="I21" s="617"/>
      <c r="J21" s="477"/>
      <c r="K21" s="1691">
        <f t="shared" si="0"/>
        <v>0</v>
      </c>
      <c r="L21" s="471">
        <v>20000</v>
      </c>
    </row>
    <row r="22" spans="1:12" x14ac:dyDescent="0.2">
      <c r="A22" s="1527" t="s">
        <v>764</v>
      </c>
      <c r="B22" s="603" t="s">
        <v>751</v>
      </c>
      <c r="C22" s="477"/>
      <c r="D22" s="477"/>
      <c r="E22" s="477"/>
      <c r="F22" s="477"/>
      <c r="G22" s="477"/>
      <c r="H22" s="474">
        <v>158304</v>
      </c>
      <c r="I22" s="617"/>
      <c r="J22" s="477"/>
      <c r="K22" s="1691">
        <f t="shared" si="0"/>
        <v>158304</v>
      </c>
      <c r="L22" s="471">
        <v>120000</v>
      </c>
    </row>
    <row r="23" spans="1:12" x14ac:dyDescent="0.2">
      <c r="A23" s="1527" t="s">
        <v>765</v>
      </c>
      <c r="B23" s="603" t="s">
        <v>752</v>
      </c>
      <c r="C23" s="477"/>
      <c r="D23" s="477"/>
      <c r="E23" s="477"/>
      <c r="F23" s="477"/>
      <c r="G23" s="477"/>
      <c r="H23" s="474"/>
      <c r="I23" s="617"/>
      <c r="J23" s="477"/>
      <c r="K23" s="1691">
        <f t="shared" si="0"/>
        <v>0</v>
      </c>
      <c r="L23" s="471">
        <v>0</v>
      </c>
    </row>
    <row r="24" spans="1:12" ht="12.75" customHeight="1" x14ac:dyDescent="0.2">
      <c r="A24" s="1527" t="s">
        <v>766</v>
      </c>
      <c r="B24" s="603" t="s">
        <v>753</v>
      </c>
      <c r="C24" s="477"/>
      <c r="D24" s="477"/>
      <c r="E24" s="477"/>
      <c r="F24" s="477"/>
      <c r="G24" s="477"/>
      <c r="H24" s="474"/>
      <c r="I24" s="617"/>
      <c r="J24" s="477"/>
      <c r="K24" s="1691">
        <f t="shared" si="0"/>
        <v>0</v>
      </c>
      <c r="L24" s="471">
        <v>0</v>
      </c>
    </row>
    <row r="25" spans="1:12" ht="12.75" customHeight="1" x14ac:dyDescent="0.2">
      <c r="A25" s="1527" t="s">
        <v>835</v>
      </c>
      <c r="B25" s="603" t="s">
        <v>754</v>
      </c>
      <c r="C25" s="477"/>
      <c r="D25" s="477"/>
      <c r="E25" s="477"/>
      <c r="F25" s="477"/>
      <c r="G25" s="477"/>
      <c r="H25" s="474"/>
      <c r="I25" s="617"/>
      <c r="J25" s="477"/>
      <c r="K25" s="1691">
        <f t="shared" si="0"/>
        <v>0</v>
      </c>
      <c r="L25" s="471">
        <v>0</v>
      </c>
    </row>
    <row r="26" spans="1:12" x14ac:dyDescent="0.2">
      <c r="A26" s="1527" t="s">
        <v>643</v>
      </c>
      <c r="B26" s="603" t="s">
        <v>755</v>
      </c>
      <c r="C26" s="477"/>
      <c r="D26" s="477"/>
      <c r="E26" s="477"/>
      <c r="F26" s="477"/>
      <c r="G26" s="477"/>
      <c r="H26" s="474"/>
      <c r="I26" s="617"/>
      <c r="J26" s="477"/>
      <c r="K26" s="1691">
        <f t="shared" si="0"/>
        <v>0</v>
      </c>
      <c r="L26" s="471">
        <v>0</v>
      </c>
    </row>
    <row r="27" spans="1:12" x14ac:dyDescent="0.2">
      <c r="A27" s="1527" t="s">
        <v>644</v>
      </c>
      <c r="B27" s="603" t="s">
        <v>756</v>
      </c>
      <c r="C27" s="477"/>
      <c r="D27" s="477"/>
      <c r="E27" s="477"/>
      <c r="F27" s="477"/>
      <c r="G27" s="477"/>
      <c r="H27" s="474"/>
      <c r="I27" s="617"/>
      <c r="J27" s="477"/>
      <c r="K27" s="1691">
        <f t="shared" si="0"/>
        <v>0</v>
      </c>
      <c r="L27" s="471">
        <v>0</v>
      </c>
    </row>
    <row r="28" spans="1:12" x14ac:dyDescent="0.2">
      <c r="A28" s="1527" t="s">
        <v>152</v>
      </c>
      <c r="B28" s="603" t="s">
        <v>757</v>
      </c>
      <c r="C28" s="477"/>
      <c r="D28" s="477"/>
      <c r="E28" s="477"/>
      <c r="F28" s="477"/>
      <c r="G28" s="477"/>
      <c r="H28" s="474"/>
      <c r="I28" s="617"/>
      <c r="J28" s="477"/>
      <c r="K28" s="1691">
        <f t="shared" si="0"/>
        <v>0</v>
      </c>
      <c r="L28" s="471">
        <v>0</v>
      </c>
    </row>
    <row r="29" spans="1:12" x14ac:dyDescent="0.2">
      <c r="A29" s="1527" t="s">
        <v>153</v>
      </c>
      <c r="B29" s="603" t="s">
        <v>758</v>
      </c>
      <c r="C29" s="477"/>
      <c r="D29" s="477"/>
      <c r="E29" s="477"/>
      <c r="F29" s="477"/>
      <c r="G29" s="477"/>
      <c r="H29" s="474"/>
      <c r="I29" s="617"/>
      <c r="J29" s="477"/>
      <c r="K29" s="1691">
        <f t="shared" si="0"/>
        <v>0</v>
      </c>
      <c r="L29" s="471">
        <v>0</v>
      </c>
    </row>
    <row r="30" spans="1:12" x14ac:dyDescent="0.2">
      <c r="A30" s="1527" t="s">
        <v>154</v>
      </c>
      <c r="B30" s="603" t="s">
        <v>759</v>
      </c>
      <c r="C30" s="477"/>
      <c r="D30" s="477"/>
      <c r="E30" s="477"/>
      <c r="F30" s="477"/>
      <c r="G30" s="477"/>
      <c r="H30" s="474"/>
      <c r="I30" s="617"/>
      <c r="J30" s="477"/>
      <c r="K30" s="1691">
        <f t="shared" si="0"/>
        <v>0</v>
      </c>
      <c r="L30" s="471">
        <v>0</v>
      </c>
    </row>
    <row r="31" spans="1:12" x14ac:dyDescent="0.2">
      <c r="A31" s="1527" t="s">
        <v>155</v>
      </c>
      <c r="B31" s="603" t="s">
        <v>760</v>
      </c>
      <c r="C31" s="477"/>
      <c r="D31" s="477"/>
      <c r="E31" s="477"/>
      <c r="F31" s="477"/>
      <c r="G31" s="477"/>
      <c r="H31" s="474"/>
      <c r="I31" s="617"/>
      <c r="J31" s="477"/>
      <c r="K31" s="1691">
        <f t="shared" si="0"/>
        <v>0</v>
      </c>
      <c r="L31" s="471">
        <v>0</v>
      </c>
    </row>
    <row r="32" spans="1:12" x14ac:dyDescent="0.2">
      <c r="A32" s="1528" t="s">
        <v>1191</v>
      </c>
      <c r="B32" s="615" t="s">
        <v>761</v>
      </c>
      <c r="C32" s="477"/>
      <c r="D32" s="477"/>
      <c r="E32" s="477"/>
      <c r="F32" s="477"/>
      <c r="G32" s="477"/>
      <c r="H32" s="474"/>
      <c r="I32" s="617"/>
      <c r="J32" s="480"/>
      <c r="K32" s="1691">
        <f t="shared" si="0"/>
        <v>0</v>
      </c>
      <c r="L32" s="471">
        <v>0</v>
      </c>
    </row>
    <row r="33" spans="1:14" ht="12.75" customHeight="1" thickBot="1" x14ac:dyDescent="0.25">
      <c r="A33" s="1688" t="s">
        <v>1767</v>
      </c>
      <c r="B33" s="1689" t="s">
        <v>591</v>
      </c>
      <c r="C33" s="1690">
        <f>SUM(C5:C32)</f>
        <v>6735527</v>
      </c>
      <c r="D33" s="1690">
        <f t="shared" ref="D33:L33" si="1">SUM(D5:D32)</f>
        <v>1390541</v>
      </c>
      <c r="E33" s="1690">
        <f t="shared" si="1"/>
        <v>164672</v>
      </c>
      <c r="F33" s="1690">
        <f t="shared" si="1"/>
        <v>159162</v>
      </c>
      <c r="G33" s="1690">
        <f t="shared" si="1"/>
        <v>9964</v>
      </c>
      <c r="H33" s="1690">
        <f t="shared" si="1"/>
        <v>175181</v>
      </c>
      <c r="I33" s="1690">
        <f t="shared" si="1"/>
        <v>0</v>
      </c>
      <c r="J33" s="1690">
        <f t="shared" si="1"/>
        <v>0</v>
      </c>
      <c r="K33" s="1690">
        <f t="shared" si="1"/>
        <v>8635047</v>
      </c>
      <c r="L33" s="1690">
        <f t="shared" si="1"/>
        <v>8881850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220808</v>
      </c>
      <c r="D36" s="481">
        <v>45799</v>
      </c>
      <c r="E36" s="481">
        <v>2680</v>
      </c>
      <c r="F36" s="481"/>
      <c r="G36" s="481"/>
      <c r="H36" s="481"/>
      <c r="I36" s="467"/>
      <c r="J36" s="467"/>
      <c r="K36" s="1691">
        <f t="shared" ref="K36:K41" si="2">SUM(C36:J36)</f>
        <v>269287</v>
      </c>
      <c r="L36" s="466">
        <v>270946</v>
      </c>
    </row>
    <row r="37" spans="1:14" x14ac:dyDescent="0.2">
      <c r="A37" s="1526" t="s">
        <v>1151</v>
      </c>
      <c r="B37" s="615">
        <v>2120</v>
      </c>
      <c r="C37" s="466">
        <v>342998</v>
      </c>
      <c r="D37" s="466">
        <v>62452</v>
      </c>
      <c r="E37" s="466">
        <v>4241</v>
      </c>
      <c r="F37" s="466">
        <v>2388</v>
      </c>
      <c r="G37" s="466"/>
      <c r="H37" s="466">
        <v>35</v>
      </c>
      <c r="I37" s="467"/>
      <c r="J37" s="467"/>
      <c r="K37" s="1691">
        <f t="shared" si="2"/>
        <v>412114</v>
      </c>
      <c r="L37" s="466">
        <v>416552</v>
      </c>
    </row>
    <row r="38" spans="1:14" x14ac:dyDescent="0.2">
      <c r="A38" s="1526" t="s">
        <v>207</v>
      </c>
      <c r="B38" s="615">
        <v>2130</v>
      </c>
      <c r="C38" s="466">
        <v>20975</v>
      </c>
      <c r="D38" s="466">
        <v>35</v>
      </c>
      <c r="E38" s="466">
        <v>27</v>
      </c>
      <c r="F38" s="466">
        <v>722</v>
      </c>
      <c r="G38" s="466"/>
      <c r="H38" s="466"/>
      <c r="I38" s="467"/>
      <c r="J38" s="467"/>
      <c r="K38" s="1691">
        <f t="shared" si="2"/>
        <v>21759</v>
      </c>
      <c r="L38" s="466">
        <v>25421</v>
      </c>
    </row>
    <row r="39" spans="1:14" x14ac:dyDescent="0.2">
      <c r="A39" s="1526" t="s">
        <v>208</v>
      </c>
      <c r="B39" s="615">
        <v>2140</v>
      </c>
      <c r="C39" s="466"/>
      <c r="D39" s="466"/>
      <c r="E39" s="466"/>
      <c r="F39" s="466"/>
      <c r="G39" s="466"/>
      <c r="H39" s="466"/>
      <c r="I39" s="467"/>
      <c r="J39" s="467"/>
      <c r="K39" s="1691">
        <f t="shared" si="2"/>
        <v>0</v>
      </c>
      <c r="L39" s="466">
        <v>0</v>
      </c>
    </row>
    <row r="40" spans="1:14" x14ac:dyDescent="0.2">
      <c r="A40" s="1526" t="s">
        <v>209</v>
      </c>
      <c r="B40" s="615">
        <v>2150</v>
      </c>
      <c r="C40" s="466">
        <v>18826</v>
      </c>
      <c r="D40" s="466">
        <v>3413</v>
      </c>
      <c r="E40" s="466"/>
      <c r="F40" s="466"/>
      <c r="G40" s="466"/>
      <c r="H40" s="466">
        <v>19325</v>
      </c>
      <c r="I40" s="467"/>
      <c r="J40" s="467"/>
      <c r="K40" s="1691">
        <f t="shared" si="2"/>
        <v>41564</v>
      </c>
      <c r="L40" s="466">
        <v>22393</v>
      </c>
    </row>
    <row r="41" spans="1:14" x14ac:dyDescent="0.2">
      <c r="A41" s="1526" t="s">
        <v>1768</v>
      </c>
      <c r="B41" s="615">
        <v>2190</v>
      </c>
      <c r="C41" s="466">
        <v>253</v>
      </c>
      <c r="D41" s="466"/>
      <c r="E41" s="466">
        <v>5000</v>
      </c>
      <c r="F41" s="466">
        <v>5705</v>
      </c>
      <c r="G41" s="466"/>
      <c r="H41" s="466"/>
      <c r="I41" s="467"/>
      <c r="J41" s="467"/>
      <c r="K41" s="1691">
        <f t="shared" si="2"/>
        <v>10958</v>
      </c>
      <c r="L41" s="466">
        <v>24300</v>
      </c>
    </row>
    <row r="42" spans="1:14" ht="12.75" customHeight="1" thickBot="1" x14ac:dyDescent="0.25">
      <c r="A42" s="1688" t="s">
        <v>581</v>
      </c>
      <c r="B42" s="1689" t="s">
        <v>740</v>
      </c>
      <c r="C42" s="1690">
        <f>SUM(C36:C41)</f>
        <v>603860</v>
      </c>
      <c r="D42" s="1690">
        <f t="shared" ref="D42:L42" si="3">SUM(D36:D41)</f>
        <v>111699</v>
      </c>
      <c r="E42" s="1690">
        <f t="shared" si="3"/>
        <v>11948</v>
      </c>
      <c r="F42" s="1690">
        <f t="shared" si="3"/>
        <v>8815</v>
      </c>
      <c r="G42" s="1690">
        <f t="shared" si="3"/>
        <v>0</v>
      </c>
      <c r="H42" s="1690">
        <f t="shared" si="3"/>
        <v>19360</v>
      </c>
      <c r="I42" s="1690">
        <f t="shared" si="3"/>
        <v>0</v>
      </c>
      <c r="J42" s="1690">
        <f t="shared" si="3"/>
        <v>0</v>
      </c>
      <c r="K42" s="1690">
        <f t="shared" si="3"/>
        <v>755682</v>
      </c>
      <c r="L42" s="1690">
        <f t="shared" si="3"/>
        <v>759612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118694</v>
      </c>
      <c r="D44" s="481">
        <v>28170</v>
      </c>
      <c r="E44" s="481">
        <v>22908</v>
      </c>
      <c r="F44" s="481">
        <v>2202</v>
      </c>
      <c r="G44" s="481"/>
      <c r="H44" s="481"/>
      <c r="I44" s="467"/>
      <c r="J44" s="467"/>
      <c r="K44" s="1692">
        <f>SUM(C44:J44)</f>
        <v>171974</v>
      </c>
      <c r="L44" s="481">
        <v>219744</v>
      </c>
    </row>
    <row r="45" spans="1:14" x14ac:dyDescent="0.2">
      <c r="A45" s="1526" t="s">
        <v>869</v>
      </c>
      <c r="B45" s="615">
        <v>2220</v>
      </c>
      <c r="C45" s="466">
        <v>142322</v>
      </c>
      <c r="D45" s="466">
        <v>22598</v>
      </c>
      <c r="E45" s="466">
        <v>167211</v>
      </c>
      <c r="F45" s="466">
        <v>31960</v>
      </c>
      <c r="G45" s="466">
        <v>25587</v>
      </c>
      <c r="H45" s="466"/>
      <c r="I45" s="467"/>
      <c r="J45" s="467"/>
      <c r="K45" s="1692">
        <f>SUM(C45:J45)</f>
        <v>389678</v>
      </c>
      <c r="L45" s="466">
        <v>375670</v>
      </c>
    </row>
    <row r="46" spans="1:14" x14ac:dyDescent="0.2">
      <c r="A46" s="1526" t="s">
        <v>870</v>
      </c>
      <c r="B46" s="615">
        <v>2230</v>
      </c>
      <c r="C46" s="466">
        <v>425</v>
      </c>
      <c r="D46" s="466">
        <v>7</v>
      </c>
      <c r="E46" s="466">
        <v>24732</v>
      </c>
      <c r="F46" s="466">
        <v>596</v>
      </c>
      <c r="G46" s="466"/>
      <c r="H46" s="466"/>
      <c r="I46" s="467"/>
      <c r="J46" s="467"/>
      <c r="K46" s="1692">
        <f>SUM(C46:J46)</f>
        <v>25760</v>
      </c>
      <c r="L46" s="466">
        <v>47068</v>
      </c>
    </row>
    <row r="47" spans="1:14" ht="12.75" customHeight="1" thickBot="1" x14ac:dyDescent="0.25">
      <c r="A47" s="1688" t="s">
        <v>582</v>
      </c>
      <c r="B47" s="1689" t="s">
        <v>32</v>
      </c>
      <c r="C47" s="1690">
        <f>SUM(C44:C46)</f>
        <v>261441</v>
      </c>
      <c r="D47" s="1690">
        <f t="shared" ref="D47:K47" si="4">SUM(D44:D46)</f>
        <v>50775</v>
      </c>
      <c r="E47" s="1690">
        <f t="shared" si="4"/>
        <v>214851</v>
      </c>
      <c r="F47" s="1690">
        <f t="shared" si="4"/>
        <v>34758</v>
      </c>
      <c r="G47" s="1690">
        <f t="shared" si="4"/>
        <v>25587</v>
      </c>
      <c r="H47" s="1690">
        <f t="shared" si="4"/>
        <v>0</v>
      </c>
      <c r="I47" s="1690">
        <f t="shared" si="4"/>
        <v>0</v>
      </c>
      <c r="J47" s="1690">
        <f t="shared" si="4"/>
        <v>0</v>
      </c>
      <c r="K47" s="1690">
        <f t="shared" si="4"/>
        <v>587412</v>
      </c>
      <c r="L47" s="1690">
        <f>SUM(L44:L46)</f>
        <v>642482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49946</v>
      </c>
      <c r="F49" s="481">
        <v>800</v>
      </c>
      <c r="G49" s="481"/>
      <c r="H49" s="481">
        <v>5132</v>
      </c>
      <c r="I49" s="467"/>
      <c r="J49" s="467"/>
      <c r="K49" s="1692">
        <f>SUM(C49:J49)</f>
        <v>55878</v>
      </c>
      <c r="L49" s="481">
        <v>66750</v>
      </c>
    </row>
    <row r="50" spans="1:14" x14ac:dyDescent="0.2">
      <c r="A50" s="1526" t="s">
        <v>872</v>
      </c>
      <c r="B50" s="615">
        <v>2320</v>
      </c>
      <c r="C50" s="466">
        <v>173292</v>
      </c>
      <c r="D50" s="466">
        <v>35433</v>
      </c>
      <c r="E50" s="466">
        <v>2988</v>
      </c>
      <c r="F50" s="466">
        <v>654</v>
      </c>
      <c r="G50" s="466"/>
      <c r="H50" s="466">
        <v>2181</v>
      </c>
      <c r="I50" s="467"/>
      <c r="J50" s="467"/>
      <c r="K50" s="1692">
        <f>SUM(C50:J50)</f>
        <v>214548</v>
      </c>
      <c r="L50" s="466">
        <v>211867</v>
      </c>
    </row>
    <row r="51" spans="1:14" x14ac:dyDescent="0.2">
      <c r="A51" s="1526" t="s">
        <v>44</v>
      </c>
      <c r="B51" s="615">
        <v>2330</v>
      </c>
      <c r="C51" s="466"/>
      <c r="D51" s="466"/>
      <c r="E51" s="466"/>
      <c r="F51" s="466"/>
      <c r="G51" s="466"/>
      <c r="H51" s="466"/>
      <c r="I51" s="467"/>
      <c r="J51" s="467"/>
      <c r="K51" s="1692">
        <f>SUM(C51:J51)</f>
        <v>0</v>
      </c>
      <c r="L51" s="466">
        <v>0</v>
      </c>
    </row>
    <row r="52" spans="1:14" ht="22.5" x14ac:dyDescent="0.2">
      <c r="A52" s="1527" t="s">
        <v>316</v>
      </c>
      <c r="B52" s="628" t="s">
        <v>384</v>
      </c>
      <c r="C52" s="474"/>
      <c r="D52" s="474"/>
      <c r="E52" s="474"/>
      <c r="F52" s="474"/>
      <c r="G52" s="474"/>
      <c r="H52" s="474"/>
      <c r="I52" s="474"/>
      <c r="J52" s="474"/>
      <c r="K52" s="1692">
        <f>SUM(C52:J52)</f>
        <v>0</v>
      </c>
      <c r="L52" s="474">
        <v>0</v>
      </c>
    </row>
    <row r="53" spans="1:14" ht="12.75" customHeight="1" thickBot="1" x14ac:dyDescent="0.25">
      <c r="A53" s="1688" t="s">
        <v>741</v>
      </c>
      <c r="B53" s="1689" t="s">
        <v>33</v>
      </c>
      <c r="C53" s="1690">
        <f>SUM(C49:C52)</f>
        <v>173292</v>
      </c>
      <c r="D53" s="1690">
        <f t="shared" ref="D53:L53" si="5">SUM(D49:D52)</f>
        <v>35433</v>
      </c>
      <c r="E53" s="1690">
        <f t="shared" si="5"/>
        <v>52934</v>
      </c>
      <c r="F53" s="1690">
        <f t="shared" si="5"/>
        <v>1454</v>
      </c>
      <c r="G53" s="1690">
        <f t="shared" si="5"/>
        <v>0</v>
      </c>
      <c r="H53" s="1690">
        <f t="shared" si="5"/>
        <v>7313</v>
      </c>
      <c r="I53" s="1690">
        <f t="shared" si="5"/>
        <v>0</v>
      </c>
      <c r="J53" s="1690">
        <f t="shared" si="5"/>
        <v>0</v>
      </c>
      <c r="K53" s="1690">
        <f t="shared" si="5"/>
        <v>270426</v>
      </c>
      <c r="L53" s="1690">
        <f t="shared" si="5"/>
        <v>278617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571952</v>
      </c>
      <c r="D55" s="481">
        <v>113747</v>
      </c>
      <c r="E55" s="481">
        <v>14964</v>
      </c>
      <c r="F55" s="481">
        <v>4115</v>
      </c>
      <c r="G55" s="481">
        <v>543</v>
      </c>
      <c r="H55" s="481">
        <v>1244</v>
      </c>
      <c r="I55" s="467"/>
      <c r="J55" s="467"/>
      <c r="K55" s="1692">
        <f>SUM(C55:J55)</f>
        <v>706565</v>
      </c>
      <c r="L55" s="481">
        <v>702431</v>
      </c>
    </row>
    <row r="56" spans="1:14" ht="12.75" customHeight="1" x14ac:dyDescent="0.2">
      <c r="A56" s="1530" t="s">
        <v>394</v>
      </c>
      <c r="B56" s="629">
        <v>2490</v>
      </c>
      <c r="C56" s="466"/>
      <c r="D56" s="466"/>
      <c r="E56" s="466"/>
      <c r="F56" s="466"/>
      <c r="G56" s="466"/>
      <c r="H56" s="466"/>
      <c r="I56" s="467"/>
      <c r="J56" s="467"/>
      <c r="K56" s="1692">
        <f>SUM(C56:J56)</f>
        <v>0</v>
      </c>
      <c r="L56" s="466">
        <v>0</v>
      </c>
    </row>
    <row r="57" spans="1:14" s="343" customFormat="1" ht="12.75" customHeight="1" thickBot="1" x14ac:dyDescent="0.25">
      <c r="A57" s="1688" t="s">
        <v>281</v>
      </c>
      <c r="B57" s="1693" t="s">
        <v>34</v>
      </c>
      <c r="C57" s="1694">
        <f>SUM(C55:C56)</f>
        <v>571952</v>
      </c>
      <c r="D57" s="1694">
        <f t="shared" ref="D57:K57" si="6">SUM(D55:D56)</f>
        <v>113747</v>
      </c>
      <c r="E57" s="1694">
        <f t="shared" si="6"/>
        <v>14964</v>
      </c>
      <c r="F57" s="1694">
        <f t="shared" si="6"/>
        <v>4115</v>
      </c>
      <c r="G57" s="1694">
        <f t="shared" si="6"/>
        <v>543</v>
      </c>
      <c r="H57" s="1694">
        <f t="shared" si="6"/>
        <v>1244</v>
      </c>
      <c r="I57" s="1694">
        <f t="shared" si="6"/>
        <v>0</v>
      </c>
      <c r="J57" s="1694">
        <f t="shared" si="6"/>
        <v>0</v>
      </c>
      <c r="K57" s="1694">
        <f t="shared" si="6"/>
        <v>706565</v>
      </c>
      <c r="L57" s="1690">
        <f>SUM(L55:L56)</f>
        <v>702431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108102</v>
      </c>
      <c r="D59" s="481">
        <v>15884</v>
      </c>
      <c r="E59" s="481">
        <v>1208</v>
      </c>
      <c r="F59" s="481">
        <v>83</v>
      </c>
      <c r="G59" s="481"/>
      <c r="H59" s="481">
        <v>565</v>
      </c>
      <c r="I59" s="467"/>
      <c r="J59" s="467"/>
      <c r="K59" s="1692">
        <f t="shared" ref="K59:K64" si="7">SUM(C59:J59)</f>
        <v>125842</v>
      </c>
      <c r="L59" s="481">
        <v>126285</v>
      </c>
      <c r="M59" s="610"/>
      <c r="N59" s="610"/>
    </row>
    <row r="60" spans="1:14" s="343" customFormat="1" x14ac:dyDescent="0.2">
      <c r="A60" s="1526" t="s">
        <v>483</v>
      </c>
      <c r="B60" s="615">
        <v>2520</v>
      </c>
      <c r="C60" s="466">
        <v>79042</v>
      </c>
      <c r="D60" s="466">
        <v>5705</v>
      </c>
      <c r="E60" s="466">
        <v>1404</v>
      </c>
      <c r="F60" s="466">
        <v>1331</v>
      </c>
      <c r="G60" s="466"/>
      <c r="H60" s="466"/>
      <c r="I60" s="467"/>
      <c r="J60" s="467"/>
      <c r="K60" s="1692">
        <f t="shared" si="7"/>
        <v>87482</v>
      </c>
      <c r="L60" s="466">
        <v>93786</v>
      </c>
      <c r="M60" s="610"/>
      <c r="N60" s="610"/>
    </row>
    <row r="61" spans="1:14" s="343" customFormat="1" x14ac:dyDescent="0.2">
      <c r="A61" s="1526" t="s">
        <v>206</v>
      </c>
      <c r="B61" s="615">
        <v>2540</v>
      </c>
      <c r="C61" s="466"/>
      <c r="D61" s="466"/>
      <c r="E61" s="466"/>
      <c r="F61" s="466"/>
      <c r="G61" s="466"/>
      <c r="H61" s="466"/>
      <c r="I61" s="467"/>
      <c r="J61" s="467"/>
      <c r="K61" s="1692">
        <f t="shared" si="7"/>
        <v>0</v>
      </c>
      <c r="L61" s="466">
        <v>0</v>
      </c>
      <c r="M61" s="610"/>
      <c r="N61" s="610"/>
    </row>
    <row r="62" spans="1:14" s="343" customFormat="1" x14ac:dyDescent="0.2">
      <c r="A62" s="1526" t="s">
        <v>1010</v>
      </c>
      <c r="B62" s="615">
        <v>2550</v>
      </c>
      <c r="C62" s="466"/>
      <c r="D62" s="466"/>
      <c r="E62" s="466"/>
      <c r="F62" s="466"/>
      <c r="G62" s="466"/>
      <c r="H62" s="466"/>
      <c r="I62" s="467"/>
      <c r="J62" s="467"/>
      <c r="K62" s="1692">
        <f t="shared" si="7"/>
        <v>0</v>
      </c>
      <c r="L62" s="466">
        <v>0</v>
      </c>
      <c r="M62" s="610"/>
      <c r="N62" s="610"/>
    </row>
    <row r="63" spans="1:14" s="610" customFormat="1" x14ac:dyDescent="0.2">
      <c r="A63" s="1526" t="s">
        <v>102</v>
      </c>
      <c r="B63" s="615">
        <v>2560</v>
      </c>
      <c r="C63" s="466">
        <v>273722</v>
      </c>
      <c r="D63" s="466">
        <v>48658</v>
      </c>
      <c r="E63" s="466">
        <v>15091</v>
      </c>
      <c r="F63" s="466">
        <v>342363</v>
      </c>
      <c r="G63" s="466">
        <v>62675</v>
      </c>
      <c r="H63" s="466">
        <v>138</v>
      </c>
      <c r="I63" s="467"/>
      <c r="J63" s="467"/>
      <c r="K63" s="1692">
        <f t="shared" si="7"/>
        <v>742647</v>
      </c>
      <c r="L63" s="466">
        <v>835830</v>
      </c>
    </row>
    <row r="64" spans="1:14" s="610" customFormat="1" x14ac:dyDescent="0.2">
      <c r="A64" s="1531" t="s">
        <v>103</v>
      </c>
      <c r="B64" s="631">
        <v>2570</v>
      </c>
      <c r="C64" s="481"/>
      <c r="D64" s="481"/>
      <c r="E64" s="481">
        <v>5222</v>
      </c>
      <c r="F64" s="481"/>
      <c r="G64" s="481"/>
      <c r="H64" s="481"/>
      <c r="I64" s="467"/>
      <c r="J64" s="467"/>
      <c r="K64" s="1692">
        <f t="shared" si="7"/>
        <v>5222</v>
      </c>
      <c r="L64" s="481">
        <v>7310</v>
      </c>
    </row>
    <row r="65" spans="1:14" s="343" customFormat="1" ht="12.75" customHeight="1" thickBot="1" x14ac:dyDescent="0.25">
      <c r="A65" s="1688" t="s">
        <v>743</v>
      </c>
      <c r="B65" s="1689" t="s">
        <v>35</v>
      </c>
      <c r="C65" s="1690">
        <f>SUM(C59:C64)</f>
        <v>460866</v>
      </c>
      <c r="D65" s="1690">
        <f t="shared" ref="D65:L65" si="8">SUM(D59:D64)</f>
        <v>70247</v>
      </c>
      <c r="E65" s="1690">
        <f t="shared" si="8"/>
        <v>22925</v>
      </c>
      <c r="F65" s="1690">
        <f t="shared" si="8"/>
        <v>343777</v>
      </c>
      <c r="G65" s="1690">
        <f t="shared" si="8"/>
        <v>62675</v>
      </c>
      <c r="H65" s="1690">
        <f t="shared" si="8"/>
        <v>703</v>
      </c>
      <c r="I65" s="1690">
        <f t="shared" si="8"/>
        <v>0</v>
      </c>
      <c r="J65" s="1690">
        <f t="shared" si="8"/>
        <v>0</v>
      </c>
      <c r="K65" s="1690">
        <f t="shared" si="8"/>
        <v>961193</v>
      </c>
      <c r="L65" s="1690">
        <f t="shared" si="8"/>
        <v>1063211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2">
        <f>SUM(C67:J67)</f>
        <v>0</v>
      </c>
      <c r="L67" s="481">
        <v>0</v>
      </c>
      <c r="M67" s="610"/>
      <c r="N67" s="610"/>
    </row>
    <row r="68" spans="1:14" s="343" customFormat="1" x14ac:dyDescent="0.2">
      <c r="A68" s="1526" t="s">
        <v>628</v>
      </c>
      <c r="B68" s="615">
        <v>2620</v>
      </c>
      <c r="C68" s="466"/>
      <c r="D68" s="466"/>
      <c r="E68" s="466"/>
      <c r="F68" s="466"/>
      <c r="G68" s="466"/>
      <c r="H68" s="466"/>
      <c r="I68" s="467"/>
      <c r="J68" s="467"/>
      <c r="K68" s="1692">
        <f>SUM(C68:J68)</f>
        <v>0</v>
      </c>
      <c r="L68" s="466">
        <v>0</v>
      </c>
      <c r="M68" s="610"/>
      <c r="N68" s="610"/>
    </row>
    <row r="69" spans="1:14" s="343" customFormat="1" x14ac:dyDescent="0.2">
      <c r="A69" s="1526" t="s">
        <v>1121</v>
      </c>
      <c r="B69" s="615">
        <v>2630</v>
      </c>
      <c r="C69" s="466"/>
      <c r="D69" s="466"/>
      <c r="E69" s="466"/>
      <c r="F69" s="466"/>
      <c r="G69" s="466"/>
      <c r="H69" s="466"/>
      <c r="I69" s="467"/>
      <c r="J69" s="467"/>
      <c r="K69" s="1692">
        <f>SUM(C69:J69)</f>
        <v>0</v>
      </c>
      <c r="L69" s="466">
        <v>0</v>
      </c>
      <c r="M69" s="610"/>
      <c r="N69" s="610"/>
    </row>
    <row r="70" spans="1:14" s="343" customFormat="1" x14ac:dyDescent="0.2">
      <c r="A70" s="1526" t="s">
        <v>423</v>
      </c>
      <c r="B70" s="615">
        <v>2640</v>
      </c>
      <c r="C70" s="466">
        <v>36428</v>
      </c>
      <c r="D70" s="466">
        <v>9660</v>
      </c>
      <c r="E70" s="466">
        <v>8241</v>
      </c>
      <c r="F70" s="466">
        <v>36</v>
      </c>
      <c r="G70" s="466"/>
      <c r="H70" s="466">
        <v>189</v>
      </c>
      <c r="I70" s="467"/>
      <c r="J70" s="467"/>
      <c r="K70" s="1692">
        <f>SUM(C70:J70)</f>
        <v>54554</v>
      </c>
      <c r="L70" s="466">
        <v>64094</v>
      </c>
      <c r="M70" s="610"/>
      <c r="N70" s="610"/>
    </row>
    <row r="71" spans="1:14" s="343" customFormat="1" x14ac:dyDescent="0.2">
      <c r="A71" s="1526" t="s">
        <v>424</v>
      </c>
      <c r="B71" s="615">
        <v>2660</v>
      </c>
      <c r="C71" s="466">
        <v>59684</v>
      </c>
      <c r="D71" s="466">
        <v>9679</v>
      </c>
      <c r="E71" s="466">
        <v>8640</v>
      </c>
      <c r="F71" s="466">
        <v>3470</v>
      </c>
      <c r="G71" s="466"/>
      <c r="H71" s="466">
        <v>300</v>
      </c>
      <c r="I71" s="467"/>
      <c r="J71" s="467"/>
      <c r="K71" s="1692">
        <f>SUM(C71:J71)</f>
        <v>81773</v>
      </c>
      <c r="L71" s="466">
        <v>119518</v>
      </c>
      <c r="M71" s="610"/>
      <c r="N71" s="610"/>
    </row>
    <row r="72" spans="1:14" s="343" customFormat="1" ht="12.75" customHeight="1" thickBot="1" x14ac:dyDescent="0.25">
      <c r="A72" s="1688" t="s">
        <v>37</v>
      </c>
      <c r="B72" s="1695" t="s">
        <v>36</v>
      </c>
      <c r="C72" s="1690">
        <f>SUM(C67:C71)</f>
        <v>96112</v>
      </c>
      <c r="D72" s="1690">
        <f t="shared" ref="D72:K72" si="9">SUM(D67:D71)</f>
        <v>19339</v>
      </c>
      <c r="E72" s="1690">
        <f t="shared" si="9"/>
        <v>16881</v>
      </c>
      <c r="F72" s="1690">
        <f t="shared" si="9"/>
        <v>3506</v>
      </c>
      <c r="G72" s="1690">
        <f t="shared" si="9"/>
        <v>0</v>
      </c>
      <c r="H72" s="1690">
        <f t="shared" si="9"/>
        <v>489</v>
      </c>
      <c r="I72" s="1690">
        <f t="shared" si="9"/>
        <v>0</v>
      </c>
      <c r="J72" s="1690">
        <f t="shared" si="9"/>
        <v>0</v>
      </c>
      <c r="K72" s="1690">
        <f t="shared" si="9"/>
        <v>136327</v>
      </c>
      <c r="L72" s="1690">
        <f>SUM(L67:L71)</f>
        <v>183612</v>
      </c>
      <c r="M72" s="610"/>
      <c r="N72" s="610"/>
    </row>
    <row r="73" spans="1:14" s="343" customFormat="1" ht="14.25" thickTop="1" thickBot="1" x14ac:dyDescent="0.25">
      <c r="A73" s="1532" t="s">
        <v>1037</v>
      </c>
      <c r="B73" s="633" t="s">
        <v>595</v>
      </c>
      <c r="C73" s="573"/>
      <c r="D73" s="573"/>
      <c r="E73" s="573"/>
      <c r="F73" s="573"/>
      <c r="G73" s="573"/>
      <c r="H73" s="573"/>
      <c r="I73" s="531"/>
      <c r="J73" s="531"/>
      <c r="K73" s="1690">
        <f>SUM(C73:J73)</f>
        <v>0</v>
      </c>
      <c r="L73" s="576">
        <v>0</v>
      </c>
      <c r="M73" s="610"/>
      <c r="N73" s="610"/>
    </row>
    <row r="74" spans="1:14" ht="12.75" customHeight="1" thickTop="1" thickBot="1" x14ac:dyDescent="0.25">
      <c r="A74" s="1688" t="s">
        <v>865</v>
      </c>
      <c r="B74" s="1696">
        <v>2000</v>
      </c>
      <c r="C74" s="1697">
        <f>SUM(C42,C47,C53,C57,C65,C72,C73)</f>
        <v>2167523</v>
      </c>
      <c r="D74" s="1697">
        <f t="shared" ref="D74:K74" si="10">SUM(D42,D47,D53,D57,D65,D72,D73)</f>
        <v>401240</v>
      </c>
      <c r="E74" s="1697">
        <f t="shared" si="10"/>
        <v>334503</v>
      </c>
      <c r="F74" s="1697">
        <f t="shared" si="10"/>
        <v>396425</v>
      </c>
      <c r="G74" s="1697">
        <f t="shared" si="10"/>
        <v>88805</v>
      </c>
      <c r="H74" s="1697">
        <f t="shared" si="10"/>
        <v>29109</v>
      </c>
      <c r="I74" s="1697">
        <f t="shared" si="10"/>
        <v>0</v>
      </c>
      <c r="J74" s="1697">
        <f t="shared" si="10"/>
        <v>0</v>
      </c>
      <c r="K74" s="1697">
        <f t="shared" si="10"/>
        <v>3417605</v>
      </c>
      <c r="L74" s="1697">
        <f>SUM(L42,L47,L53,L57,L65,L72,L73)</f>
        <v>3629965</v>
      </c>
    </row>
    <row r="75" spans="1:14" s="259" customFormat="1" ht="15.75" customHeight="1" thickTop="1" thickBot="1" x14ac:dyDescent="0.25">
      <c r="A75" s="1632" t="s">
        <v>49</v>
      </c>
      <c r="B75" s="1633" t="s">
        <v>596</v>
      </c>
      <c r="C75" s="573">
        <v>2525</v>
      </c>
      <c r="D75" s="573">
        <v>43</v>
      </c>
      <c r="E75" s="573">
        <v>60015</v>
      </c>
      <c r="F75" s="573">
        <v>706</v>
      </c>
      <c r="G75" s="573"/>
      <c r="H75" s="573"/>
      <c r="I75" s="531"/>
      <c r="J75" s="531"/>
      <c r="K75" s="1690">
        <f>SUM(C75:J75)</f>
        <v>63289</v>
      </c>
      <c r="L75" s="576">
        <v>63570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35</v>
      </c>
      <c r="F78" s="617"/>
      <c r="G78" s="617"/>
      <c r="H78" s="635"/>
      <c r="I78" s="477"/>
      <c r="J78" s="477"/>
      <c r="K78" s="1691">
        <f t="shared" ref="K78:K83" si="11">SUM(C78:J78)</f>
        <v>35</v>
      </c>
      <c r="L78" s="481">
        <v>2000</v>
      </c>
    </row>
    <row r="79" spans="1:14" x14ac:dyDescent="0.2">
      <c r="A79" s="1526" t="s">
        <v>322</v>
      </c>
      <c r="B79" s="615">
        <v>4120</v>
      </c>
      <c r="C79" s="617"/>
      <c r="D79" s="617"/>
      <c r="E79" s="466">
        <v>191167</v>
      </c>
      <c r="F79" s="617"/>
      <c r="G79" s="617"/>
      <c r="H79" s="466"/>
      <c r="I79" s="477"/>
      <c r="J79" s="477"/>
      <c r="K79" s="1691">
        <f t="shared" si="11"/>
        <v>191167</v>
      </c>
      <c r="L79" s="466">
        <v>199741</v>
      </c>
    </row>
    <row r="80" spans="1:14" x14ac:dyDescent="0.2">
      <c r="A80" s="1526" t="s">
        <v>323</v>
      </c>
      <c r="B80" s="615">
        <v>4130</v>
      </c>
      <c r="C80" s="617"/>
      <c r="D80" s="617"/>
      <c r="E80" s="466"/>
      <c r="F80" s="617"/>
      <c r="G80" s="617"/>
      <c r="H80" s="466"/>
      <c r="I80" s="477"/>
      <c r="J80" s="477"/>
      <c r="K80" s="1691">
        <f t="shared" si="11"/>
        <v>0</v>
      </c>
      <c r="L80" s="466">
        <v>0</v>
      </c>
    </row>
    <row r="81" spans="1:12" x14ac:dyDescent="0.2">
      <c r="A81" s="1526" t="s">
        <v>721</v>
      </c>
      <c r="B81" s="615">
        <v>4140</v>
      </c>
      <c r="C81" s="617"/>
      <c r="D81" s="617"/>
      <c r="E81" s="466"/>
      <c r="F81" s="617"/>
      <c r="G81" s="617"/>
      <c r="H81" s="466"/>
      <c r="I81" s="477"/>
      <c r="J81" s="477"/>
      <c r="K81" s="1691">
        <f t="shared" si="11"/>
        <v>0</v>
      </c>
      <c r="L81" s="466">
        <v>0</v>
      </c>
    </row>
    <row r="82" spans="1:12" x14ac:dyDescent="0.2">
      <c r="A82" s="1526" t="s">
        <v>88</v>
      </c>
      <c r="B82" s="615">
        <v>4170</v>
      </c>
      <c r="C82" s="617"/>
      <c r="D82" s="617"/>
      <c r="E82" s="466"/>
      <c r="F82" s="617"/>
      <c r="G82" s="617"/>
      <c r="H82" s="466"/>
      <c r="I82" s="477"/>
      <c r="J82" s="477"/>
      <c r="K82" s="1691">
        <f t="shared" si="11"/>
        <v>0</v>
      </c>
      <c r="L82" s="466">
        <v>0</v>
      </c>
    </row>
    <row r="83" spans="1:12" x14ac:dyDescent="0.2">
      <c r="A83" s="1530" t="s">
        <v>722</v>
      </c>
      <c r="B83" s="629">
        <v>4190</v>
      </c>
      <c r="C83" s="617"/>
      <c r="D83" s="617"/>
      <c r="E83" s="466"/>
      <c r="F83" s="617"/>
      <c r="G83" s="617"/>
      <c r="H83" s="466"/>
      <c r="I83" s="477"/>
      <c r="J83" s="477"/>
      <c r="K83" s="1691">
        <f t="shared" si="11"/>
        <v>0</v>
      </c>
      <c r="L83" s="466">
        <v>0</v>
      </c>
    </row>
    <row r="84" spans="1:12" ht="13.5" thickBot="1" x14ac:dyDescent="0.25">
      <c r="A84" s="1688" t="s">
        <v>1565</v>
      </c>
      <c r="B84" s="1698">
        <v>4100</v>
      </c>
      <c r="C84" s="617"/>
      <c r="D84" s="617"/>
      <c r="E84" s="1690">
        <f>SUM(E78:E83)</f>
        <v>191202</v>
      </c>
      <c r="F84" s="617"/>
      <c r="G84" s="617"/>
      <c r="H84" s="1690">
        <f>SUM(H78:H83)</f>
        <v>0</v>
      </c>
      <c r="I84" s="477"/>
      <c r="J84" s="477"/>
      <c r="K84" s="1690">
        <f>SUM(K78:K83)</f>
        <v>191202</v>
      </c>
      <c r="L84" s="1690">
        <f>SUM(L78:L83)</f>
        <v>201741</v>
      </c>
    </row>
    <row r="85" spans="1:12" ht="12.75" customHeight="1" thickTop="1" thickBot="1" x14ac:dyDescent="0.25">
      <c r="A85" s="1533" t="s">
        <v>273</v>
      </c>
      <c r="B85" s="636">
        <v>4210</v>
      </c>
      <c r="C85" s="617"/>
      <c r="D85" s="617"/>
      <c r="E85" s="637"/>
      <c r="F85" s="617"/>
      <c r="G85" s="617"/>
      <c r="H85" s="535"/>
      <c r="I85" s="477"/>
      <c r="J85" s="477"/>
      <c r="K85" s="1697">
        <f>H85</f>
        <v>0</v>
      </c>
      <c r="L85" s="530">
        <v>0</v>
      </c>
    </row>
    <row r="86" spans="1:12" ht="12.75" customHeight="1" thickTop="1" thickBot="1" x14ac:dyDescent="0.25">
      <c r="A86" s="1534" t="s">
        <v>723</v>
      </c>
      <c r="B86" s="638">
        <v>4220</v>
      </c>
      <c r="C86" s="617"/>
      <c r="D86" s="617"/>
      <c r="E86" s="639"/>
      <c r="F86" s="617"/>
      <c r="G86" s="617"/>
      <c r="H86" s="467">
        <v>547886</v>
      </c>
      <c r="I86" s="477"/>
      <c r="J86" s="477"/>
      <c r="K86" s="1697">
        <f t="shared" ref="K86:K98" si="12">H86</f>
        <v>547886</v>
      </c>
      <c r="L86" s="530">
        <v>623095</v>
      </c>
    </row>
    <row r="87" spans="1:12" ht="14.25" thickTop="1" thickBot="1" x14ac:dyDescent="0.25">
      <c r="A87" s="1535" t="s">
        <v>724</v>
      </c>
      <c r="B87" s="640">
        <v>4230</v>
      </c>
      <c r="C87" s="617"/>
      <c r="D87" s="617"/>
      <c r="E87" s="639"/>
      <c r="F87" s="617"/>
      <c r="G87" s="617"/>
      <c r="H87" s="467"/>
      <c r="I87" s="477"/>
      <c r="J87" s="477"/>
      <c r="K87" s="1697">
        <f t="shared" si="12"/>
        <v>0</v>
      </c>
      <c r="L87" s="530">
        <v>0</v>
      </c>
    </row>
    <row r="88" spans="1:12" ht="12.75" customHeight="1" thickTop="1" thickBot="1" x14ac:dyDescent="0.25">
      <c r="A88" s="1535" t="s">
        <v>789</v>
      </c>
      <c r="B88" s="640">
        <v>4240</v>
      </c>
      <c r="C88" s="617"/>
      <c r="D88" s="617"/>
      <c r="E88" s="639"/>
      <c r="F88" s="617"/>
      <c r="G88" s="617"/>
      <c r="H88" s="467">
        <v>622175</v>
      </c>
      <c r="I88" s="477"/>
      <c r="J88" s="477"/>
      <c r="K88" s="1697">
        <f t="shared" si="12"/>
        <v>622175</v>
      </c>
      <c r="L88" s="530">
        <v>620000</v>
      </c>
    </row>
    <row r="89" spans="1:12" ht="12.75" customHeight="1" thickTop="1" thickBot="1" x14ac:dyDescent="0.25">
      <c r="A89" s="1535" t="s">
        <v>725</v>
      </c>
      <c r="B89" s="640">
        <v>4270</v>
      </c>
      <c r="C89" s="617"/>
      <c r="D89" s="617"/>
      <c r="E89" s="639"/>
      <c r="F89" s="617"/>
      <c r="G89" s="617"/>
      <c r="H89" s="467"/>
      <c r="I89" s="477"/>
      <c r="J89" s="477"/>
      <c r="K89" s="1697">
        <f t="shared" si="12"/>
        <v>0</v>
      </c>
      <c r="L89" s="530">
        <v>0</v>
      </c>
    </row>
    <row r="90" spans="1:12" ht="12.75" customHeight="1" thickTop="1" thickBot="1" x14ac:dyDescent="0.25">
      <c r="A90" s="1535" t="s">
        <v>710</v>
      </c>
      <c r="B90" s="640">
        <v>4280</v>
      </c>
      <c r="C90" s="617"/>
      <c r="D90" s="617"/>
      <c r="E90" s="639"/>
      <c r="F90" s="617"/>
      <c r="G90" s="617"/>
      <c r="H90" s="467"/>
      <c r="I90" s="477"/>
      <c r="J90" s="477"/>
      <c r="K90" s="1697">
        <f t="shared" si="12"/>
        <v>0</v>
      </c>
      <c r="L90" s="530">
        <v>0</v>
      </c>
    </row>
    <row r="91" spans="1:12" ht="12.75" customHeight="1" thickTop="1" thickBot="1" x14ac:dyDescent="0.25">
      <c r="A91" s="1535" t="s">
        <v>711</v>
      </c>
      <c r="B91" s="640">
        <v>4290</v>
      </c>
      <c r="C91" s="617"/>
      <c r="D91" s="617"/>
      <c r="E91" s="639"/>
      <c r="F91" s="617"/>
      <c r="G91" s="617"/>
      <c r="H91" s="467"/>
      <c r="I91" s="477"/>
      <c r="J91" s="477"/>
      <c r="K91" s="1697">
        <f t="shared" si="12"/>
        <v>0</v>
      </c>
      <c r="L91" s="530">
        <v>0</v>
      </c>
    </row>
    <row r="92" spans="1:12" ht="14.25" thickTop="1" thickBot="1" x14ac:dyDescent="0.25">
      <c r="A92" s="1700" t="s">
        <v>1641</v>
      </c>
      <c r="B92" s="1698">
        <v>4200</v>
      </c>
      <c r="C92" s="617"/>
      <c r="D92" s="617"/>
      <c r="E92" s="639"/>
      <c r="F92" s="617"/>
      <c r="G92" s="617"/>
      <c r="H92" s="1690">
        <f>SUM(H85:H91)</f>
        <v>1170061</v>
      </c>
      <c r="I92" s="477"/>
      <c r="J92" s="477"/>
      <c r="K92" s="1697">
        <f t="shared" si="12"/>
        <v>1170061</v>
      </c>
      <c r="L92" s="1690">
        <f>SUM(L85:L91)</f>
        <v>1243095</v>
      </c>
    </row>
    <row r="93" spans="1:12" ht="14.25" thickTop="1" thickBot="1" x14ac:dyDescent="0.25">
      <c r="A93" s="1534" t="s">
        <v>712</v>
      </c>
      <c r="B93" s="641">
        <v>4310</v>
      </c>
      <c r="C93" s="617"/>
      <c r="D93" s="617"/>
      <c r="E93" s="639"/>
      <c r="F93" s="617"/>
      <c r="G93" s="617"/>
      <c r="H93" s="642"/>
      <c r="I93" s="477"/>
      <c r="J93" s="477"/>
      <c r="K93" s="1697">
        <f t="shared" si="12"/>
        <v>0</v>
      </c>
      <c r="L93" s="532">
        <v>0</v>
      </c>
    </row>
    <row r="94" spans="1:12" ht="12.75" customHeight="1" thickTop="1" thickBot="1" x14ac:dyDescent="0.25">
      <c r="A94" s="1535" t="s">
        <v>713</v>
      </c>
      <c r="B94" s="640">
        <v>4320</v>
      </c>
      <c r="C94" s="617"/>
      <c r="D94" s="617"/>
      <c r="E94" s="639"/>
      <c r="F94" s="617"/>
      <c r="G94" s="617"/>
      <c r="H94" s="467"/>
      <c r="I94" s="477"/>
      <c r="J94" s="477"/>
      <c r="K94" s="1697">
        <f t="shared" si="12"/>
        <v>0</v>
      </c>
      <c r="L94" s="530">
        <v>0</v>
      </c>
    </row>
    <row r="95" spans="1:12" ht="15" customHeight="1" thickTop="1" thickBot="1" x14ac:dyDescent="0.25">
      <c r="A95" s="1535" t="s">
        <v>1568</v>
      </c>
      <c r="B95" s="640">
        <v>4330</v>
      </c>
      <c r="C95" s="617"/>
      <c r="D95" s="617"/>
      <c r="E95" s="639"/>
      <c r="F95" s="617"/>
      <c r="G95" s="617"/>
      <c r="H95" s="467"/>
      <c r="I95" s="477"/>
      <c r="J95" s="477"/>
      <c r="K95" s="1697">
        <f t="shared" si="12"/>
        <v>0</v>
      </c>
      <c r="L95" s="530">
        <v>0</v>
      </c>
    </row>
    <row r="96" spans="1:12" ht="14.25" thickTop="1" thickBot="1" x14ac:dyDescent="0.25">
      <c r="A96" s="1535" t="s">
        <v>714</v>
      </c>
      <c r="B96" s="640">
        <v>4340</v>
      </c>
      <c r="C96" s="617"/>
      <c r="D96" s="617"/>
      <c r="E96" s="639"/>
      <c r="F96" s="617"/>
      <c r="G96" s="617"/>
      <c r="H96" s="467"/>
      <c r="I96" s="477"/>
      <c r="J96" s="477"/>
      <c r="K96" s="1697">
        <f t="shared" si="12"/>
        <v>0</v>
      </c>
      <c r="L96" s="530">
        <v>0</v>
      </c>
    </row>
    <row r="97" spans="1:14" ht="12.75" customHeight="1" thickTop="1" thickBot="1" x14ac:dyDescent="0.25">
      <c r="A97" s="1535" t="s">
        <v>787</v>
      </c>
      <c r="B97" s="640">
        <v>4370</v>
      </c>
      <c r="C97" s="617"/>
      <c r="D97" s="617"/>
      <c r="E97" s="639"/>
      <c r="F97" s="617"/>
      <c r="G97" s="617"/>
      <c r="H97" s="467"/>
      <c r="I97" s="477"/>
      <c r="J97" s="477"/>
      <c r="K97" s="1697">
        <f t="shared" si="12"/>
        <v>0</v>
      </c>
      <c r="L97" s="530">
        <v>0</v>
      </c>
    </row>
    <row r="98" spans="1:14" ht="14.25" thickTop="1" thickBot="1" x14ac:dyDescent="0.25">
      <c r="A98" s="1535" t="s">
        <v>788</v>
      </c>
      <c r="B98" s="640">
        <v>4380</v>
      </c>
      <c r="C98" s="617"/>
      <c r="D98" s="617"/>
      <c r="E98" s="643"/>
      <c r="F98" s="617"/>
      <c r="G98" s="617"/>
      <c r="H98" s="467"/>
      <c r="I98" s="477"/>
      <c r="J98" s="477"/>
      <c r="K98" s="1697">
        <f t="shared" si="12"/>
        <v>0</v>
      </c>
      <c r="L98" s="530">
        <v>0</v>
      </c>
    </row>
    <row r="99" spans="1:14" ht="14.25" thickTop="1" thickBot="1" x14ac:dyDescent="0.25">
      <c r="A99" s="1535" t="s">
        <v>385</v>
      </c>
      <c r="B99" s="640">
        <v>4390</v>
      </c>
      <c r="C99" s="617"/>
      <c r="D99" s="617"/>
      <c r="E99" s="532"/>
      <c r="F99" s="617"/>
      <c r="G99" s="617"/>
      <c r="H99" s="467"/>
      <c r="I99" s="477"/>
      <c r="J99" s="477"/>
      <c r="K99" s="1697">
        <f>SUM(E99,H99)</f>
        <v>0</v>
      </c>
      <c r="L99" s="530">
        <v>0</v>
      </c>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2" t="s">
        <v>1569</v>
      </c>
      <c r="B101" s="644" t="s">
        <v>988</v>
      </c>
      <c r="C101" s="617"/>
      <c r="D101" s="617"/>
      <c r="E101" s="531"/>
      <c r="F101" s="617"/>
      <c r="G101" s="617"/>
      <c r="H101" s="531"/>
      <c r="I101" s="477"/>
      <c r="J101" s="477"/>
      <c r="K101" s="1699">
        <f>SUM(C101:J101)</f>
        <v>0</v>
      </c>
      <c r="L101" s="530">
        <v>0</v>
      </c>
    </row>
    <row r="102" spans="1:14" ht="12.75" customHeight="1" thickTop="1" thickBot="1" x14ac:dyDescent="0.25">
      <c r="A102" s="1688" t="s">
        <v>1567</v>
      </c>
      <c r="B102" s="1698">
        <v>4000</v>
      </c>
      <c r="C102" s="617"/>
      <c r="D102" s="617"/>
      <c r="E102" s="1697">
        <f>SUM(E84,E92,E100,E101)</f>
        <v>191202</v>
      </c>
      <c r="F102" s="617"/>
      <c r="G102" s="617"/>
      <c r="H102" s="1697">
        <f>SUM(H84,H92,H100,H101)</f>
        <v>1170061</v>
      </c>
      <c r="I102" s="477"/>
      <c r="J102" s="477"/>
      <c r="K102" s="1697">
        <f>SUM(K84,K92,K100,K101)</f>
        <v>1361263</v>
      </c>
      <c r="L102" s="1697">
        <f>SUM(L84,L92,L100,L101)</f>
        <v>1444836</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1">
        <f>H105</f>
        <v>0</v>
      </c>
      <c r="L105" s="481">
        <v>0</v>
      </c>
      <c r="M105" s="210"/>
      <c r="N105" s="210"/>
    </row>
    <row r="106" spans="1:14" s="598" customFormat="1" x14ac:dyDescent="0.2">
      <c r="A106" s="1526" t="s">
        <v>90</v>
      </c>
      <c r="B106" s="615">
        <v>5120</v>
      </c>
      <c r="C106" s="617"/>
      <c r="D106" s="617"/>
      <c r="E106" s="617"/>
      <c r="F106" s="617"/>
      <c r="G106" s="617"/>
      <c r="H106" s="466"/>
      <c r="I106" s="468"/>
      <c r="J106" s="468"/>
      <c r="K106" s="1691">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1">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1">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1">
        <f>H109</f>
        <v>0</v>
      </c>
      <c r="L109" s="466">
        <v>0</v>
      </c>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3">
        <f>H111</f>
        <v>0</v>
      </c>
      <c r="L111" s="532">
        <v>0</v>
      </c>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8" t="s">
        <v>50</v>
      </c>
      <c r="B114" s="1702"/>
      <c r="C114" s="1690">
        <f>SUM(C33,C74,C75,C102,C112,C113)</f>
        <v>8905575</v>
      </c>
      <c r="D114" s="1690">
        <f t="shared" ref="D114:K114" si="13">SUM(D33,D74,D75,D102,D112,D113)</f>
        <v>1791824</v>
      </c>
      <c r="E114" s="1690">
        <f t="shared" si="13"/>
        <v>750392</v>
      </c>
      <c r="F114" s="1690">
        <f t="shared" si="13"/>
        <v>556293</v>
      </c>
      <c r="G114" s="1690">
        <f t="shared" si="13"/>
        <v>98769</v>
      </c>
      <c r="H114" s="1690">
        <f>SUM(H33,H74,H75,H102,H112,H113)</f>
        <v>1374351</v>
      </c>
      <c r="I114" s="1690">
        <f t="shared" si="13"/>
        <v>0</v>
      </c>
      <c r="J114" s="1690">
        <f t="shared" si="13"/>
        <v>0</v>
      </c>
      <c r="K114" s="1690">
        <f t="shared" si="13"/>
        <v>13477204</v>
      </c>
      <c r="L114" s="1690">
        <f>SUM(L33,L74,L75,L102,L112,L113)</f>
        <v>14020221</v>
      </c>
    </row>
    <row r="115" spans="1:14" ht="13.5" thickTop="1" x14ac:dyDescent="0.2">
      <c r="A115" s="2173" t="s">
        <v>1053</v>
      </c>
      <c r="B115" s="2174"/>
      <c r="C115" s="619"/>
      <c r="D115" s="619"/>
      <c r="E115" s="619"/>
      <c r="F115" s="619"/>
      <c r="G115" s="619"/>
      <c r="H115" s="619"/>
      <c r="I115" s="619"/>
      <c r="J115" s="619"/>
      <c r="K115" s="1704">
        <f>'Revenues 9-14'!C275-'Expenditures 15-22'!K114</f>
        <v>558966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1">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v>15450</v>
      </c>
      <c r="D122" s="466">
        <v>2789</v>
      </c>
      <c r="E122" s="466"/>
      <c r="F122" s="466"/>
      <c r="G122" s="466"/>
      <c r="H122" s="466"/>
      <c r="I122" s="467"/>
      <c r="J122" s="467"/>
      <c r="K122" s="1690">
        <f>SUM(C122:J122)</f>
        <v>18239</v>
      </c>
      <c r="L122" s="466">
        <v>18330</v>
      </c>
    </row>
    <row r="123" spans="1:14" ht="14.25" thickTop="1" thickBot="1" x14ac:dyDescent="0.25">
      <c r="A123" s="1526" t="s">
        <v>4</v>
      </c>
      <c r="B123" s="615">
        <v>2530</v>
      </c>
      <c r="C123" s="466"/>
      <c r="D123" s="466"/>
      <c r="E123" s="466"/>
      <c r="F123" s="466"/>
      <c r="G123" s="466"/>
      <c r="H123" s="466"/>
      <c r="I123" s="467"/>
      <c r="J123" s="467"/>
      <c r="K123" s="1690">
        <f>SUM(C123:J123)</f>
        <v>0</v>
      </c>
      <c r="L123" s="466">
        <v>0</v>
      </c>
    </row>
    <row r="124" spans="1:14" ht="14.25" thickTop="1" thickBot="1" x14ac:dyDescent="0.25">
      <c r="A124" s="1526" t="s">
        <v>206</v>
      </c>
      <c r="B124" s="615">
        <v>2540</v>
      </c>
      <c r="C124" s="466">
        <v>774654</v>
      </c>
      <c r="D124" s="466">
        <v>123236</v>
      </c>
      <c r="E124" s="466">
        <v>259897</v>
      </c>
      <c r="F124" s="466">
        <v>349067</v>
      </c>
      <c r="G124" s="466">
        <v>120260</v>
      </c>
      <c r="H124" s="466">
        <v>435</v>
      </c>
      <c r="I124" s="467"/>
      <c r="J124" s="467"/>
      <c r="K124" s="1690">
        <f>SUM(C124:J124)</f>
        <v>1627549</v>
      </c>
      <c r="L124" s="466">
        <v>1977513</v>
      </c>
    </row>
    <row r="125" spans="1:14" ht="14.25" thickTop="1" thickBot="1" x14ac:dyDescent="0.25">
      <c r="A125" s="1526" t="s">
        <v>1010</v>
      </c>
      <c r="B125" s="615">
        <v>2550</v>
      </c>
      <c r="C125" s="466"/>
      <c r="D125" s="466"/>
      <c r="E125" s="466"/>
      <c r="F125" s="466"/>
      <c r="G125" s="466"/>
      <c r="H125" s="466"/>
      <c r="I125" s="467"/>
      <c r="J125" s="467"/>
      <c r="K125" s="1690">
        <f>SUM(C125:J125)</f>
        <v>0</v>
      </c>
      <c r="L125" s="466">
        <v>0</v>
      </c>
    </row>
    <row r="126" spans="1:14" ht="14.25" thickTop="1" thickBot="1" x14ac:dyDescent="0.25">
      <c r="A126" s="1526" t="s">
        <v>102</v>
      </c>
      <c r="B126" s="615">
        <v>2560</v>
      </c>
      <c r="C126" s="655"/>
      <c r="D126" s="655"/>
      <c r="E126" s="655"/>
      <c r="F126" s="655"/>
      <c r="G126" s="466"/>
      <c r="H126" s="655"/>
      <c r="I126" s="474"/>
      <c r="J126" s="617"/>
      <c r="K126" s="1690">
        <f>SUM(C126:J126)</f>
        <v>0</v>
      </c>
      <c r="L126" s="466">
        <v>0</v>
      </c>
    </row>
    <row r="127" spans="1:14" ht="12.75" customHeight="1" thickTop="1" thickBot="1" x14ac:dyDescent="0.25">
      <c r="A127" s="1688" t="s">
        <v>743</v>
      </c>
      <c r="B127" s="1689" t="s">
        <v>35</v>
      </c>
      <c r="C127" s="1690">
        <f>SUM(C122:C126)</f>
        <v>790104</v>
      </c>
      <c r="D127" s="1690">
        <f t="shared" ref="D127:L127" si="14">SUM(D122:D126)</f>
        <v>126025</v>
      </c>
      <c r="E127" s="1690">
        <f t="shared" si="14"/>
        <v>259897</v>
      </c>
      <c r="F127" s="1690">
        <f t="shared" si="14"/>
        <v>349067</v>
      </c>
      <c r="G127" s="1690">
        <f t="shared" si="14"/>
        <v>120260</v>
      </c>
      <c r="H127" s="1690">
        <f t="shared" si="14"/>
        <v>435</v>
      </c>
      <c r="I127" s="1690">
        <f t="shared" si="14"/>
        <v>0</v>
      </c>
      <c r="J127" s="1690">
        <f t="shared" si="14"/>
        <v>0</v>
      </c>
      <c r="K127" s="1690">
        <f t="shared" si="14"/>
        <v>1645788</v>
      </c>
      <c r="L127" s="1690">
        <f t="shared" si="14"/>
        <v>1995843</v>
      </c>
    </row>
    <row r="128" spans="1:14" ht="12.75" customHeight="1" thickTop="1" x14ac:dyDescent="0.2">
      <c r="A128" s="1533" t="s">
        <v>1037</v>
      </c>
      <c r="B128" s="656" t="s">
        <v>595</v>
      </c>
      <c r="C128" s="657"/>
      <c r="D128" s="657"/>
      <c r="E128" s="657"/>
      <c r="F128" s="657"/>
      <c r="G128" s="657"/>
      <c r="H128" s="657"/>
      <c r="I128" s="535"/>
      <c r="J128" s="535"/>
      <c r="K128" s="1705">
        <f>SUM(C128:J128)</f>
        <v>0</v>
      </c>
      <c r="L128" s="657">
        <v>0</v>
      </c>
    </row>
    <row r="129" spans="1:14" ht="12.75" customHeight="1" thickBot="1" x14ac:dyDescent="0.25">
      <c r="A129" s="1706" t="s">
        <v>865</v>
      </c>
      <c r="B129" s="1707" t="s">
        <v>590</v>
      </c>
      <c r="C129" s="1697">
        <f>SUM(C120,C127,C128)</f>
        <v>790104</v>
      </c>
      <c r="D129" s="1697">
        <f t="shared" ref="D129:L129" si="15">SUM(D120,D127,D128)</f>
        <v>126025</v>
      </c>
      <c r="E129" s="1697">
        <f t="shared" si="15"/>
        <v>259897</v>
      </c>
      <c r="F129" s="1697">
        <f t="shared" si="15"/>
        <v>349067</v>
      </c>
      <c r="G129" s="1697">
        <f t="shared" si="15"/>
        <v>120260</v>
      </c>
      <c r="H129" s="1697">
        <f t="shared" si="15"/>
        <v>435</v>
      </c>
      <c r="I129" s="1697">
        <f t="shared" si="15"/>
        <v>0</v>
      </c>
      <c r="J129" s="1697">
        <f t="shared" si="15"/>
        <v>0</v>
      </c>
      <c r="K129" s="1697">
        <f t="shared" si="15"/>
        <v>1645788</v>
      </c>
      <c r="L129" s="1697">
        <f t="shared" si="15"/>
        <v>1995843</v>
      </c>
    </row>
    <row r="130" spans="1:14" ht="15.75" customHeight="1" thickTop="1" thickBot="1" x14ac:dyDescent="0.25">
      <c r="A130" s="1632" t="s">
        <v>1096</v>
      </c>
      <c r="B130" s="1633" t="s">
        <v>596</v>
      </c>
      <c r="C130" s="576"/>
      <c r="D130" s="576"/>
      <c r="E130" s="576"/>
      <c r="F130" s="576"/>
      <c r="G130" s="576"/>
      <c r="H130" s="576"/>
      <c r="I130" s="531"/>
      <c r="J130" s="531"/>
      <c r="K130" s="1690">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1954</v>
      </c>
      <c r="C133" s="468"/>
      <c r="D133" s="468"/>
      <c r="E133" s="642"/>
      <c r="F133" s="468"/>
      <c r="G133" s="468"/>
      <c r="H133" s="642"/>
      <c r="I133" s="468"/>
      <c r="J133" s="468"/>
      <c r="K133" s="1842">
        <f>SUM(E133,H133)</f>
        <v>0</v>
      </c>
      <c r="L133" s="642">
        <v>0</v>
      </c>
      <c r="M133" s="206"/>
      <c r="N133" s="206"/>
    </row>
    <row r="134" spans="1:14" x14ac:dyDescent="0.2">
      <c r="A134" s="1526" t="s">
        <v>322</v>
      </c>
      <c r="B134" s="615">
        <v>4120</v>
      </c>
      <c r="C134" s="617"/>
      <c r="D134" s="617"/>
      <c r="E134" s="478"/>
      <c r="F134" s="617"/>
      <c r="G134" s="617"/>
      <c r="H134" s="481"/>
      <c r="I134" s="477"/>
      <c r="J134" s="617"/>
      <c r="K134" s="1692">
        <f>SUM(E134,H134)</f>
        <v>0</v>
      </c>
      <c r="L134" s="481">
        <v>0</v>
      </c>
    </row>
    <row r="135" spans="1:14" x14ac:dyDescent="0.2">
      <c r="A135" s="1526" t="s">
        <v>721</v>
      </c>
      <c r="B135" s="615">
        <v>4140</v>
      </c>
      <c r="C135" s="617"/>
      <c r="D135" s="617"/>
      <c r="E135" s="467"/>
      <c r="F135" s="617"/>
      <c r="G135" s="617"/>
      <c r="H135" s="466"/>
      <c r="I135" s="477"/>
      <c r="J135" s="617"/>
      <c r="K135" s="1692">
        <f>SUM(E135,H135)</f>
        <v>0</v>
      </c>
      <c r="L135" s="466">
        <v>0</v>
      </c>
    </row>
    <row r="136" spans="1:14" x14ac:dyDescent="0.2">
      <c r="A136" s="1530" t="s">
        <v>722</v>
      </c>
      <c r="B136" s="629">
        <v>4190</v>
      </c>
      <c r="C136" s="617"/>
      <c r="D136" s="617"/>
      <c r="E136" s="467"/>
      <c r="F136" s="617"/>
      <c r="G136" s="617"/>
      <c r="H136" s="466"/>
      <c r="I136" s="477"/>
      <c r="J136" s="617"/>
      <c r="K136" s="1692">
        <f>SUM(E136,H136)</f>
        <v>0</v>
      </c>
      <c r="L136" s="466">
        <v>0</v>
      </c>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2" t="s">
        <v>98</v>
      </c>
      <c r="B138" s="644" t="s">
        <v>988</v>
      </c>
      <c r="C138" s="617"/>
      <c r="D138" s="617"/>
      <c r="E138" s="479"/>
      <c r="F138" s="617"/>
      <c r="G138" s="617"/>
      <c r="H138" s="576"/>
      <c r="I138" s="477"/>
      <c r="J138" s="617"/>
      <c r="K138" s="1692">
        <f>SUM(E138,H138)</f>
        <v>0</v>
      </c>
      <c r="L138" s="576">
        <v>0</v>
      </c>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2">
        <f>SUM(H142)</f>
        <v>0</v>
      </c>
      <c r="L142" s="481">
        <v>0</v>
      </c>
    </row>
    <row r="143" spans="1:14" x14ac:dyDescent="0.2">
      <c r="A143" s="1526" t="s">
        <v>90</v>
      </c>
      <c r="B143" s="615">
        <v>5120</v>
      </c>
      <c r="C143" s="617"/>
      <c r="D143" s="617"/>
      <c r="E143" s="617"/>
      <c r="F143" s="617"/>
      <c r="G143" s="617"/>
      <c r="H143" s="466"/>
      <c r="I143" s="468"/>
      <c r="J143" s="617"/>
      <c r="K143" s="1692">
        <f>SUM(H143)</f>
        <v>0</v>
      </c>
      <c r="L143" s="466">
        <v>0</v>
      </c>
    </row>
    <row r="144" spans="1:14" ht="12.75" customHeight="1" x14ac:dyDescent="0.2">
      <c r="A144" s="1526" t="s">
        <v>1232</v>
      </c>
      <c r="B144" s="629" t="s">
        <v>638</v>
      </c>
      <c r="C144" s="617"/>
      <c r="D144" s="617"/>
      <c r="E144" s="617"/>
      <c r="F144" s="617"/>
      <c r="G144" s="617"/>
      <c r="H144" s="466"/>
      <c r="I144" s="468"/>
      <c r="J144" s="617"/>
      <c r="K144" s="1692">
        <f>SUM(H144)</f>
        <v>0</v>
      </c>
      <c r="L144" s="466">
        <v>0</v>
      </c>
    </row>
    <row r="145" spans="1:14" x14ac:dyDescent="0.2">
      <c r="A145" s="1526" t="s">
        <v>91</v>
      </c>
      <c r="B145" s="615" t="s">
        <v>610</v>
      </c>
      <c r="C145" s="617"/>
      <c r="D145" s="617"/>
      <c r="E145" s="617"/>
      <c r="F145" s="617"/>
      <c r="G145" s="617"/>
      <c r="H145" s="466"/>
      <c r="I145" s="468"/>
      <c r="J145" s="617"/>
      <c r="K145" s="1692">
        <f>SUM(H145)</f>
        <v>0</v>
      </c>
      <c r="L145" s="466">
        <v>0</v>
      </c>
    </row>
    <row r="146" spans="1:14" ht="12.75" customHeight="1" x14ac:dyDescent="0.2">
      <c r="A146" s="1526" t="s">
        <v>640</v>
      </c>
      <c r="B146" s="615" t="s">
        <v>639</v>
      </c>
      <c r="C146" s="617"/>
      <c r="D146" s="617"/>
      <c r="E146" s="617"/>
      <c r="F146" s="617"/>
      <c r="G146" s="617"/>
      <c r="H146" s="466"/>
      <c r="I146" s="468"/>
      <c r="J146" s="617"/>
      <c r="K146" s="1692">
        <f>SUM(H146)</f>
        <v>0</v>
      </c>
      <c r="L146" s="466">
        <v>0</v>
      </c>
    </row>
    <row r="147" spans="1:14" ht="12.75" customHeight="1" thickBot="1" x14ac:dyDescent="0.25">
      <c r="A147" s="1537"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v>0</v>
      </c>
    </row>
    <row r="149" spans="1:14" ht="12.75" customHeight="1" thickBot="1" x14ac:dyDescent="0.25">
      <c r="A149" s="1529"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0" t="s">
        <v>641</v>
      </c>
      <c r="B151" s="2170"/>
      <c r="C151" s="1690">
        <f>SUM(C129,C130,C139,C149,C150)</f>
        <v>790104</v>
      </c>
      <c r="D151" s="1690">
        <f t="shared" ref="D151:K151" si="16">SUM(D129,D130,D139,D149,D150)</f>
        <v>126025</v>
      </c>
      <c r="E151" s="1690">
        <f t="shared" si="16"/>
        <v>259897</v>
      </c>
      <c r="F151" s="1690">
        <f t="shared" si="16"/>
        <v>349067</v>
      </c>
      <c r="G151" s="1690">
        <f t="shared" si="16"/>
        <v>120260</v>
      </c>
      <c r="H151" s="1690">
        <f t="shared" si="16"/>
        <v>435</v>
      </c>
      <c r="I151" s="1690">
        <f t="shared" si="16"/>
        <v>0</v>
      </c>
      <c r="J151" s="1690">
        <f t="shared" si="16"/>
        <v>0</v>
      </c>
      <c r="K151" s="1690">
        <f t="shared" si="16"/>
        <v>1645788</v>
      </c>
      <c r="L151" s="1690">
        <f>SUM(L129,L130,L139,L149,L150)</f>
        <v>1995843</v>
      </c>
    </row>
    <row r="152" spans="1:14" ht="12.75" customHeight="1" thickTop="1" x14ac:dyDescent="0.2">
      <c r="A152" s="2193" t="s">
        <v>1240</v>
      </c>
      <c r="B152" s="2194"/>
      <c r="C152" s="619"/>
      <c r="D152" s="619"/>
      <c r="E152" s="619"/>
      <c r="F152" s="619"/>
      <c r="G152" s="619"/>
      <c r="H152" s="619"/>
      <c r="I152" s="619"/>
      <c r="J152" s="617"/>
      <c r="K152" s="1704">
        <f>'Revenues 9-14'!D275-'Expenditures 15-22'!K151</f>
        <v>337764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6"/>
      <c r="L155" s="1863"/>
      <c r="M155" s="620"/>
      <c r="N155" s="620"/>
    </row>
    <row r="156" spans="1:14" s="621" customFormat="1" ht="15.75" customHeight="1" thickTop="1" x14ac:dyDescent="0.2">
      <c r="A156" s="1843" t="s">
        <v>1955</v>
      </c>
      <c r="B156" s="1844"/>
      <c r="C156" s="617"/>
      <c r="D156" s="617"/>
      <c r="E156" s="617"/>
      <c r="F156" s="617"/>
      <c r="G156" s="617"/>
      <c r="H156" s="1864"/>
      <c r="I156" s="617"/>
      <c r="J156" s="617"/>
      <c r="K156" s="1845"/>
      <c r="L156" s="1864"/>
      <c r="M156" s="620"/>
      <c r="N156" s="620"/>
    </row>
    <row r="157" spans="1:14" s="621" customFormat="1" ht="12" x14ac:dyDescent="0.2">
      <c r="A157" s="1847" t="s">
        <v>517</v>
      </c>
      <c r="B157" s="1848" t="s">
        <v>1954</v>
      </c>
      <c r="C157" s="617"/>
      <c r="D157" s="617"/>
      <c r="E157" s="617"/>
      <c r="F157" s="617"/>
      <c r="G157" s="617"/>
      <c r="H157" s="642"/>
      <c r="I157" s="617"/>
      <c r="J157" s="617"/>
      <c r="K157" s="1691">
        <f>H157</f>
        <v>0</v>
      </c>
      <c r="L157" s="467">
        <v>0</v>
      </c>
      <c r="M157" s="620"/>
      <c r="N157" s="620"/>
    </row>
    <row r="158" spans="1:14" s="621" customFormat="1" ht="12" x14ac:dyDescent="0.2">
      <c r="A158" s="1847" t="s">
        <v>322</v>
      </c>
      <c r="B158" s="1848" t="s">
        <v>1956</v>
      </c>
      <c r="C158" s="617"/>
      <c r="D158" s="617"/>
      <c r="E158" s="617"/>
      <c r="F158" s="617"/>
      <c r="G158" s="617"/>
      <c r="H158" s="467"/>
      <c r="I158" s="617"/>
      <c r="J158" s="617"/>
      <c r="K158" s="1691">
        <f>H158</f>
        <v>0</v>
      </c>
      <c r="L158" s="467">
        <v>0</v>
      </c>
      <c r="M158" s="620"/>
      <c r="N158" s="620"/>
    </row>
    <row r="159" spans="1:14" s="621" customFormat="1" ht="12" x14ac:dyDescent="0.2">
      <c r="A159" s="1847" t="s">
        <v>1957</v>
      </c>
      <c r="B159" s="1848" t="s">
        <v>579</v>
      </c>
      <c r="C159" s="617"/>
      <c r="D159" s="617"/>
      <c r="E159" s="617"/>
      <c r="F159" s="617"/>
      <c r="G159" s="617"/>
      <c r="H159" s="467"/>
      <c r="I159" s="617"/>
      <c r="J159" s="617"/>
      <c r="K159" s="1691">
        <f>H159</f>
        <v>0</v>
      </c>
      <c r="L159" s="467">
        <v>0</v>
      </c>
      <c r="M159" s="620"/>
      <c r="N159" s="620"/>
    </row>
    <row r="160" spans="1:14" s="621" customFormat="1" ht="15.75" customHeight="1" thickBot="1" x14ac:dyDescent="0.25">
      <c r="A160" s="1849" t="s">
        <v>1958</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1">
        <f>SUM(C163:J163)</f>
        <v>0</v>
      </c>
      <c r="L163" s="466">
        <v>0</v>
      </c>
    </row>
    <row r="164" spans="1:14" x14ac:dyDescent="0.2">
      <c r="A164" s="1526" t="s">
        <v>90</v>
      </c>
      <c r="B164" s="615">
        <v>5120</v>
      </c>
      <c r="C164" s="617"/>
      <c r="D164" s="617"/>
      <c r="E164" s="617"/>
      <c r="F164" s="617"/>
      <c r="G164" s="617"/>
      <c r="H164" s="466"/>
      <c r="I164" s="617"/>
      <c r="J164" s="617"/>
      <c r="K164" s="1691">
        <f>SUM(C164:J164)</f>
        <v>0</v>
      </c>
      <c r="L164" s="466">
        <v>0</v>
      </c>
    </row>
    <row r="165" spans="1:14" ht="12.75" customHeight="1" x14ac:dyDescent="0.2">
      <c r="A165" s="1526" t="s">
        <v>1232</v>
      </c>
      <c r="B165" s="615" t="s">
        <v>638</v>
      </c>
      <c r="C165" s="617"/>
      <c r="D165" s="617"/>
      <c r="E165" s="617"/>
      <c r="F165" s="617"/>
      <c r="G165" s="617"/>
      <c r="H165" s="466"/>
      <c r="I165" s="617"/>
      <c r="J165" s="617"/>
      <c r="K165" s="1691">
        <f>SUM(C165:J165)</f>
        <v>0</v>
      </c>
      <c r="L165" s="466">
        <v>0</v>
      </c>
    </row>
    <row r="166" spans="1:14" x14ac:dyDescent="0.2">
      <c r="A166" s="1526" t="s">
        <v>91</v>
      </c>
      <c r="B166" s="629" t="s">
        <v>610</v>
      </c>
      <c r="C166" s="617"/>
      <c r="D166" s="617"/>
      <c r="E166" s="617"/>
      <c r="F166" s="617"/>
      <c r="G166" s="617"/>
      <c r="H166" s="466"/>
      <c r="I166" s="617"/>
      <c r="J166" s="617"/>
      <c r="K166" s="1691">
        <f>SUM(C166:J166)</f>
        <v>0</v>
      </c>
      <c r="L166" s="466">
        <v>0</v>
      </c>
    </row>
    <row r="167" spans="1:14" ht="12.75" customHeight="1" x14ac:dyDescent="0.2">
      <c r="A167" s="1526" t="s">
        <v>640</v>
      </c>
      <c r="B167" s="615" t="s">
        <v>639</v>
      </c>
      <c r="C167" s="617"/>
      <c r="D167" s="617"/>
      <c r="E167" s="617"/>
      <c r="F167" s="617"/>
      <c r="G167" s="617"/>
      <c r="H167" s="466"/>
      <c r="I167" s="617"/>
      <c r="J167" s="617"/>
      <c r="K167" s="1691">
        <f>SUM(C167:J167)</f>
        <v>0</v>
      </c>
      <c r="L167" s="466">
        <v>0</v>
      </c>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v>21313</v>
      </c>
      <c r="I169" s="617"/>
      <c r="J169" s="617"/>
      <c r="K169" s="1691">
        <f>SUM(C169:H169)</f>
        <v>21313</v>
      </c>
      <c r="L169" s="657">
        <v>21313</v>
      </c>
    </row>
    <row r="170" spans="1:14" ht="33.75" customHeight="1" x14ac:dyDescent="0.2">
      <c r="A170" s="670" t="s">
        <v>1769</v>
      </c>
      <c r="B170" s="672" t="s">
        <v>31</v>
      </c>
      <c r="C170" s="617"/>
      <c r="D170" s="617"/>
      <c r="E170" s="617"/>
      <c r="F170" s="617"/>
      <c r="G170" s="617"/>
      <c r="H170" s="569">
        <v>1010000</v>
      </c>
      <c r="I170" s="617"/>
      <c r="J170" s="617"/>
      <c r="K170" s="1691">
        <f>SUM(C170:J170)</f>
        <v>1010000</v>
      </c>
      <c r="L170" s="569">
        <v>1010000</v>
      </c>
    </row>
    <row r="171" spans="1:14" ht="15.75" customHeight="1" x14ac:dyDescent="0.2">
      <c r="A171" s="622" t="s">
        <v>790</v>
      </c>
      <c r="B171" s="673" t="s">
        <v>86</v>
      </c>
      <c r="C171" s="617"/>
      <c r="D171" s="617"/>
      <c r="E171" s="466"/>
      <c r="F171" s="617"/>
      <c r="G171" s="617"/>
      <c r="H171" s="569"/>
      <c r="I171" s="477"/>
      <c r="J171" s="617"/>
      <c r="K171" s="1691">
        <f>SUM(C171:J171)</f>
        <v>0</v>
      </c>
      <c r="L171" s="569">
        <v>0</v>
      </c>
    </row>
    <row r="172" spans="1:14" ht="12.75" customHeight="1" thickBot="1" x14ac:dyDescent="0.25">
      <c r="A172" s="1688" t="s">
        <v>659</v>
      </c>
      <c r="B172" s="1689" t="s">
        <v>513</v>
      </c>
      <c r="C172" s="617"/>
      <c r="D172" s="617"/>
      <c r="E172" s="1697">
        <f>SUM(E168,E169,E170,E171)</f>
        <v>0</v>
      </c>
      <c r="F172" s="617"/>
      <c r="G172" s="617"/>
      <c r="H172" s="1697">
        <f>SUM(H168,H169,H170,H171)</f>
        <v>1031313</v>
      </c>
      <c r="I172" s="639"/>
      <c r="J172" s="617"/>
      <c r="K172" s="1697">
        <f>SUM(K168,K169,K170,K171)</f>
        <v>1031313</v>
      </c>
      <c r="L172" s="1697">
        <f>SUM(L168,L169,L170,L171)</f>
        <v>1031313</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09" t="s">
        <v>92</v>
      </c>
      <c r="B174" s="1710"/>
      <c r="C174" s="617"/>
      <c r="D174" s="617"/>
      <c r="E174" s="1697">
        <f>SUM(E155,E172,E173)</f>
        <v>0</v>
      </c>
      <c r="F174" s="617"/>
      <c r="G174" s="617"/>
      <c r="H174" s="1697">
        <f>SUM(H160,H172,H173)</f>
        <v>1031313</v>
      </c>
      <c r="I174" s="639"/>
      <c r="J174" s="617"/>
      <c r="K174" s="1697">
        <f>SUM(K160,K172,K173)</f>
        <v>1031313</v>
      </c>
      <c r="L174" s="1697">
        <f>SUM(L160,L172,L173)</f>
        <v>1031313</v>
      </c>
    </row>
    <row r="175" spans="1:14" ht="13.5" thickTop="1" x14ac:dyDescent="0.2">
      <c r="A175" s="2173" t="s">
        <v>1053</v>
      </c>
      <c r="B175" s="2174"/>
      <c r="C175" s="617"/>
      <c r="D175" s="617"/>
      <c r="E175" s="617"/>
      <c r="F175" s="617"/>
      <c r="G175" s="617"/>
      <c r="H175" s="619"/>
      <c r="I175" s="617"/>
      <c r="J175" s="617"/>
      <c r="K175" s="1704">
        <f>'Revenues 9-14'!E275-'Expenditures 15-22'!K174</f>
        <v>7832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1">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498271</v>
      </c>
      <c r="D182" s="466">
        <v>40049</v>
      </c>
      <c r="E182" s="466">
        <v>86455</v>
      </c>
      <c r="F182" s="466">
        <v>127551</v>
      </c>
      <c r="G182" s="466">
        <v>234361</v>
      </c>
      <c r="H182" s="466">
        <v>65</v>
      </c>
      <c r="I182" s="467"/>
      <c r="J182" s="467"/>
      <c r="K182" s="1691">
        <f>SUM(C182:J182)</f>
        <v>986752</v>
      </c>
      <c r="L182" s="466">
        <v>1063449</v>
      </c>
    </row>
    <row r="183" spans="1:14" ht="12.75" customHeight="1" thickBot="1" x14ac:dyDescent="0.25">
      <c r="A183" s="1531" t="s">
        <v>1037</v>
      </c>
      <c r="B183" s="678">
        <v>2900</v>
      </c>
      <c r="C183" s="573"/>
      <c r="D183" s="573"/>
      <c r="E183" s="573"/>
      <c r="F183" s="573"/>
      <c r="G183" s="573"/>
      <c r="H183" s="573"/>
      <c r="I183" s="532"/>
      <c r="J183" s="532"/>
      <c r="K183" s="1697">
        <f>SUM(C183:J183)</f>
        <v>0</v>
      </c>
      <c r="L183" s="573">
        <v>0</v>
      </c>
    </row>
    <row r="184" spans="1:14" ht="12.75" customHeight="1" thickTop="1" thickBot="1" x14ac:dyDescent="0.25">
      <c r="A184" s="1711" t="s">
        <v>865</v>
      </c>
      <c r="B184" s="1689" t="s">
        <v>590</v>
      </c>
      <c r="C184" s="1697">
        <f>SUM(C180,C182,C183)</f>
        <v>498271</v>
      </c>
      <c r="D184" s="1697">
        <f t="shared" ref="D184:J184" si="17">SUM(D180,D182,D183)</f>
        <v>40049</v>
      </c>
      <c r="E184" s="1697">
        <f t="shared" si="17"/>
        <v>86455</v>
      </c>
      <c r="F184" s="1697">
        <f t="shared" si="17"/>
        <v>127551</v>
      </c>
      <c r="G184" s="1697">
        <f t="shared" si="17"/>
        <v>234361</v>
      </c>
      <c r="H184" s="1697">
        <f t="shared" si="17"/>
        <v>65</v>
      </c>
      <c r="I184" s="1697">
        <f t="shared" si="17"/>
        <v>0</v>
      </c>
      <c r="J184" s="1697">
        <f t="shared" si="17"/>
        <v>0</v>
      </c>
      <c r="K184" s="1697">
        <f>SUM(K180,K182,K183)</f>
        <v>986752</v>
      </c>
      <c r="L184" s="1697">
        <f>SUM(L180, L182:L183)</f>
        <v>1063449</v>
      </c>
    </row>
    <row r="185" spans="1:14" ht="15.75" customHeight="1" thickTop="1" thickBot="1" x14ac:dyDescent="0.25">
      <c r="A185" s="1644" t="s">
        <v>996</v>
      </c>
      <c r="B185" s="1633">
        <v>3000</v>
      </c>
      <c r="C185" s="576"/>
      <c r="D185" s="576"/>
      <c r="E185" s="576"/>
      <c r="F185" s="576"/>
      <c r="G185" s="576"/>
      <c r="H185" s="576"/>
      <c r="I185" s="531"/>
      <c r="J185" s="531"/>
      <c r="K185" s="1690">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1">
        <f t="shared" ref="K188:K193" si="18">SUM(E188,H188)</f>
        <v>0</v>
      </c>
      <c r="L188" s="466">
        <v>0</v>
      </c>
    </row>
    <row r="189" spans="1:14" x14ac:dyDescent="0.2">
      <c r="A189" s="1526" t="s">
        <v>322</v>
      </c>
      <c r="B189" s="615">
        <v>4120</v>
      </c>
      <c r="C189" s="617"/>
      <c r="D189" s="617"/>
      <c r="E189" s="466"/>
      <c r="F189" s="617"/>
      <c r="G189" s="617"/>
      <c r="H189" s="466"/>
      <c r="I189" s="477"/>
      <c r="J189" s="617"/>
      <c r="K189" s="1691">
        <f t="shared" si="18"/>
        <v>0</v>
      </c>
      <c r="L189" s="466">
        <v>0</v>
      </c>
    </row>
    <row r="190" spans="1:14" x14ac:dyDescent="0.2">
      <c r="A190" s="1526" t="s">
        <v>323</v>
      </c>
      <c r="B190" s="629">
        <v>4130</v>
      </c>
      <c r="C190" s="617"/>
      <c r="D190" s="617"/>
      <c r="E190" s="466"/>
      <c r="F190" s="617"/>
      <c r="G190" s="617"/>
      <c r="H190" s="466"/>
      <c r="I190" s="477"/>
      <c r="J190" s="617"/>
      <c r="K190" s="1691">
        <f t="shared" si="18"/>
        <v>0</v>
      </c>
      <c r="L190" s="466">
        <v>0</v>
      </c>
    </row>
    <row r="191" spans="1:14" x14ac:dyDescent="0.2">
      <c r="A191" s="1526" t="s">
        <v>721</v>
      </c>
      <c r="B191" s="615">
        <v>4140</v>
      </c>
      <c r="C191" s="617"/>
      <c r="D191" s="617"/>
      <c r="E191" s="466"/>
      <c r="F191" s="617"/>
      <c r="G191" s="617"/>
      <c r="H191" s="466"/>
      <c r="I191" s="477"/>
      <c r="J191" s="617"/>
      <c r="K191" s="1691">
        <f t="shared" si="18"/>
        <v>0</v>
      </c>
      <c r="L191" s="466">
        <v>0</v>
      </c>
    </row>
    <row r="192" spans="1:14" x14ac:dyDescent="0.2">
      <c r="A192" s="1526" t="s">
        <v>88</v>
      </c>
      <c r="B192" s="615">
        <v>4170</v>
      </c>
      <c r="C192" s="617"/>
      <c r="D192" s="617"/>
      <c r="E192" s="466"/>
      <c r="F192" s="617"/>
      <c r="G192" s="617"/>
      <c r="H192" s="466"/>
      <c r="I192" s="477"/>
      <c r="J192" s="617"/>
      <c r="K192" s="1691">
        <f t="shared" si="18"/>
        <v>0</v>
      </c>
      <c r="L192" s="466">
        <v>0</v>
      </c>
    </row>
    <row r="193" spans="1:14" x14ac:dyDescent="0.2">
      <c r="A193" s="1530" t="s">
        <v>722</v>
      </c>
      <c r="B193" s="629">
        <v>4190</v>
      </c>
      <c r="C193" s="617"/>
      <c r="D193" s="617"/>
      <c r="E193" s="466"/>
      <c r="F193" s="617"/>
      <c r="G193" s="617"/>
      <c r="H193" s="466"/>
      <c r="I193" s="477"/>
      <c r="J193" s="617"/>
      <c r="K193" s="1691">
        <f t="shared" si="18"/>
        <v>0</v>
      </c>
      <c r="L193" s="466">
        <v>0</v>
      </c>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v>0</v>
      </c>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1">
        <f>SUM(H199)</f>
        <v>0</v>
      </c>
      <c r="L199" s="466">
        <v>0</v>
      </c>
    </row>
    <row r="200" spans="1:14" x14ac:dyDescent="0.2">
      <c r="A200" s="1526" t="s">
        <v>90</v>
      </c>
      <c r="B200" s="615">
        <v>5120</v>
      </c>
      <c r="C200" s="617"/>
      <c r="D200" s="617"/>
      <c r="E200" s="617"/>
      <c r="F200" s="617"/>
      <c r="G200" s="617"/>
      <c r="H200" s="466"/>
      <c r="I200" s="617"/>
      <c r="J200" s="617"/>
      <c r="K200" s="1691">
        <f>SUM(H200)</f>
        <v>0</v>
      </c>
      <c r="L200" s="466">
        <v>0</v>
      </c>
    </row>
    <row r="201" spans="1:14" ht="12.75" customHeight="1" x14ac:dyDescent="0.2">
      <c r="A201" s="1526" t="s">
        <v>1232</v>
      </c>
      <c r="B201" s="629" t="s">
        <v>638</v>
      </c>
      <c r="C201" s="617"/>
      <c r="D201" s="617"/>
      <c r="E201" s="617"/>
      <c r="F201" s="617"/>
      <c r="G201" s="617"/>
      <c r="H201" s="466"/>
      <c r="I201" s="617"/>
      <c r="J201" s="617"/>
      <c r="K201" s="1691">
        <f>SUM(H201)</f>
        <v>0</v>
      </c>
      <c r="L201" s="466">
        <v>0</v>
      </c>
    </row>
    <row r="202" spans="1:14" x14ac:dyDescent="0.2">
      <c r="A202" s="1526" t="s">
        <v>91</v>
      </c>
      <c r="B202" s="615" t="s">
        <v>610</v>
      </c>
      <c r="C202" s="617"/>
      <c r="D202" s="617"/>
      <c r="E202" s="617"/>
      <c r="F202" s="617"/>
      <c r="G202" s="617"/>
      <c r="H202" s="466"/>
      <c r="I202" s="617"/>
      <c r="J202" s="617"/>
      <c r="K202" s="1691">
        <f>SUM(H202)</f>
        <v>0</v>
      </c>
      <c r="L202" s="466">
        <v>0</v>
      </c>
    </row>
    <row r="203" spans="1:14" x14ac:dyDescent="0.2">
      <c r="A203" s="1538" t="s">
        <v>640</v>
      </c>
      <c r="B203" s="615" t="s">
        <v>639</v>
      </c>
      <c r="C203" s="617"/>
      <c r="D203" s="617"/>
      <c r="E203" s="617"/>
      <c r="F203" s="617"/>
      <c r="G203" s="617"/>
      <c r="H203" s="471"/>
      <c r="I203" s="617"/>
      <c r="J203" s="617"/>
      <c r="K203" s="1691">
        <f>SUM(H203)</f>
        <v>0</v>
      </c>
      <c r="L203" s="471">
        <v>0</v>
      </c>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v>0</v>
      </c>
    </row>
    <row r="206" spans="1:14" ht="30" customHeight="1" x14ac:dyDescent="0.2">
      <c r="A206" s="682" t="s">
        <v>1770</v>
      </c>
      <c r="B206" s="673" t="s">
        <v>31</v>
      </c>
      <c r="C206" s="617"/>
      <c r="D206" s="617"/>
      <c r="E206" s="617"/>
      <c r="F206" s="617"/>
      <c r="G206" s="617"/>
      <c r="H206" s="466"/>
      <c r="I206" s="617"/>
      <c r="J206" s="617"/>
      <c r="K206" s="1691">
        <f>SUM(H206)</f>
        <v>0</v>
      </c>
      <c r="L206" s="466">
        <v>0</v>
      </c>
    </row>
    <row r="207" spans="1:14" ht="15.75" customHeight="1" x14ac:dyDescent="0.2">
      <c r="A207" s="622" t="s">
        <v>790</v>
      </c>
      <c r="B207" s="673" t="s">
        <v>86</v>
      </c>
      <c r="C207" s="617"/>
      <c r="D207" s="617"/>
      <c r="E207" s="617"/>
      <c r="F207" s="617"/>
      <c r="G207" s="617"/>
      <c r="H207" s="467"/>
      <c r="I207" s="617"/>
      <c r="J207" s="617"/>
      <c r="K207" s="1691">
        <f>H207</f>
        <v>0</v>
      </c>
      <c r="L207" s="466">
        <v>0</v>
      </c>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2" t="s">
        <v>295</v>
      </c>
      <c r="B210" s="1713"/>
      <c r="C210" s="1690">
        <f>SUM(C184,C185)</f>
        <v>498271</v>
      </c>
      <c r="D210" s="1690">
        <f>SUM(D184,D185)</f>
        <v>40049</v>
      </c>
      <c r="E210" s="1690">
        <f>SUM(E184,E185,E196)</f>
        <v>86455</v>
      </c>
      <c r="F210" s="1690">
        <f>SUM(F184,F185)</f>
        <v>127551</v>
      </c>
      <c r="G210" s="1690">
        <f>SUM(G184,G185)</f>
        <v>234361</v>
      </c>
      <c r="H210" s="1690">
        <f>SUM(H184,H185,H196,H208,H209)</f>
        <v>65</v>
      </c>
      <c r="I210" s="1690">
        <f>SUM(I184,I185)</f>
        <v>0</v>
      </c>
      <c r="J210" s="1690">
        <f>SUM(J184,J185)</f>
        <v>0</v>
      </c>
      <c r="K210" s="1691">
        <f>SUM(K184,K185,K196,K208,K209)</f>
        <v>986752</v>
      </c>
      <c r="L210" s="1690">
        <f>SUM(L184,L185,L196,L208,L209)</f>
        <v>1063449</v>
      </c>
    </row>
    <row r="211" spans="1:14" ht="13.5" thickTop="1" x14ac:dyDescent="0.2">
      <c r="A211" s="2173" t="s">
        <v>1053</v>
      </c>
      <c r="B211" s="2174"/>
      <c r="C211" s="619"/>
      <c r="D211" s="619"/>
      <c r="E211" s="619"/>
      <c r="F211" s="619"/>
      <c r="G211" s="619"/>
      <c r="H211" s="619"/>
      <c r="I211" s="617"/>
      <c r="J211" s="617"/>
      <c r="K211" s="1704">
        <f>'Revenues 9-14'!F275-'Expenditures 15-22'!K210</f>
        <v>1219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71555</v>
      </c>
      <c r="E215" s="617"/>
      <c r="F215" s="617"/>
      <c r="G215" s="617"/>
      <c r="H215" s="617"/>
      <c r="I215" s="617"/>
      <c r="J215" s="617"/>
      <c r="K215" s="1691">
        <f>D215</f>
        <v>71555</v>
      </c>
      <c r="L215" s="466">
        <v>0</v>
      </c>
    </row>
    <row r="216" spans="1:14" x14ac:dyDescent="0.2">
      <c r="A216" s="1526" t="s">
        <v>165</v>
      </c>
      <c r="B216" s="615" t="s">
        <v>1024</v>
      </c>
      <c r="C216" s="617"/>
      <c r="D216" s="467"/>
      <c r="E216" s="617"/>
      <c r="F216" s="617"/>
      <c r="G216" s="617"/>
      <c r="H216" s="617"/>
      <c r="I216" s="617"/>
      <c r="J216" s="617"/>
      <c r="K216" s="1691">
        <f t="shared" ref="K216:K228" si="19">D216</f>
        <v>0</v>
      </c>
      <c r="L216" s="466">
        <v>72744</v>
      </c>
    </row>
    <row r="217" spans="1:14" x14ac:dyDescent="0.2">
      <c r="A217" s="1526" t="s">
        <v>166</v>
      </c>
      <c r="B217" s="615">
        <v>1200</v>
      </c>
      <c r="C217" s="617"/>
      <c r="D217" s="466">
        <v>53428</v>
      </c>
      <c r="E217" s="617"/>
      <c r="F217" s="617"/>
      <c r="G217" s="617"/>
      <c r="H217" s="617"/>
      <c r="I217" s="617"/>
      <c r="J217" s="617"/>
      <c r="K217" s="1691">
        <f t="shared" si="19"/>
        <v>53428</v>
      </c>
      <c r="L217" s="466">
        <v>56743</v>
      </c>
    </row>
    <row r="218" spans="1:14" x14ac:dyDescent="0.2">
      <c r="A218" s="1526" t="s">
        <v>296</v>
      </c>
      <c r="B218" s="615" t="s">
        <v>1025</v>
      </c>
      <c r="C218" s="617"/>
      <c r="D218" s="467"/>
      <c r="E218" s="617"/>
      <c r="F218" s="617"/>
      <c r="G218" s="617"/>
      <c r="H218" s="617"/>
      <c r="I218" s="617"/>
      <c r="J218" s="617"/>
      <c r="K218" s="1691">
        <f t="shared" si="19"/>
        <v>0</v>
      </c>
      <c r="L218" s="466">
        <v>0</v>
      </c>
    </row>
    <row r="219" spans="1:14" x14ac:dyDescent="0.2">
      <c r="A219" s="1526" t="s">
        <v>297</v>
      </c>
      <c r="B219" s="615">
        <v>1250</v>
      </c>
      <c r="C219" s="617"/>
      <c r="D219" s="466">
        <v>27207</v>
      </c>
      <c r="E219" s="617"/>
      <c r="F219" s="617"/>
      <c r="G219" s="617"/>
      <c r="H219" s="617"/>
      <c r="I219" s="617"/>
      <c r="J219" s="617"/>
      <c r="K219" s="1691">
        <f t="shared" si="19"/>
        <v>27207</v>
      </c>
      <c r="L219" s="466">
        <v>28338</v>
      </c>
    </row>
    <row r="220" spans="1:14" x14ac:dyDescent="0.2">
      <c r="A220" s="1526" t="s">
        <v>298</v>
      </c>
      <c r="B220" s="615" t="s">
        <v>163</v>
      </c>
      <c r="C220" s="617"/>
      <c r="D220" s="467"/>
      <c r="E220" s="617"/>
      <c r="F220" s="617"/>
      <c r="G220" s="617"/>
      <c r="H220" s="617"/>
      <c r="I220" s="617"/>
      <c r="J220" s="617"/>
      <c r="K220" s="1691">
        <f t="shared" si="19"/>
        <v>0</v>
      </c>
      <c r="L220" s="466">
        <v>0</v>
      </c>
    </row>
    <row r="221" spans="1:14" x14ac:dyDescent="0.2">
      <c r="A221" s="1526" t="s">
        <v>1019</v>
      </c>
      <c r="B221" s="615">
        <v>1300</v>
      </c>
      <c r="C221" s="617"/>
      <c r="D221" s="466"/>
      <c r="E221" s="617"/>
      <c r="F221" s="617"/>
      <c r="G221" s="617"/>
      <c r="H221" s="617"/>
      <c r="I221" s="617"/>
      <c r="J221" s="617"/>
      <c r="K221" s="1691">
        <f t="shared" si="19"/>
        <v>0</v>
      </c>
      <c r="L221" s="466">
        <v>0</v>
      </c>
    </row>
    <row r="222" spans="1:14" x14ac:dyDescent="0.2">
      <c r="A222" s="1526" t="s">
        <v>747</v>
      </c>
      <c r="B222" s="615">
        <v>1400</v>
      </c>
      <c r="C222" s="617"/>
      <c r="D222" s="466">
        <v>8035</v>
      </c>
      <c r="E222" s="617"/>
      <c r="F222" s="617"/>
      <c r="G222" s="617"/>
      <c r="H222" s="617"/>
      <c r="I222" s="617"/>
      <c r="J222" s="617"/>
      <c r="K222" s="1691">
        <f t="shared" si="19"/>
        <v>8035</v>
      </c>
      <c r="L222" s="466">
        <v>6000</v>
      </c>
    </row>
    <row r="223" spans="1:14" x14ac:dyDescent="0.2">
      <c r="A223" s="1526" t="s">
        <v>1020</v>
      </c>
      <c r="B223" s="615">
        <v>1500</v>
      </c>
      <c r="C223" s="617"/>
      <c r="D223" s="466">
        <v>34745</v>
      </c>
      <c r="E223" s="617"/>
      <c r="F223" s="617"/>
      <c r="G223" s="617"/>
      <c r="H223" s="617"/>
      <c r="I223" s="617"/>
      <c r="J223" s="617"/>
      <c r="K223" s="1691">
        <f t="shared" si="19"/>
        <v>34745</v>
      </c>
      <c r="L223" s="466">
        <v>35335</v>
      </c>
    </row>
    <row r="224" spans="1:14" x14ac:dyDescent="0.2">
      <c r="A224" s="1526" t="s">
        <v>1021</v>
      </c>
      <c r="B224" s="615">
        <v>1600</v>
      </c>
      <c r="C224" s="617"/>
      <c r="D224" s="466">
        <v>633</v>
      </c>
      <c r="E224" s="617"/>
      <c r="F224" s="617"/>
      <c r="G224" s="617"/>
      <c r="H224" s="617"/>
      <c r="I224" s="617"/>
      <c r="J224" s="617"/>
      <c r="K224" s="1691">
        <f t="shared" si="19"/>
        <v>633</v>
      </c>
      <c r="L224" s="466">
        <v>494</v>
      </c>
    </row>
    <row r="225" spans="1:12" x14ac:dyDescent="0.2">
      <c r="A225" s="1526" t="s">
        <v>1044</v>
      </c>
      <c r="B225" s="615">
        <v>1650</v>
      </c>
      <c r="C225" s="617"/>
      <c r="D225" s="466"/>
      <c r="E225" s="617"/>
      <c r="F225" s="617"/>
      <c r="G225" s="617"/>
      <c r="H225" s="617"/>
      <c r="I225" s="617"/>
      <c r="J225" s="617"/>
      <c r="K225" s="1691">
        <f t="shared" si="19"/>
        <v>0</v>
      </c>
      <c r="L225" s="466">
        <v>0</v>
      </c>
    </row>
    <row r="226" spans="1:12" x14ac:dyDescent="0.2">
      <c r="A226" s="1526" t="s">
        <v>748</v>
      </c>
      <c r="B226" s="615" t="s">
        <v>164</v>
      </c>
      <c r="C226" s="617"/>
      <c r="D226" s="467">
        <v>1904</v>
      </c>
      <c r="E226" s="617"/>
      <c r="F226" s="617"/>
      <c r="G226" s="617"/>
      <c r="H226" s="617"/>
      <c r="I226" s="617"/>
      <c r="J226" s="617"/>
      <c r="K226" s="1691">
        <f t="shared" si="19"/>
        <v>1904</v>
      </c>
      <c r="L226" s="466">
        <v>1900</v>
      </c>
    </row>
    <row r="227" spans="1:12" x14ac:dyDescent="0.2">
      <c r="A227" s="1526" t="s">
        <v>1148</v>
      </c>
      <c r="B227" s="615">
        <v>1800</v>
      </c>
      <c r="C227" s="617"/>
      <c r="D227" s="466">
        <v>3259</v>
      </c>
      <c r="E227" s="617"/>
      <c r="F227" s="617"/>
      <c r="G227" s="617"/>
      <c r="H227" s="617"/>
      <c r="I227" s="617"/>
      <c r="J227" s="617"/>
      <c r="K227" s="1691">
        <f t="shared" si="19"/>
        <v>3259</v>
      </c>
      <c r="L227" s="466">
        <v>675</v>
      </c>
    </row>
    <row r="228" spans="1:12" x14ac:dyDescent="0.2">
      <c r="A228" s="1526" t="s">
        <v>1149</v>
      </c>
      <c r="B228" s="615">
        <v>1900</v>
      </c>
      <c r="C228" s="617"/>
      <c r="D228" s="466"/>
      <c r="E228" s="617"/>
      <c r="F228" s="617"/>
      <c r="G228" s="617"/>
      <c r="H228" s="617"/>
      <c r="I228" s="617"/>
      <c r="J228" s="617"/>
      <c r="K228" s="1691">
        <f t="shared" si="19"/>
        <v>0</v>
      </c>
      <c r="L228" s="466">
        <v>0</v>
      </c>
    </row>
    <row r="229" spans="1:12" ht="12.75" customHeight="1" thickBot="1" x14ac:dyDescent="0.25">
      <c r="A229" s="1688" t="s">
        <v>739</v>
      </c>
      <c r="B229" s="1695" t="s">
        <v>591</v>
      </c>
      <c r="C229" s="617"/>
      <c r="D229" s="1690">
        <f>SUM(D215:D228)</f>
        <v>200766</v>
      </c>
      <c r="E229" s="617"/>
      <c r="F229" s="617"/>
      <c r="G229" s="617"/>
      <c r="H229" s="617"/>
      <c r="I229" s="617"/>
      <c r="J229" s="617"/>
      <c r="K229" s="1690">
        <f>SUM(K215:K228)</f>
        <v>200766</v>
      </c>
      <c r="L229" s="1690">
        <f>SUM(L215:L228)</f>
        <v>202229</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16044</v>
      </c>
      <c r="E232" s="617"/>
      <c r="F232" s="617"/>
      <c r="G232" s="617"/>
      <c r="H232" s="617"/>
      <c r="I232" s="617"/>
      <c r="J232" s="617"/>
      <c r="K232" s="1691">
        <f t="shared" ref="K232:K237" si="20">D232</f>
        <v>16044</v>
      </c>
      <c r="L232" s="466">
        <v>15971</v>
      </c>
    </row>
    <row r="233" spans="1:12" x14ac:dyDescent="0.2">
      <c r="A233" s="1526" t="s">
        <v>1151</v>
      </c>
      <c r="B233" s="615">
        <v>2120</v>
      </c>
      <c r="C233" s="617"/>
      <c r="D233" s="466">
        <v>10868</v>
      </c>
      <c r="E233" s="617"/>
      <c r="F233" s="617"/>
      <c r="G233" s="617"/>
      <c r="H233" s="617"/>
      <c r="I233" s="617"/>
      <c r="J233" s="617"/>
      <c r="K233" s="1691">
        <f t="shared" si="20"/>
        <v>10868</v>
      </c>
      <c r="L233" s="466">
        <v>10691</v>
      </c>
    </row>
    <row r="234" spans="1:12" x14ac:dyDescent="0.2">
      <c r="A234" s="1526" t="s">
        <v>207</v>
      </c>
      <c r="B234" s="615">
        <v>2130</v>
      </c>
      <c r="C234" s="617"/>
      <c r="D234" s="466">
        <v>4118</v>
      </c>
      <c r="E234" s="617"/>
      <c r="F234" s="617"/>
      <c r="G234" s="617"/>
      <c r="H234" s="617"/>
      <c r="I234" s="617"/>
      <c r="J234" s="617"/>
      <c r="K234" s="1691">
        <f t="shared" si="20"/>
        <v>4118</v>
      </c>
      <c r="L234" s="466">
        <v>4738</v>
      </c>
    </row>
    <row r="235" spans="1:12" x14ac:dyDescent="0.2">
      <c r="A235" s="1526" t="s">
        <v>208</v>
      </c>
      <c r="B235" s="615">
        <v>2140</v>
      </c>
      <c r="C235" s="617"/>
      <c r="D235" s="466"/>
      <c r="E235" s="617"/>
      <c r="F235" s="617"/>
      <c r="G235" s="617"/>
      <c r="H235" s="617"/>
      <c r="I235" s="617"/>
      <c r="J235" s="617"/>
      <c r="K235" s="1691">
        <f t="shared" si="20"/>
        <v>0</v>
      </c>
      <c r="L235" s="466">
        <v>0</v>
      </c>
    </row>
    <row r="236" spans="1:12" x14ac:dyDescent="0.2">
      <c r="A236" s="1526" t="s">
        <v>209</v>
      </c>
      <c r="B236" s="615">
        <v>2150</v>
      </c>
      <c r="C236" s="617"/>
      <c r="D236" s="466">
        <v>268</v>
      </c>
      <c r="E236" s="617"/>
      <c r="F236" s="617"/>
      <c r="G236" s="617"/>
      <c r="H236" s="617"/>
      <c r="I236" s="617"/>
      <c r="J236" s="617"/>
      <c r="K236" s="1691">
        <f t="shared" si="20"/>
        <v>268</v>
      </c>
      <c r="L236" s="466">
        <v>275</v>
      </c>
    </row>
    <row r="237" spans="1:12" x14ac:dyDescent="0.2">
      <c r="A237" s="1526" t="s">
        <v>167</v>
      </c>
      <c r="B237" s="615">
        <v>2190</v>
      </c>
      <c r="C237" s="617"/>
      <c r="D237" s="466">
        <v>49</v>
      </c>
      <c r="E237" s="617"/>
      <c r="F237" s="617"/>
      <c r="G237" s="617"/>
      <c r="H237" s="617"/>
      <c r="I237" s="617"/>
      <c r="J237" s="617"/>
      <c r="K237" s="1691">
        <f t="shared" si="20"/>
        <v>49</v>
      </c>
      <c r="L237" s="466">
        <v>165</v>
      </c>
    </row>
    <row r="238" spans="1:12" ht="12.75" customHeight="1" thickBot="1" x14ac:dyDescent="0.25">
      <c r="A238" s="1688" t="s">
        <v>581</v>
      </c>
      <c r="B238" s="1695" t="s">
        <v>740</v>
      </c>
      <c r="C238" s="617"/>
      <c r="D238" s="1690">
        <f>SUM(D232:D237)</f>
        <v>31347</v>
      </c>
      <c r="E238" s="617"/>
      <c r="F238" s="617"/>
      <c r="G238" s="617"/>
      <c r="H238" s="617"/>
      <c r="I238" s="617"/>
      <c r="J238" s="617"/>
      <c r="K238" s="1690">
        <f>SUM(K232:K237)</f>
        <v>31347</v>
      </c>
      <c r="L238" s="1690">
        <f>SUM(L232:L237)</f>
        <v>31840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1681</v>
      </c>
      <c r="E240" s="617"/>
      <c r="F240" s="617"/>
      <c r="G240" s="617"/>
      <c r="H240" s="617"/>
      <c r="I240" s="617"/>
      <c r="J240" s="617"/>
      <c r="K240" s="1692">
        <f>D240</f>
        <v>1681</v>
      </c>
      <c r="L240" s="481">
        <v>1640</v>
      </c>
    </row>
    <row r="241" spans="1:12" x14ac:dyDescent="0.2">
      <c r="A241" s="1526" t="s">
        <v>869</v>
      </c>
      <c r="B241" s="615">
        <v>2220</v>
      </c>
      <c r="C241" s="617"/>
      <c r="D241" s="466">
        <v>15304</v>
      </c>
      <c r="E241" s="617"/>
      <c r="F241" s="617"/>
      <c r="G241" s="617"/>
      <c r="H241" s="617"/>
      <c r="I241" s="617"/>
      <c r="J241" s="617"/>
      <c r="K241" s="1692">
        <f>D241</f>
        <v>15304</v>
      </c>
      <c r="L241" s="466">
        <v>15883</v>
      </c>
    </row>
    <row r="242" spans="1:12" x14ac:dyDescent="0.2">
      <c r="A242" s="1526" t="s">
        <v>870</v>
      </c>
      <c r="B242" s="615">
        <v>2230</v>
      </c>
      <c r="C242" s="617"/>
      <c r="D242" s="466">
        <v>6</v>
      </c>
      <c r="E242" s="617"/>
      <c r="F242" s="617"/>
      <c r="G242" s="617"/>
      <c r="H242" s="617"/>
      <c r="I242" s="617"/>
      <c r="J242" s="617"/>
      <c r="K242" s="1692">
        <f>D242</f>
        <v>6</v>
      </c>
      <c r="L242" s="466">
        <v>40</v>
      </c>
    </row>
    <row r="243" spans="1:12" ht="12.75" customHeight="1" thickBot="1" x14ac:dyDescent="0.25">
      <c r="A243" s="1714" t="s">
        <v>582</v>
      </c>
      <c r="B243" s="1715">
        <v>2200</v>
      </c>
      <c r="C243" s="617"/>
      <c r="D243" s="1690">
        <f>SUM(D240:D242)</f>
        <v>16991</v>
      </c>
      <c r="E243" s="617"/>
      <c r="F243" s="617"/>
      <c r="G243" s="617"/>
      <c r="H243" s="617"/>
      <c r="I243" s="617"/>
      <c r="J243" s="617"/>
      <c r="K243" s="1690">
        <f>SUM(K240:K242)</f>
        <v>16991</v>
      </c>
      <c r="L243" s="1690">
        <f>SUM(L240:L242)</f>
        <v>17563</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2">
        <f>D245</f>
        <v>0</v>
      </c>
      <c r="L245" s="481">
        <v>0</v>
      </c>
    </row>
    <row r="246" spans="1:12" x14ac:dyDescent="0.2">
      <c r="A246" s="1526" t="s">
        <v>872</v>
      </c>
      <c r="B246" s="615">
        <v>2320</v>
      </c>
      <c r="C246" s="617"/>
      <c r="D246" s="466">
        <v>8442</v>
      </c>
      <c r="E246" s="617"/>
      <c r="F246" s="617"/>
      <c r="G246" s="617"/>
      <c r="H246" s="617"/>
      <c r="I246" s="617"/>
      <c r="J246" s="617"/>
      <c r="K246" s="1692">
        <f t="shared" ref="K246:K256" si="21">D246</f>
        <v>8442</v>
      </c>
      <c r="L246" s="466">
        <v>8242</v>
      </c>
    </row>
    <row r="247" spans="1:12" x14ac:dyDescent="0.2">
      <c r="A247" s="1526" t="s">
        <v>873</v>
      </c>
      <c r="B247" s="615">
        <v>2330</v>
      </c>
      <c r="C247" s="617"/>
      <c r="D247" s="466"/>
      <c r="E247" s="617"/>
      <c r="F247" s="617"/>
      <c r="G247" s="617"/>
      <c r="H247" s="617"/>
      <c r="I247" s="617"/>
      <c r="J247" s="617"/>
      <c r="K247" s="1692">
        <f t="shared" si="21"/>
        <v>0</v>
      </c>
      <c r="L247" s="466">
        <v>0</v>
      </c>
    </row>
    <row r="248" spans="1:12" x14ac:dyDescent="0.2">
      <c r="A248" s="1527" t="s">
        <v>317</v>
      </c>
      <c r="B248" s="603" t="s">
        <v>299</v>
      </c>
      <c r="C248" s="617"/>
      <c r="D248" s="474"/>
      <c r="E248" s="617"/>
      <c r="F248" s="617"/>
      <c r="G248" s="617"/>
      <c r="H248" s="617"/>
      <c r="I248" s="617"/>
      <c r="J248" s="617"/>
      <c r="K248" s="1692">
        <f t="shared" si="21"/>
        <v>0</v>
      </c>
      <c r="L248" s="466">
        <v>0</v>
      </c>
    </row>
    <row r="249" spans="1:12" x14ac:dyDescent="0.2">
      <c r="A249" s="1528" t="s">
        <v>1905</v>
      </c>
      <c r="B249" s="684" t="s">
        <v>300</v>
      </c>
      <c r="C249" s="617"/>
      <c r="D249" s="474"/>
      <c r="E249" s="617"/>
      <c r="F249" s="617"/>
      <c r="G249" s="617"/>
      <c r="H249" s="617"/>
      <c r="I249" s="617"/>
      <c r="J249" s="617"/>
      <c r="K249" s="1692">
        <f t="shared" si="21"/>
        <v>0</v>
      </c>
      <c r="L249" s="466">
        <v>0</v>
      </c>
    </row>
    <row r="250" spans="1:12" x14ac:dyDescent="0.2">
      <c r="A250" s="1527" t="s">
        <v>1906</v>
      </c>
      <c r="B250" s="603" t="s">
        <v>301</v>
      </c>
      <c r="C250" s="617"/>
      <c r="D250" s="474"/>
      <c r="E250" s="617"/>
      <c r="F250" s="617"/>
      <c r="G250" s="617"/>
      <c r="H250" s="617"/>
      <c r="I250" s="617"/>
      <c r="J250" s="617"/>
      <c r="K250" s="1692">
        <f t="shared" si="21"/>
        <v>0</v>
      </c>
      <c r="L250" s="466">
        <v>0</v>
      </c>
    </row>
    <row r="251" spans="1:12" x14ac:dyDescent="0.2">
      <c r="A251" s="1527" t="s">
        <v>256</v>
      </c>
      <c r="B251" s="603" t="s">
        <v>302</v>
      </c>
      <c r="C251" s="617"/>
      <c r="D251" s="474"/>
      <c r="E251" s="617"/>
      <c r="F251" s="617"/>
      <c r="G251" s="617"/>
      <c r="H251" s="617"/>
      <c r="I251" s="617"/>
      <c r="J251" s="617"/>
      <c r="K251" s="1692">
        <f t="shared" si="21"/>
        <v>0</v>
      </c>
      <c r="L251" s="466">
        <v>0</v>
      </c>
    </row>
    <row r="252" spans="1:12" x14ac:dyDescent="0.2">
      <c r="A252" s="1527" t="s">
        <v>726</v>
      </c>
      <c r="B252" s="603" t="s">
        <v>303</v>
      </c>
      <c r="C252" s="617"/>
      <c r="D252" s="474">
        <v>3557</v>
      </c>
      <c r="E252" s="617"/>
      <c r="F252" s="617"/>
      <c r="G252" s="617"/>
      <c r="H252" s="617"/>
      <c r="I252" s="617"/>
      <c r="J252" s="617"/>
      <c r="K252" s="1692">
        <f t="shared" si="21"/>
        <v>3557</v>
      </c>
      <c r="L252" s="466">
        <v>3618</v>
      </c>
    </row>
    <row r="253" spans="1:12" x14ac:dyDescent="0.2">
      <c r="A253" s="1527" t="s">
        <v>257</v>
      </c>
      <c r="B253" s="603" t="s">
        <v>304</v>
      </c>
      <c r="C253" s="617"/>
      <c r="D253" s="474"/>
      <c r="E253" s="617"/>
      <c r="F253" s="617"/>
      <c r="G253" s="617"/>
      <c r="H253" s="617"/>
      <c r="I253" s="617"/>
      <c r="J253" s="617"/>
      <c r="K253" s="1692">
        <f t="shared" si="21"/>
        <v>0</v>
      </c>
      <c r="L253" s="466">
        <v>0</v>
      </c>
    </row>
    <row r="254" spans="1:12" ht="22.5" x14ac:dyDescent="0.2">
      <c r="A254" s="1527" t="s">
        <v>1087</v>
      </c>
      <c r="B254" s="684" t="s">
        <v>305</v>
      </c>
      <c r="C254" s="617"/>
      <c r="D254" s="474">
        <v>32742</v>
      </c>
      <c r="E254" s="617"/>
      <c r="F254" s="617"/>
      <c r="G254" s="617"/>
      <c r="H254" s="617"/>
      <c r="I254" s="617"/>
      <c r="J254" s="617"/>
      <c r="K254" s="1692">
        <f t="shared" si="21"/>
        <v>32742</v>
      </c>
      <c r="L254" s="466">
        <v>32647</v>
      </c>
    </row>
    <row r="255" spans="1:12" x14ac:dyDescent="0.2">
      <c r="A255" s="1527" t="s">
        <v>1088</v>
      </c>
      <c r="B255" s="603" t="s">
        <v>306</v>
      </c>
      <c r="C255" s="617"/>
      <c r="D255" s="474"/>
      <c r="E255" s="617"/>
      <c r="F255" s="617"/>
      <c r="G255" s="617"/>
      <c r="H255" s="617"/>
      <c r="I255" s="617"/>
      <c r="J255" s="617"/>
      <c r="K255" s="1692">
        <f t="shared" si="21"/>
        <v>0</v>
      </c>
      <c r="L255" s="466">
        <v>0</v>
      </c>
    </row>
    <row r="256" spans="1:12" x14ac:dyDescent="0.2">
      <c r="A256" s="1527" t="s">
        <v>1028</v>
      </c>
      <c r="B256" s="615" t="s">
        <v>307</v>
      </c>
      <c r="C256" s="617"/>
      <c r="D256" s="474"/>
      <c r="E256" s="617"/>
      <c r="F256" s="617"/>
      <c r="G256" s="617"/>
      <c r="H256" s="617"/>
      <c r="I256" s="617"/>
      <c r="J256" s="617"/>
      <c r="K256" s="1692">
        <f t="shared" si="21"/>
        <v>0</v>
      </c>
      <c r="L256" s="466">
        <v>0</v>
      </c>
    </row>
    <row r="257" spans="1:14" ht="12.75" customHeight="1" thickBot="1" x14ac:dyDescent="0.25">
      <c r="A257" s="1688" t="s">
        <v>741</v>
      </c>
      <c r="B257" s="1716">
        <v>2300</v>
      </c>
      <c r="C257" s="617"/>
      <c r="D257" s="1690">
        <f>SUM(D245:D256)</f>
        <v>44741</v>
      </c>
      <c r="E257" s="617"/>
      <c r="F257" s="617"/>
      <c r="G257" s="617"/>
      <c r="H257" s="617"/>
      <c r="I257" s="617"/>
      <c r="J257" s="617"/>
      <c r="K257" s="1690">
        <f>SUM(K245:K256)</f>
        <v>44741</v>
      </c>
      <c r="L257" s="1690">
        <f>SUM(L245:L256)</f>
        <v>44507</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43196</v>
      </c>
      <c r="E259" s="617"/>
      <c r="F259" s="617"/>
      <c r="G259" s="617"/>
      <c r="H259" s="617"/>
      <c r="I259" s="617"/>
      <c r="J259" s="617"/>
      <c r="K259" s="1692">
        <f>D259</f>
        <v>43196</v>
      </c>
      <c r="L259" s="481">
        <v>42495</v>
      </c>
    </row>
    <row r="260" spans="1:14" s="598" customFormat="1" x14ac:dyDescent="0.2">
      <c r="A260" s="1544" t="s">
        <v>1904</v>
      </c>
      <c r="B260" s="629">
        <v>2490</v>
      </c>
      <c r="C260" s="617"/>
      <c r="D260" s="466"/>
      <c r="E260" s="617"/>
      <c r="F260" s="617"/>
      <c r="G260" s="617"/>
      <c r="H260" s="617"/>
      <c r="I260" s="617"/>
      <c r="J260" s="617"/>
      <c r="K260" s="1692">
        <f>D260</f>
        <v>0</v>
      </c>
      <c r="L260" s="466">
        <v>0</v>
      </c>
      <c r="M260" s="210"/>
      <c r="N260" s="210"/>
    </row>
    <row r="261" spans="1:14" ht="12.75" customHeight="1" thickBot="1" x14ac:dyDescent="0.25">
      <c r="A261" s="1712" t="s">
        <v>281</v>
      </c>
      <c r="B261" s="1717" t="s">
        <v>34</v>
      </c>
      <c r="C261" s="617"/>
      <c r="D261" s="1690">
        <f>SUM(D259:D260)</f>
        <v>43196</v>
      </c>
      <c r="E261" s="617"/>
      <c r="F261" s="617"/>
      <c r="G261" s="617"/>
      <c r="H261" s="617"/>
      <c r="I261" s="617"/>
      <c r="J261" s="617"/>
      <c r="K261" s="1690">
        <f>SUM(K259:K260)</f>
        <v>43196</v>
      </c>
      <c r="L261" s="1690">
        <f>SUM(L259:L260)</f>
        <v>42495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24201</v>
      </c>
      <c r="E263" s="617"/>
      <c r="F263" s="617"/>
      <c r="G263" s="617"/>
      <c r="H263" s="617"/>
      <c r="I263" s="617"/>
      <c r="J263" s="617"/>
      <c r="K263" s="1692">
        <f>D263</f>
        <v>24201</v>
      </c>
      <c r="L263" s="481">
        <v>17211</v>
      </c>
    </row>
    <row r="264" spans="1:14" x14ac:dyDescent="0.2">
      <c r="A264" s="1526" t="s">
        <v>483</v>
      </c>
      <c r="B264" s="686">
        <v>2520</v>
      </c>
      <c r="C264" s="617"/>
      <c r="D264" s="466">
        <v>15115</v>
      </c>
      <c r="E264" s="617"/>
      <c r="F264" s="617"/>
      <c r="G264" s="617"/>
      <c r="H264" s="617"/>
      <c r="I264" s="617"/>
      <c r="J264" s="617"/>
      <c r="K264" s="1692">
        <f t="shared" ref="K264:K269" si="22">D264</f>
        <v>15115</v>
      </c>
      <c r="L264" s="466">
        <v>15653</v>
      </c>
    </row>
    <row r="265" spans="1:14" x14ac:dyDescent="0.2">
      <c r="A265" s="1526" t="s">
        <v>4</v>
      </c>
      <c r="B265" s="615">
        <v>2530</v>
      </c>
      <c r="C265" s="617"/>
      <c r="D265" s="466"/>
      <c r="E265" s="617"/>
      <c r="F265" s="617"/>
      <c r="G265" s="617"/>
      <c r="H265" s="617"/>
      <c r="I265" s="617"/>
      <c r="J265" s="617"/>
      <c r="K265" s="1692">
        <f t="shared" si="22"/>
        <v>0</v>
      </c>
      <c r="L265" s="466">
        <v>0</v>
      </c>
    </row>
    <row r="266" spans="1:14" x14ac:dyDescent="0.2">
      <c r="A266" s="1526" t="s">
        <v>206</v>
      </c>
      <c r="B266" s="615">
        <v>2540</v>
      </c>
      <c r="C266" s="617"/>
      <c r="D266" s="466">
        <v>144774</v>
      </c>
      <c r="E266" s="617"/>
      <c r="F266" s="617"/>
      <c r="G266" s="617"/>
      <c r="H266" s="617"/>
      <c r="I266" s="617"/>
      <c r="J266" s="617"/>
      <c r="K266" s="1692">
        <f t="shared" si="22"/>
        <v>144774</v>
      </c>
      <c r="L266" s="466">
        <v>151702</v>
      </c>
    </row>
    <row r="267" spans="1:14" x14ac:dyDescent="0.2">
      <c r="A267" s="1526" t="s">
        <v>1010</v>
      </c>
      <c r="B267" s="615">
        <v>2550</v>
      </c>
      <c r="C267" s="617"/>
      <c r="D267" s="466">
        <v>88031</v>
      </c>
      <c r="E267" s="617"/>
      <c r="F267" s="617"/>
      <c r="G267" s="617"/>
      <c r="H267" s="617"/>
      <c r="I267" s="617"/>
      <c r="J267" s="617"/>
      <c r="K267" s="1692">
        <f t="shared" si="22"/>
        <v>88031</v>
      </c>
      <c r="L267" s="466">
        <v>87459</v>
      </c>
    </row>
    <row r="268" spans="1:14" x14ac:dyDescent="0.2">
      <c r="A268" s="1526" t="s">
        <v>102</v>
      </c>
      <c r="B268" s="615">
        <v>2560</v>
      </c>
      <c r="C268" s="617"/>
      <c r="D268" s="466">
        <v>45036</v>
      </c>
      <c r="E268" s="617"/>
      <c r="F268" s="617"/>
      <c r="G268" s="617"/>
      <c r="H268" s="617"/>
      <c r="I268" s="617"/>
      <c r="J268" s="617"/>
      <c r="K268" s="1692">
        <f t="shared" si="22"/>
        <v>45036</v>
      </c>
      <c r="L268" s="466">
        <v>45620</v>
      </c>
    </row>
    <row r="269" spans="1:14" x14ac:dyDescent="0.2">
      <c r="A269" s="1526" t="s">
        <v>103</v>
      </c>
      <c r="B269" s="615">
        <v>2570</v>
      </c>
      <c r="C269" s="617"/>
      <c r="D269" s="466"/>
      <c r="E269" s="617"/>
      <c r="F269" s="617"/>
      <c r="G269" s="617"/>
      <c r="H269" s="617"/>
      <c r="I269" s="617"/>
      <c r="J269" s="617"/>
      <c r="K269" s="1692">
        <f t="shared" si="22"/>
        <v>0</v>
      </c>
      <c r="L269" s="466">
        <v>0</v>
      </c>
    </row>
    <row r="270" spans="1:14" ht="12.75" customHeight="1" thickBot="1" x14ac:dyDescent="0.25">
      <c r="A270" s="1688" t="s">
        <v>743</v>
      </c>
      <c r="B270" s="1695" t="s">
        <v>35</v>
      </c>
      <c r="C270" s="617"/>
      <c r="D270" s="1690">
        <f>SUM(D263:D269)</f>
        <v>317157</v>
      </c>
      <c r="E270" s="617"/>
      <c r="F270" s="617"/>
      <c r="G270" s="617"/>
      <c r="H270" s="617"/>
      <c r="I270" s="617"/>
      <c r="J270" s="617"/>
      <c r="K270" s="1690">
        <f>SUM(K263:K269)</f>
        <v>317157</v>
      </c>
      <c r="L270" s="1690">
        <f>SUM(L263:L269)</f>
        <v>317645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2">
        <f>D272</f>
        <v>0</v>
      </c>
      <c r="L272" s="481">
        <v>0</v>
      </c>
    </row>
    <row r="273" spans="1:12" x14ac:dyDescent="0.2">
      <c r="A273" s="1526" t="s">
        <v>628</v>
      </c>
      <c r="B273" s="629">
        <v>2620</v>
      </c>
      <c r="C273" s="617"/>
      <c r="D273" s="466"/>
      <c r="E273" s="617"/>
      <c r="F273" s="617"/>
      <c r="G273" s="617"/>
      <c r="H273" s="617"/>
      <c r="I273" s="617"/>
      <c r="J273" s="617"/>
      <c r="K273" s="1692">
        <f>D273</f>
        <v>0</v>
      </c>
      <c r="L273" s="466">
        <v>0</v>
      </c>
    </row>
    <row r="274" spans="1:12" ht="12" customHeight="1" x14ac:dyDescent="0.2">
      <c r="A274" s="1526" t="s">
        <v>1121</v>
      </c>
      <c r="B274" s="615">
        <v>2630</v>
      </c>
      <c r="C274" s="617"/>
      <c r="D274" s="466"/>
      <c r="E274" s="617"/>
      <c r="F274" s="617"/>
      <c r="G274" s="617"/>
      <c r="H274" s="617"/>
      <c r="I274" s="617"/>
      <c r="J274" s="617"/>
      <c r="K274" s="1692">
        <f>D274</f>
        <v>0</v>
      </c>
      <c r="L274" s="466">
        <v>0</v>
      </c>
    </row>
    <row r="275" spans="1:12" x14ac:dyDescent="0.2">
      <c r="A275" s="1526" t="s">
        <v>423</v>
      </c>
      <c r="B275" s="615">
        <v>2640</v>
      </c>
      <c r="C275" s="617"/>
      <c r="D275" s="466">
        <v>6400</v>
      </c>
      <c r="E275" s="617"/>
      <c r="F275" s="617"/>
      <c r="G275" s="617"/>
      <c r="H275" s="617"/>
      <c r="I275" s="617"/>
      <c r="J275" s="617"/>
      <c r="K275" s="1692">
        <f>D275</f>
        <v>6400</v>
      </c>
      <c r="L275" s="466">
        <v>7332</v>
      </c>
    </row>
    <row r="276" spans="1:12" x14ac:dyDescent="0.2">
      <c r="A276" s="1526" t="s">
        <v>424</v>
      </c>
      <c r="B276" s="615">
        <v>2660</v>
      </c>
      <c r="C276" s="617"/>
      <c r="D276" s="466">
        <v>11157</v>
      </c>
      <c r="E276" s="617"/>
      <c r="F276" s="617"/>
      <c r="G276" s="617"/>
      <c r="H276" s="617"/>
      <c r="I276" s="617"/>
      <c r="J276" s="617"/>
      <c r="K276" s="1692">
        <f>D276</f>
        <v>11157</v>
      </c>
      <c r="L276" s="466">
        <v>11147</v>
      </c>
    </row>
    <row r="277" spans="1:12" ht="12.75" customHeight="1" thickBot="1" x14ac:dyDescent="0.25">
      <c r="A277" s="1711" t="s">
        <v>37</v>
      </c>
      <c r="B277" s="1689" t="s">
        <v>36</v>
      </c>
      <c r="C277" s="617"/>
      <c r="D277" s="1690">
        <f>SUM(D272:D276)</f>
        <v>17557</v>
      </c>
      <c r="E277" s="617"/>
      <c r="F277" s="617"/>
      <c r="G277" s="617"/>
      <c r="H277" s="617"/>
      <c r="I277" s="617"/>
      <c r="J277" s="617"/>
      <c r="K277" s="1690">
        <f>SUM(K272:K276)</f>
        <v>17557</v>
      </c>
      <c r="L277" s="1690">
        <f>SUM(L272:L276)</f>
        <v>18479</v>
      </c>
    </row>
    <row r="278" spans="1:12" ht="13.5" customHeight="1" thickTop="1" x14ac:dyDescent="0.2">
      <c r="A278" s="1532" t="s">
        <v>1037</v>
      </c>
      <c r="B278" s="656" t="s">
        <v>595</v>
      </c>
      <c r="C278" s="617"/>
      <c r="D278" s="657"/>
      <c r="E278" s="617"/>
      <c r="F278" s="617"/>
      <c r="G278" s="617"/>
      <c r="H278" s="617"/>
      <c r="I278" s="617"/>
      <c r="J278" s="617"/>
      <c r="K278" s="1705">
        <f>D278</f>
        <v>0</v>
      </c>
      <c r="L278" s="657">
        <v>0</v>
      </c>
    </row>
    <row r="279" spans="1:12" ht="12.75" customHeight="1" thickBot="1" x14ac:dyDescent="0.25">
      <c r="A279" s="1718" t="s">
        <v>865</v>
      </c>
      <c r="B279" s="1701">
        <v>2000</v>
      </c>
      <c r="C279" s="617"/>
      <c r="D279" s="1697">
        <f>SUM(D238,D243,D257,D261,D270,D277,D278)</f>
        <v>470989</v>
      </c>
      <c r="E279" s="617"/>
      <c r="F279" s="617"/>
      <c r="G279" s="617"/>
      <c r="H279" s="617"/>
      <c r="I279" s="617"/>
      <c r="J279" s="617"/>
      <c r="K279" s="1697">
        <f>SUM(K238,K243,K257,K261,K270,K277,K278)</f>
        <v>470989</v>
      </c>
      <c r="L279" s="1697">
        <f>SUM(L238,L243,L257,L261,L270,L277,L278)</f>
        <v>472529</v>
      </c>
    </row>
    <row r="280" spans="1:12" ht="15.75" customHeight="1" thickTop="1" thickBot="1" x14ac:dyDescent="0.25">
      <c r="A280" s="1646" t="s">
        <v>930</v>
      </c>
      <c r="B280" s="1635">
        <v>3000</v>
      </c>
      <c r="C280" s="617"/>
      <c r="D280" s="576">
        <v>135</v>
      </c>
      <c r="E280" s="617"/>
      <c r="F280" s="617"/>
      <c r="G280" s="617"/>
      <c r="H280" s="617"/>
      <c r="I280" s="617"/>
      <c r="J280" s="617"/>
      <c r="K280" s="1699">
        <f>D280</f>
        <v>135</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1" t="s">
        <v>517</v>
      </c>
      <c r="B282" s="691" t="s">
        <v>1954</v>
      </c>
      <c r="C282" s="617"/>
      <c r="D282" s="467"/>
      <c r="E282" s="617"/>
      <c r="F282" s="617"/>
      <c r="G282" s="617"/>
      <c r="H282" s="617"/>
      <c r="I282" s="617"/>
      <c r="J282" s="617"/>
      <c r="K282" s="1691">
        <f>D282</f>
        <v>0</v>
      </c>
      <c r="L282" s="467">
        <v>0</v>
      </c>
    </row>
    <row r="283" spans="1:12" x14ac:dyDescent="0.2">
      <c r="A283" s="1526" t="s">
        <v>322</v>
      </c>
      <c r="B283" s="615">
        <v>4120</v>
      </c>
      <c r="C283" s="617"/>
      <c r="D283" s="466"/>
      <c r="E283" s="617"/>
      <c r="F283" s="617"/>
      <c r="G283" s="617"/>
      <c r="H283" s="617"/>
      <c r="I283" s="617"/>
      <c r="J283" s="617"/>
      <c r="K283" s="1691">
        <f>D283</f>
        <v>0</v>
      </c>
      <c r="L283" s="466">
        <v>0</v>
      </c>
    </row>
    <row r="284" spans="1:12" x14ac:dyDescent="0.2">
      <c r="A284" s="1526" t="s">
        <v>721</v>
      </c>
      <c r="B284" s="615">
        <v>4140</v>
      </c>
      <c r="C284" s="617"/>
      <c r="D284" s="467"/>
      <c r="E284" s="617"/>
      <c r="F284" s="617"/>
      <c r="G284" s="617"/>
      <c r="H284" s="617"/>
      <c r="I284" s="617"/>
      <c r="J284" s="617"/>
      <c r="K284" s="1691">
        <f>D284</f>
        <v>0</v>
      </c>
      <c r="L284" s="466">
        <v>0</v>
      </c>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1">
        <f>H288</f>
        <v>0</v>
      </c>
      <c r="L288" s="466">
        <v>0</v>
      </c>
    </row>
    <row r="289" spans="1:14" x14ac:dyDescent="0.2">
      <c r="A289" s="1526" t="s">
        <v>90</v>
      </c>
      <c r="B289" s="615">
        <v>5120</v>
      </c>
      <c r="C289" s="617"/>
      <c r="D289" s="617"/>
      <c r="E289" s="617"/>
      <c r="F289" s="617"/>
      <c r="G289" s="617"/>
      <c r="H289" s="466"/>
      <c r="I289" s="617"/>
      <c r="J289" s="617"/>
      <c r="K289" s="1691">
        <f>H289</f>
        <v>0</v>
      </c>
      <c r="L289" s="466">
        <v>0</v>
      </c>
    </row>
    <row r="290" spans="1:14" ht="12.75" customHeight="1" x14ac:dyDescent="0.2">
      <c r="A290" s="1526" t="s">
        <v>1232</v>
      </c>
      <c r="B290" s="629" t="s">
        <v>638</v>
      </c>
      <c r="C290" s="617"/>
      <c r="D290" s="617"/>
      <c r="E290" s="617"/>
      <c r="F290" s="617"/>
      <c r="G290" s="617"/>
      <c r="H290" s="466"/>
      <c r="I290" s="617"/>
      <c r="J290" s="617"/>
      <c r="K290" s="1691">
        <f>H290</f>
        <v>0</v>
      </c>
      <c r="L290" s="466">
        <v>0</v>
      </c>
    </row>
    <row r="291" spans="1:14" x14ac:dyDescent="0.2">
      <c r="A291" s="1526" t="s">
        <v>91</v>
      </c>
      <c r="B291" s="615" t="s">
        <v>610</v>
      </c>
      <c r="C291" s="617"/>
      <c r="D291" s="617"/>
      <c r="E291" s="617"/>
      <c r="F291" s="617"/>
      <c r="G291" s="617"/>
      <c r="H291" s="466"/>
      <c r="I291" s="617"/>
      <c r="J291" s="617"/>
      <c r="K291" s="1691">
        <f>H291</f>
        <v>0</v>
      </c>
      <c r="L291" s="466">
        <v>0</v>
      </c>
    </row>
    <row r="292" spans="1:14" x14ac:dyDescent="0.2">
      <c r="A292" s="1526" t="s">
        <v>786</v>
      </c>
      <c r="B292" s="615" t="s">
        <v>639</v>
      </c>
      <c r="C292" s="617"/>
      <c r="D292" s="617"/>
      <c r="E292" s="617"/>
      <c r="F292" s="617"/>
      <c r="G292" s="617"/>
      <c r="H292" s="466"/>
      <c r="I292" s="617"/>
      <c r="J292" s="617"/>
      <c r="K292" s="1691">
        <f>H292</f>
        <v>0</v>
      </c>
      <c r="L292" s="466">
        <v>0</v>
      </c>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1" t="s">
        <v>526</v>
      </c>
      <c r="B295" s="2192"/>
      <c r="C295" s="617"/>
      <c r="D295" s="1690">
        <f>SUM(D229,D279,D280,D285)</f>
        <v>671890</v>
      </c>
      <c r="E295" s="617"/>
      <c r="F295" s="617"/>
      <c r="G295" s="617"/>
      <c r="H295" s="1690">
        <f>H293</f>
        <v>0</v>
      </c>
      <c r="I295" s="617"/>
      <c r="J295" s="617"/>
      <c r="K295" s="1690">
        <f>SUM(K229,K279,K280,K285,K293,K294)</f>
        <v>671890</v>
      </c>
      <c r="L295" s="1690">
        <f>SUM(L229,L279,L280,L285,L293,L294)</f>
        <v>674758</v>
      </c>
    </row>
    <row r="296" spans="1:14" ht="13.5" thickTop="1" x14ac:dyDescent="0.2">
      <c r="A296" s="2173" t="s">
        <v>1053</v>
      </c>
      <c r="B296" s="2174"/>
      <c r="C296" s="617"/>
      <c r="D296" s="619"/>
      <c r="E296" s="617"/>
      <c r="F296" s="617"/>
      <c r="G296" s="617"/>
      <c r="H296" s="688"/>
      <c r="I296" s="617"/>
      <c r="J296" s="617"/>
      <c r="K296" s="1704">
        <f>'Revenues 9-14'!G275-'Expenditures 15-22'!K295</f>
        <v>111159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623049</v>
      </c>
      <c r="F301" s="466">
        <v>36</v>
      </c>
      <c r="G301" s="466">
        <v>1621514</v>
      </c>
      <c r="H301" s="466"/>
      <c r="I301" s="467"/>
      <c r="J301" s="467"/>
      <c r="K301" s="1691">
        <f>SUM(C301:J301)</f>
        <v>2244599</v>
      </c>
      <c r="L301" s="467">
        <v>2393040</v>
      </c>
    </row>
    <row r="302" spans="1:14" ht="13.5" customHeight="1" x14ac:dyDescent="0.2">
      <c r="A302" s="1539" t="s">
        <v>1037</v>
      </c>
      <c r="B302" s="615" t="s">
        <v>595</v>
      </c>
      <c r="C302" s="466"/>
      <c r="D302" s="466"/>
      <c r="E302" s="466"/>
      <c r="F302" s="466"/>
      <c r="G302" s="466"/>
      <c r="H302" s="466"/>
      <c r="I302" s="467"/>
      <c r="J302" s="467"/>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623049</v>
      </c>
      <c r="F303" s="1697">
        <f t="shared" si="23"/>
        <v>36</v>
      </c>
      <c r="G303" s="1697">
        <f t="shared" si="23"/>
        <v>1621514</v>
      </c>
      <c r="H303" s="1697">
        <f t="shared" si="23"/>
        <v>0</v>
      </c>
      <c r="I303" s="1697">
        <f t="shared" si="23"/>
        <v>0</v>
      </c>
      <c r="J303" s="1697">
        <f t="shared" si="23"/>
        <v>0</v>
      </c>
      <c r="K303" s="1697">
        <f t="shared" si="23"/>
        <v>2244599</v>
      </c>
      <c r="L303" s="1697">
        <f t="shared" si="23"/>
        <v>2393040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1">
        <f>SUM(E306,H306)</f>
        <v>0</v>
      </c>
      <c r="L306" s="467">
        <v>0</v>
      </c>
    </row>
    <row r="307" spans="1:14" x14ac:dyDescent="0.2">
      <c r="A307" s="1526" t="s">
        <v>322</v>
      </c>
      <c r="B307" s="615">
        <v>4120</v>
      </c>
      <c r="C307" s="617"/>
      <c r="D307" s="617"/>
      <c r="E307" s="467"/>
      <c r="F307" s="617"/>
      <c r="G307" s="617"/>
      <c r="H307" s="467"/>
      <c r="I307" s="477"/>
      <c r="J307" s="617"/>
      <c r="K307" s="1691">
        <f>SUM(E307,H307)</f>
        <v>0</v>
      </c>
      <c r="L307" s="466">
        <v>0</v>
      </c>
    </row>
    <row r="308" spans="1:14" x14ac:dyDescent="0.2">
      <c r="A308" s="1526" t="s">
        <v>721</v>
      </c>
      <c r="B308" s="615">
        <v>4140</v>
      </c>
      <c r="C308" s="617"/>
      <c r="D308" s="617"/>
      <c r="E308" s="467"/>
      <c r="F308" s="617"/>
      <c r="G308" s="617"/>
      <c r="H308" s="467"/>
      <c r="I308" s="477"/>
      <c r="J308" s="617"/>
      <c r="K308" s="1691">
        <f>SUM(E308,H308)</f>
        <v>0</v>
      </c>
      <c r="L308" s="466">
        <v>0</v>
      </c>
    </row>
    <row r="309" spans="1:14" ht="12.75" customHeight="1" x14ac:dyDescent="0.2">
      <c r="A309" s="1530" t="s">
        <v>722</v>
      </c>
      <c r="B309" s="629">
        <v>4190</v>
      </c>
      <c r="C309" s="617"/>
      <c r="D309" s="617"/>
      <c r="E309" s="467"/>
      <c r="F309" s="617"/>
      <c r="G309" s="617"/>
      <c r="H309" s="467"/>
      <c r="I309" s="477"/>
      <c r="J309" s="617"/>
      <c r="K309" s="1691">
        <f>SUM(E309,H309)</f>
        <v>0</v>
      </c>
      <c r="L309" s="466">
        <v>0</v>
      </c>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8" t="s">
        <v>295</v>
      </c>
      <c r="B312" s="2189"/>
      <c r="C312" s="1690">
        <f>SUM(C303)</f>
        <v>0</v>
      </c>
      <c r="D312" s="1690">
        <f>SUM(D303)</f>
        <v>0</v>
      </c>
      <c r="E312" s="1690">
        <f>SUM(E303,E310)</f>
        <v>623049</v>
      </c>
      <c r="F312" s="1690">
        <f>SUM(F303)</f>
        <v>36</v>
      </c>
      <c r="G312" s="1690">
        <f>SUM(G303)</f>
        <v>1621514</v>
      </c>
      <c r="H312" s="1690">
        <f>SUM(H303,H310)</f>
        <v>0</v>
      </c>
      <c r="I312" s="1690">
        <f>SUM(I303)</f>
        <v>0</v>
      </c>
      <c r="J312" s="1690">
        <f>SUM(J303)</f>
        <v>0</v>
      </c>
      <c r="K312" s="1690">
        <f>SUM(K303,K310,K311)</f>
        <v>2244599</v>
      </c>
      <c r="L312" s="1690">
        <f>SUM(L303,L310,L311)</f>
        <v>2393040</v>
      </c>
      <c r="M312" s="666"/>
      <c r="N312" s="666"/>
    </row>
    <row r="313" spans="1:14" ht="13.5" thickTop="1" x14ac:dyDescent="0.2">
      <c r="A313" s="2184" t="s">
        <v>1053</v>
      </c>
      <c r="B313" s="2185"/>
      <c r="C313" s="627"/>
      <c r="D313" s="627"/>
      <c r="E313" s="627"/>
      <c r="F313" s="627"/>
      <c r="G313" s="627"/>
      <c r="H313" s="627"/>
      <c r="I313" s="627"/>
      <c r="J313" s="627"/>
      <c r="K313" s="1705">
        <f>'Revenues 9-14'!H275-'Expenditures 15-22'!K312</f>
        <v>-1481958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1">
        <f>SUM(C319:J319)</f>
        <v>0</v>
      </c>
      <c r="L319" s="467">
        <v>0</v>
      </c>
      <c r="M319" s="666"/>
      <c r="N319" s="666"/>
    </row>
    <row r="320" spans="1:14" s="675" customFormat="1" x14ac:dyDescent="0.2">
      <c r="A320" s="1545" t="s">
        <v>1905</v>
      </c>
      <c r="B320" s="699" t="s">
        <v>300</v>
      </c>
      <c r="C320" s="467"/>
      <c r="D320" s="467"/>
      <c r="E320" s="467">
        <v>108200</v>
      </c>
      <c r="F320" s="467"/>
      <c r="G320" s="467"/>
      <c r="H320" s="467"/>
      <c r="I320" s="467"/>
      <c r="J320" s="467"/>
      <c r="K320" s="1691">
        <f t="shared" ref="K320:K327" si="24">SUM(C320:J320)</f>
        <v>108200</v>
      </c>
      <c r="L320" s="467">
        <v>120000</v>
      </c>
      <c r="M320" s="666"/>
      <c r="N320" s="666"/>
    </row>
    <row r="321" spans="1:14" s="675" customFormat="1" x14ac:dyDescent="0.2">
      <c r="A321" s="1541" t="s">
        <v>318</v>
      </c>
      <c r="B321" s="698" t="s">
        <v>301</v>
      </c>
      <c r="C321" s="467"/>
      <c r="D321" s="467"/>
      <c r="E321" s="467"/>
      <c r="F321" s="467"/>
      <c r="G321" s="467"/>
      <c r="H321" s="467"/>
      <c r="I321" s="467"/>
      <c r="J321" s="467"/>
      <c r="K321" s="1691">
        <f t="shared" si="24"/>
        <v>0</v>
      </c>
      <c r="L321" s="467">
        <v>3500</v>
      </c>
      <c r="M321" s="666"/>
      <c r="N321" s="666"/>
    </row>
    <row r="322" spans="1:14" s="675" customFormat="1" x14ac:dyDescent="0.2">
      <c r="A322" s="1541" t="s">
        <v>256</v>
      </c>
      <c r="B322" s="698" t="s">
        <v>302</v>
      </c>
      <c r="C322" s="467"/>
      <c r="D322" s="467"/>
      <c r="E322" s="467">
        <v>31788</v>
      </c>
      <c r="F322" s="467"/>
      <c r="G322" s="467"/>
      <c r="H322" s="467"/>
      <c r="I322" s="467"/>
      <c r="J322" s="467"/>
      <c r="K322" s="1691">
        <f t="shared" si="24"/>
        <v>31788</v>
      </c>
      <c r="L322" s="467">
        <v>24285</v>
      </c>
      <c r="M322" s="666"/>
      <c r="N322" s="666"/>
    </row>
    <row r="323" spans="1:14" s="675" customFormat="1" x14ac:dyDescent="0.2">
      <c r="A323" s="1541" t="s">
        <v>726</v>
      </c>
      <c r="B323" s="698" t="s">
        <v>303</v>
      </c>
      <c r="C323" s="467">
        <v>49743</v>
      </c>
      <c r="D323" s="467">
        <v>10338</v>
      </c>
      <c r="E323" s="467"/>
      <c r="F323" s="467"/>
      <c r="G323" s="467"/>
      <c r="H323" s="467"/>
      <c r="I323" s="467"/>
      <c r="J323" s="467"/>
      <c r="K323" s="1691">
        <f t="shared" si="24"/>
        <v>60081</v>
      </c>
      <c r="L323" s="467">
        <v>60342</v>
      </c>
      <c r="M323" s="666"/>
      <c r="N323" s="666"/>
    </row>
    <row r="324" spans="1:14" s="675" customFormat="1" x14ac:dyDescent="0.2">
      <c r="A324" s="1541" t="s">
        <v>257</v>
      </c>
      <c r="B324" s="698" t="s">
        <v>304</v>
      </c>
      <c r="C324" s="467"/>
      <c r="D324" s="467"/>
      <c r="E324" s="467"/>
      <c r="F324" s="467"/>
      <c r="G324" s="467"/>
      <c r="H324" s="467"/>
      <c r="I324" s="467"/>
      <c r="J324" s="467"/>
      <c r="K324" s="1691">
        <f t="shared" si="24"/>
        <v>0</v>
      </c>
      <c r="L324" s="467">
        <v>0</v>
      </c>
      <c r="M324" s="666"/>
      <c r="N324" s="666"/>
    </row>
    <row r="325" spans="1:14" s="675" customFormat="1" ht="22.5" x14ac:dyDescent="0.2">
      <c r="A325" s="1541" t="s">
        <v>1087</v>
      </c>
      <c r="B325" s="699" t="s">
        <v>305</v>
      </c>
      <c r="C325" s="467">
        <v>225108</v>
      </c>
      <c r="D325" s="467">
        <v>48594</v>
      </c>
      <c r="E325" s="467">
        <v>159162</v>
      </c>
      <c r="F325" s="467">
        <v>2483</v>
      </c>
      <c r="G325" s="467"/>
      <c r="H325" s="467"/>
      <c r="I325" s="467"/>
      <c r="J325" s="467"/>
      <c r="K325" s="1691">
        <f t="shared" si="24"/>
        <v>435347</v>
      </c>
      <c r="L325" s="467">
        <v>518300</v>
      </c>
      <c r="M325" s="666"/>
      <c r="N325" s="666"/>
    </row>
    <row r="326" spans="1:14" s="675" customFormat="1" x14ac:dyDescent="0.2">
      <c r="A326" s="1541" t="s">
        <v>1088</v>
      </c>
      <c r="B326" s="698" t="s">
        <v>306</v>
      </c>
      <c r="C326" s="467"/>
      <c r="D326" s="467"/>
      <c r="E326" s="467"/>
      <c r="F326" s="467"/>
      <c r="G326" s="467"/>
      <c r="H326" s="467"/>
      <c r="I326" s="467"/>
      <c r="J326" s="467"/>
      <c r="K326" s="1691">
        <f t="shared" si="24"/>
        <v>0</v>
      </c>
      <c r="L326" s="467">
        <v>0</v>
      </c>
      <c r="M326" s="666"/>
      <c r="N326" s="666"/>
    </row>
    <row r="327" spans="1:14" s="675" customFormat="1" x14ac:dyDescent="0.2">
      <c r="A327" s="1541" t="s">
        <v>1028</v>
      </c>
      <c r="B327" s="698" t="s">
        <v>307</v>
      </c>
      <c r="C327" s="467"/>
      <c r="D327" s="467"/>
      <c r="E327" s="467">
        <v>8315</v>
      </c>
      <c r="F327" s="467"/>
      <c r="G327" s="467"/>
      <c r="H327" s="467"/>
      <c r="I327" s="467"/>
      <c r="J327" s="467"/>
      <c r="K327" s="1691">
        <f t="shared" si="24"/>
        <v>8315</v>
      </c>
      <c r="L327" s="467">
        <v>10000</v>
      </c>
      <c r="M327" s="666"/>
      <c r="N327" s="666"/>
    </row>
    <row r="328" spans="1:14" s="675" customFormat="1" x14ac:dyDescent="0.2">
      <c r="A328" s="1542" t="s">
        <v>492</v>
      </c>
      <c r="B328" s="691" t="s">
        <v>1194</v>
      </c>
      <c r="C328" s="474"/>
      <c r="D328" s="474"/>
      <c r="E328" s="474">
        <v>48747</v>
      </c>
      <c r="F328" s="474"/>
      <c r="G328" s="474"/>
      <c r="H328" s="474"/>
      <c r="I328" s="474"/>
      <c r="J328" s="474"/>
      <c r="K328" s="1719">
        <f>SUM(C328:J328)</f>
        <v>48747</v>
      </c>
      <c r="L328" s="474">
        <v>48000</v>
      </c>
      <c r="M328" s="666"/>
      <c r="N328" s="666"/>
    </row>
    <row r="329" spans="1:14" s="675" customFormat="1" x14ac:dyDescent="0.2">
      <c r="A329" s="1542" t="s">
        <v>1195</v>
      </c>
      <c r="B329" s="691" t="s">
        <v>1196</v>
      </c>
      <c r="C329" s="474"/>
      <c r="D329" s="474"/>
      <c r="E329" s="474">
        <v>10421</v>
      </c>
      <c r="F329" s="474"/>
      <c r="G329" s="474"/>
      <c r="H329" s="474"/>
      <c r="I329" s="474"/>
      <c r="J329" s="474"/>
      <c r="K329" s="1719">
        <f>SUM(C329:J329)</f>
        <v>10421</v>
      </c>
      <c r="L329" s="474">
        <v>11000</v>
      </c>
      <c r="M329" s="666"/>
      <c r="N329" s="666"/>
    </row>
    <row r="330" spans="1:14" s="675" customFormat="1" ht="12.75" customHeight="1" thickBot="1" x14ac:dyDescent="0.25">
      <c r="A330" s="1720" t="s">
        <v>741</v>
      </c>
      <c r="B330" s="1689" t="s">
        <v>590</v>
      </c>
      <c r="C330" s="1690">
        <f>SUM(C319:C329)</f>
        <v>274851</v>
      </c>
      <c r="D330" s="1690">
        <f t="shared" ref="D330:J330" si="25">SUM(D319:D329)</f>
        <v>58932</v>
      </c>
      <c r="E330" s="1690">
        <f t="shared" si="25"/>
        <v>366633</v>
      </c>
      <c r="F330" s="1690">
        <f t="shared" si="25"/>
        <v>2483</v>
      </c>
      <c r="G330" s="1690">
        <f t="shared" si="25"/>
        <v>0</v>
      </c>
      <c r="H330" s="1690">
        <f t="shared" si="25"/>
        <v>0</v>
      </c>
      <c r="I330" s="1690">
        <f t="shared" si="25"/>
        <v>0</v>
      </c>
      <c r="J330" s="1690">
        <f t="shared" si="25"/>
        <v>0</v>
      </c>
      <c r="K330" s="1690">
        <f>SUM(K319:K329)</f>
        <v>702899</v>
      </c>
      <c r="L330" s="1690">
        <f>SUM(L319:L329)</f>
        <v>795427</v>
      </c>
      <c r="M330" s="666"/>
      <c r="N330" s="666"/>
    </row>
    <row r="331" spans="1:14" s="675" customFormat="1" ht="12.75" customHeight="1" thickTop="1" x14ac:dyDescent="0.2">
      <c r="A331" s="1852" t="s">
        <v>1960</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1954</v>
      </c>
      <c r="C332" s="1854"/>
      <c r="D332" s="1854"/>
      <c r="E332" s="1854"/>
      <c r="F332" s="1854"/>
      <c r="G332" s="1854"/>
      <c r="H332" s="467"/>
      <c r="I332" s="1854"/>
      <c r="J332" s="1854"/>
      <c r="K332" s="1691">
        <f>H332</f>
        <v>0</v>
      </c>
      <c r="L332" s="467">
        <v>0</v>
      </c>
      <c r="M332" s="666"/>
      <c r="N332" s="666"/>
    </row>
    <row r="333" spans="1:14" s="675" customFormat="1" ht="12.75" customHeight="1" x14ac:dyDescent="0.2">
      <c r="A333" s="1853" t="s">
        <v>322</v>
      </c>
      <c r="B333" s="1848" t="s">
        <v>1956</v>
      </c>
      <c r="C333" s="1854"/>
      <c r="D333" s="1854"/>
      <c r="E333" s="1854"/>
      <c r="F333" s="1854"/>
      <c r="G333" s="1854"/>
      <c r="H333" s="467"/>
      <c r="I333" s="1854"/>
      <c r="J333" s="1854"/>
      <c r="K333" s="1691">
        <f>H333</f>
        <v>0</v>
      </c>
      <c r="L333" s="467">
        <v>0</v>
      </c>
      <c r="M333" s="666"/>
      <c r="N333" s="666"/>
    </row>
    <row r="334" spans="1:14" s="675" customFormat="1" ht="12.75" customHeight="1" thickBot="1" x14ac:dyDescent="0.25">
      <c r="A334" s="1853" t="s">
        <v>1961</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1">
        <f>H337</f>
        <v>0</v>
      </c>
      <c r="L337" s="478">
        <v>0</v>
      </c>
    </row>
    <row r="338" spans="1:14" ht="12.75" customHeight="1" x14ac:dyDescent="0.2">
      <c r="A338" s="1540" t="s">
        <v>1232</v>
      </c>
      <c r="B338" s="691" t="s">
        <v>638</v>
      </c>
      <c r="C338" s="639"/>
      <c r="D338" s="639"/>
      <c r="E338" s="639"/>
      <c r="F338" s="639"/>
      <c r="G338" s="639"/>
      <c r="H338" s="478"/>
      <c r="I338" s="639"/>
      <c r="J338" s="639"/>
      <c r="K338" s="1691">
        <f>H338</f>
        <v>0</v>
      </c>
      <c r="L338" s="478">
        <v>0</v>
      </c>
    </row>
    <row r="339" spans="1:14" x14ac:dyDescent="0.2">
      <c r="A339" s="1526" t="s">
        <v>957</v>
      </c>
      <c r="B339" s="629">
        <v>5150</v>
      </c>
      <c r="C339" s="639"/>
      <c r="D339" s="639"/>
      <c r="E339" s="639"/>
      <c r="F339" s="639"/>
      <c r="G339" s="639"/>
      <c r="H339" s="467"/>
      <c r="I339" s="639"/>
      <c r="J339" s="639"/>
      <c r="K339" s="1691">
        <f>H339</f>
        <v>0</v>
      </c>
      <c r="L339" s="467">
        <v>0</v>
      </c>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6" t="s">
        <v>526</v>
      </c>
      <c r="B342" s="1721"/>
      <c r="C342" s="1690">
        <f>SUM(C330)</f>
        <v>274851</v>
      </c>
      <c r="D342" s="1690">
        <f>SUM(D330)</f>
        <v>58932</v>
      </c>
      <c r="E342" s="1690">
        <f>SUM(E330)</f>
        <v>366633</v>
      </c>
      <c r="F342" s="1690">
        <f>SUM(F330)</f>
        <v>2483</v>
      </c>
      <c r="G342" s="1690">
        <f>SUM(G330)</f>
        <v>0</v>
      </c>
      <c r="H342" s="1690">
        <f>SUM(H330,H334,H340)</f>
        <v>0</v>
      </c>
      <c r="I342" s="1690">
        <f>SUM(I330)</f>
        <v>0</v>
      </c>
      <c r="J342" s="1690">
        <f>SUM(J330)</f>
        <v>0</v>
      </c>
      <c r="K342" s="1690">
        <f>SUM(K330,K334,K340)</f>
        <v>702899</v>
      </c>
      <c r="L342" s="1697">
        <f>SUM(L330,L340,L341)</f>
        <v>795427</v>
      </c>
    </row>
    <row r="343" spans="1:14" ht="12.75" customHeight="1" thickTop="1" x14ac:dyDescent="0.2">
      <c r="A343" s="2186" t="s">
        <v>1053</v>
      </c>
      <c r="B343" s="2187"/>
      <c r="C343" s="617"/>
      <c r="D343" s="617"/>
      <c r="E343" s="617"/>
      <c r="F343" s="617"/>
      <c r="G343" s="617"/>
      <c r="H343" s="617"/>
      <c r="I343" s="617"/>
      <c r="J343" s="617"/>
      <c r="K343" s="1704">
        <f>'Revenues 9-14'!J275-'Expenditures 15-22'!K342</f>
        <v>-97845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5491</v>
      </c>
      <c r="F348" s="466"/>
      <c r="G348" s="466">
        <v>378700</v>
      </c>
      <c r="H348" s="466"/>
      <c r="I348" s="467"/>
      <c r="J348" s="467"/>
      <c r="K348" s="1691">
        <f>SUM(C348:J348)</f>
        <v>384191</v>
      </c>
      <c r="L348" s="466">
        <v>583200</v>
      </c>
    </row>
    <row r="349" spans="1:14" x14ac:dyDescent="0.2">
      <c r="A349" s="1526" t="s">
        <v>206</v>
      </c>
      <c r="B349" s="615">
        <v>2540</v>
      </c>
      <c r="C349" s="466"/>
      <c r="D349" s="466"/>
      <c r="E349" s="466"/>
      <c r="F349" s="466"/>
      <c r="G349" s="466"/>
      <c r="H349" s="466"/>
      <c r="I349" s="467"/>
      <c r="J349" s="467"/>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5491</v>
      </c>
      <c r="F350" s="1690">
        <f t="shared" si="26"/>
        <v>0</v>
      </c>
      <c r="G350" s="1690">
        <f t="shared" si="26"/>
        <v>378700</v>
      </c>
      <c r="H350" s="1690">
        <f t="shared" si="26"/>
        <v>0</v>
      </c>
      <c r="I350" s="1690">
        <f t="shared" si="26"/>
        <v>0</v>
      </c>
      <c r="J350" s="1690">
        <f t="shared" si="26"/>
        <v>0</v>
      </c>
      <c r="K350" s="1690">
        <f t="shared" si="26"/>
        <v>384191</v>
      </c>
      <c r="L350" s="1690">
        <f t="shared" si="26"/>
        <v>583200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88" t="s">
        <v>645</v>
      </c>
      <c r="B352" s="1695" t="s">
        <v>590</v>
      </c>
      <c r="C352" s="1690">
        <f>SUM(C350:C351)</f>
        <v>0</v>
      </c>
      <c r="D352" s="1690">
        <f t="shared" ref="D352:L352" si="27">SUM(D350:D351)</f>
        <v>0</v>
      </c>
      <c r="E352" s="1690">
        <f t="shared" si="27"/>
        <v>5491</v>
      </c>
      <c r="F352" s="1690">
        <f t="shared" si="27"/>
        <v>0</v>
      </c>
      <c r="G352" s="1690">
        <f t="shared" si="27"/>
        <v>378700</v>
      </c>
      <c r="H352" s="1690">
        <f t="shared" si="27"/>
        <v>0</v>
      </c>
      <c r="I352" s="1690">
        <f t="shared" si="27"/>
        <v>0</v>
      </c>
      <c r="J352" s="1690">
        <f t="shared" si="27"/>
        <v>0</v>
      </c>
      <c r="K352" s="1690">
        <f t="shared" si="27"/>
        <v>384191</v>
      </c>
      <c r="L352" s="1690">
        <f t="shared" si="27"/>
        <v>583200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5" t="s">
        <v>1962</v>
      </c>
      <c r="B354" s="684" t="s">
        <v>1954</v>
      </c>
      <c r="C354" s="617"/>
      <c r="D354" s="617"/>
      <c r="E354" s="617"/>
      <c r="F354" s="617"/>
      <c r="G354" s="617"/>
      <c r="H354" s="474"/>
      <c r="I354" s="702"/>
      <c r="J354" s="617"/>
      <c r="K354" s="1719">
        <f>H354</f>
        <v>0</v>
      </c>
      <c r="L354" s="471">
        <v>0</v>
      </c>
    </row>
    <row r="355" spans="1:14" ht="12.75" customHeight="1" x14ac:dyDescent="0.2">
      <c r="A355" s="1535" t="s">
        <v>1963</v>
      </c>
      <c r="B355" s="691" t="s">
        <v>1956</v>
      </c>
      <c r="C355" s="617"/>
      <c r="D355" s="617"/>
      <c r="E355" s="617"/>
      <c r="F355" s="617"/>
      <c r="G355" s="617"/>
      <c r="H355" s="467"/>
      <c r="I355" s="702"/>
      <c r="J355" s="617"/>
      <c r="K355" s="1763">
        <f>H355</f>
        <v>0</v>
      </c>
      <c r="L355" s="467">
        <v>0</v>
      </c>
    </row>
    <row r="356" spans="1:14" ht="12.75" customHeight="1" x14ac:dyDescent="0.2">
      <c r="A356" s="1855" t="s">
        <v>722</v>
      </c>
      <c r="B356" s="684" t="s">
        <v>579</v>
      </c>
      <c r="C356" s="617"/>
      <c r="D356" s="617"/>
      <c r="E356" s="617"/>
      <c r="F356" s="617"/>
      <c r="G356" s="617"/>
      <c r="H356" s="479"/>
      <c r="I356" s="702"/>
      <c r="J356" s="617"/>
      <c r="K356" s="1760">
        <f>H356</f>
        <v>0</v>
      </c>
      <c r="L356" s="479">
        <v>0</v>
      </c>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1">
        <f>SUM(C360:J360)</f>
        <v>0</v>
      </c>
      <c r="L360" s="466">
        <v>0</v>
      </c>
    </row>
    <row r="361" spans="1:14" ht="12.75" customHeight="1" x14ac:dyDescent="0.2">
      <c r="A361" s="1527" t="s">
        <v>640</v>
      </c>
      <c r="B361" s="603" t="s">
        <v>639</v>
      </c>
      <c r="C361" s="617"/>
      <c r="D361" s="617"/>
      <c r="E361" s="617"/>
      <c r="F361" s="617"/>
      <c r="G361" s="617"/>
      <c r="H361" s="467"/>
      <c r="I361" s="617"/>
      <c r="J361" s="617"/>
      <c r="K361" s="1691">
        <f>SUM(C361:J361)</f>
        <v>0</v>
      </c>
      <c r="L361" s="466">
        <v>0</v>
      </c>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v>0</v>
      </c>
    </row>
    <row r="365" spans="1:14" s="675" customFormat="1" ht="12.75" customHeight="1" thickBot="1" x14ac:dyDescent="0.25">
      <c r="A365" s="1543"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2" t="s">
        <v>526</v>
      </c>
      <c r="B367" s="1724"/>
      <c r="C367" s="1690">
        <f t="shared" ref="C367:L367" si="28">SUM(C352,C357,C365,C366)</f>
        <v>0</v>
      </c>
      <c r="D367" s="1690">
        <f t="shared" si="28"/>
        <v>0</v>
      </c>
      <c r="E367" s="1690">
        <f t="shared" si="28"/>
        <v>5491</v>
      </c>
      <c r="F367" s="1690">
        <f t="shared" si="28"/>
        <v>0</v>
      </c>
      <c r="G367" s="1690">
        <f t="shared" si="28"/>
        <v>378700</v>
      </c>
      <c r="H367" s="1690">
        <f t="shared" si="28"/>
        <v>0</v>
      </c>
      <c r="I367" s="1690">
        <f t="shared" si="28"/>
        <v>0</v>
      </c>
      <c r="J367" s="1690">
        <f t="shared" si="28"/>
        <v>0</v>
      </c>
      <c r="K367" s="1690">
        <f t="shared" si="28"/>
        <v>384191</v>
      </c>
      <c r="L367" s="1690">
        <f t="shared" si="28"/>
        <v>583200</v>
      </c>
    </row>
    <row r="368" spans="1:14" ht="13.5" thickTop="1" x14ac:dyDescent="0.2">
      <c r="A368" s="2173" t="s">
        <v>1053</v>
      </c>
      <c r="B368" s="2174"/>
      <c r="C368" s="655"/>
      <c r="D368" s="655"/>
      <c r="E368" s="627"/>
      <c r="F368" s="627"/>
      <c r="G368" s="627"/>
      <c r="H368" s="627"/>
      <c r="I368" s="627"/>
      <c r="J368" s="624"/>
      <c r="K368" s="1691">
        <f>'Revenues 9-14'!K275-'Expenditures 15-22'!K367</f>
        <v>-115923</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purl.org/dc/dcmitype/"/>
    <ds:schemaRef ds:uri="http://schemas.microsoft.com/office/infopath/2007/PartnerControls"/>
    <ds:schemaRef ds:uri="http://schemas.microsoft.com/office/2006/documentManagement/types"/>
    <ds:schemaRef ds:uri="http://purl.org/dc/elements/1.1/"/>
    <ds:schemaRef ds:uri="4d435f69-8686-490b-bd6d-b153bf22ab50"/>
    <ds:schemaRef ds:uri="http://purl.org/dc/terms/"/>
    <ds:schemaRef ds:uri="http://schemas.openxmlformats.org/package/2006/metadata/core-properties"/>
    <ds:schemaRef ds:uri="d21dc803-237d-4c68-8692-8d731fd29118"/>
    <ds:schemaRef ds:uri="6ce3111e-7420-4802-b50a-75d4e9a0b980"/>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2018-12-14T15:08:53Z</cp:lastPrinted>
  <dcterms:created xsi:type="dcterms:W3CDTF">2003-10-29T19:06:34Z</dcterms:created>
  <dcterms:modified xsi:type="dcterms:W3CDTF">2018-12-19T17:01:54Z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