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18" sheetId="183"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8">' SEFA'!$B$1:$M$46</definedName>
    <definedName name="_xlnm.Print_Area" localSheetId="27">'SEFA NOTES'!$A$1:$F$57</definedName>
    <definedName name="_xlnm.Print_Area" localSheetId="26">'SEFA Reconcile'!$A$1:$E$49</definedName>
    <definedName name="_xlnm.Print_Area" localSheetId="29">SEFA18!$A$11:$L$94</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SEFA18!$A$14:$L$83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SEFA18!$1:$11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2" i="183" l="1"/>
  <c r="K60" i="183"/>
  <c r="E65" i="183"/>
  <c r="G65" i="183"/>
  <c r="I65" i="183"/>
  <c r="I80" i="183" l="1"/>
  <c r="I85" i="183" s="1"/>
  <c r="H80" i="183"/>
  <c r="G80" i="183"/>
  <c r="F80" i="183"/>
  <c r="E80" i="183"/>
  <c r="K79" i="183"/>
  <c r="K78" i="183"/>
  <c r="K80" i="183" s="1"/>
  <c r="I72" i="183"/>
  <c r="H72" i="183"/>
  <c r="G72" i="183"/>
  <c r="F72" i="183"/>
  <c r="E72" i="183"/>
  <c r="K71" i="183"/>
  <c r="K72" i="183" s="1"/>
  <c r="K63" i="183"/>
  <c r="F63" i="183"/>
  <c r="F65" i="183" s="1"/>
  <c r="K55" i="183"/>
  <c r="H54" i="183"/>
  <c r="K52" i="183"/>
  <c r="K51" i="183"/>
  <c r="K49" i="183"/>
  <c r="H48" i="183"/>
  <c r="K48" i="183" s="1"/>
  <c r="K46" i="183"/>
  <c r="H45" i="183"/>
  <c r="K44" i="183"/>
  <c r="K43" i="183"/>
  <c r="K42" i="183"/>
  <c r="K40" i="183"/>
  <c r="H39" i="183"/>
  <c r="K37" i="183"/>
  <c r="I31" i="183"/>
  <c r="H31" i="183"/>
  <c r="G38" i="174" s="1"/>
  <c r="G31" i="183"/>
  <c r="F31" i="183"/>
  <c r="E31" i="183"/>
  <c r="K30" i="183"/>
  <c r="K29" i="183"/>
  <c r="K27" i="183"/>
  <c r="K26" i="183"/>
  <c r="K23" i="183"/>
  <c r="K22" i="183"/>
  <c r="K20" i="183"/>
  <c r="K19" i="183"/>
  <c r="K17" i="183"/>
  <c r="K16" i="183"/>
  <c r="H9" i="183"/>
  <c r="G9" i="183"/>
  <c r="H8" i="183"/>
  <c r="K85" i="183" l="1"/>
  <c r="E82" i="183"/>
  <c r="H65" i="183"/>
  <c r="H82" i="183" s="1"/>
  <c r="F85" i="183"/>
  <c r="E85" i="183"/>
  <c r="H85" i="183"/>
  <c r="E84" i="183"/>
  <c r="E87" i="183" s="1"/>
  <c r="I84" i="183"/>
  <c r="I87" i="183" s="1"/>
  <c r="G84" i="183"/>
  <c r="G82" i="183"/>
  <c r="K31" i="183"/>
  <c r="I82" i="183"/>
  <c r="F82" i="183"/>
  <c r="K54" i="183"/>
  <c r="K39" i="183"/>
  <c r="K45" i="183"/>
  <c r="G85" i="183"/>
  <c r="K65" i="183" l="1"/>
  <c r="G87" i="183"/>
  <c r="H84" i="183"/>
  <c r="H87" i="183" s="1"/>
  <c r="D45" i="174" s="1"/>
  <c r="F84" i="183"/>
  <c r="F87" i="183" s="1"/>
  <c r="K84" i="183" l="1"/>
  <c r="K87" i="183" s="1"/>
  <c r="K82"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D7733" i="106" s="1"/>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c r="B6664" i="106"/>
  <c r="D6664" i="106" s="1"/>
  <c r="B6665" i="106"/>
  <c r="D6665" i="106" s="1"/>
  <c r="B6668" i="106"/>
  <c r="D6668" i="106" s="1"/>
  <c r="B6672" i="106"/>
  <c r="D6672" i="106" s="1"/>
  <c r="B6673" i="106"/>
  <c r="D6673" i="106" s="1"/>
  <c r="B6676" i="106"/>
  <c r="D6676" i="106" s="1"/>
  <c r="B6680" i="106"/>
  <c r="D6680" i="106" s="1"/>
  <c r="B6681" i="106"/>
  <c r="D6681" i="106" s="1"/>
  <c r="B6684" i="106"/>
  <c r="D6684" i="106"/>
  <c r="B6688" i="106"/>
  <c r="D6688" i="106" s="1"/>
  <c r="B6689" i="106"/>
  <c r="D6689" i="106" s="1"/>
  <c r="B6698" i="106"/>
  <c r="D6698" i="106"/>
  <c r="B6702" i="106"/>
  <c r="D6702" i="106" s="1"/>
  <c r="B6703" i="106"/>
  <c r="D6703" i="106" s="1"/>
  <c r="B6706" i="106"/>
  <c r="D6706" i="106" s="1"/>
  <c r="B6710" i="106"/>
  <c r="D6710" i="106" s="1"/>
  <c r="B6711" i="106"/>
  <c r="D6711" i="106" s="1"/>
  <c r="B6718" i="106"/>
  <c r="D6718" i="106" s="1"/>
  <c r="B6719" i="106"/>
  <c r="D6719" i="106"/>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J22" i="37"/>
  <c r="L5" i="11" l="1"/>
  <c r="B2056" i="106" s="1"/>
  <c r="D2056" i="106" s="1"/>
  <c r="J49" i="8"/>
  <c r="B4172" i="106" s="1"/>
  <c r="D4172" i="106" s="1"/>
  <c r="D22" i="37"/>
  <c r="D24" i="37"/>
  <c r="B4270" i="106" s="1"/>
  <c r="D4270" i="106" s="1"/>
  <c r="D31" i="36"/>
  <c r="D11" i="37"/>
  <c r="H33" i="118"/>
  <c r="H29" i="118"/>
  <c r="I24" i="12"/>
  <c r="I26" i="12" s="1"/>
  <c r="B7741" i="106" s="1"/>
  <c r="D7741" i="106" s="1"/>
  <c r="H28" i="118"/>
  <c r="L15" i="11"/>
  <c r="B3459" i="106" s="1"/>
  <c r="D3459" i="106" s="1"/>
  <c r="F21" i="8"/>
  <c r="B1879" i="106" s="1"/>
  <c r="D1879" i="106" s="1"/>
  <c r="D54" i="36"/>
  <c r="I274" i="5"/>
  <c r="B4435" i="106" s="1"/>
  <c r="D4435" i="106" s="1"/>
  <c r="B2734" i="106"/>
  <c r="D2734" i="106" s="1"/>
  <c r="L13" i="11"/>
  <c r="B2060" i="106" s="1"/>
  <c r="D2060"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K28" i="118" l="1"/>
  <c r="O27" i="118" s="1"/>
  <c r="O29" i="118" s="1"/>
  <c r="N22" i="3"/>
  <c r="B283" i="106" s="1"/>
  <c r="D283" i="106" s="1"/>
  <c r="B1996" i="106"/>
  <c r="D1996" i="106" s="1"/>
  <c r="I7" i="4"/>
  <c r="B4444" i="106" s="1"/>
  <c r="D4444" i="106" s="1"/>
  <c r="L16" i="11"/>
  <c r="B2061" i="106" s="1"/>
  <c r="D2061" i="106" s="1"/>
  <c r="J24" i="12"/>
  <c r="J26" i="12" s="1"/>
  <c r="B7742" i="106" s="1"/>
  <c r="D7742" i="106" s="1"/>
  <c r="H22" i="37"/>
  <c r="B7760" i="106"/>
  <c r="D7760" i="106" s="1"/>
  <c r="D24" i="36"/>
  <c r="B2917" i="106"/>
  <c r="D2917" i="106" s="1"/>
  <c r="D53" i="36"/>
  <c r="B1875" i="106"/>
  <c r="D1875" i="106" s="1"/>
  <c r="F22" i="37"/>
  <c r="B1983" i="106"/>
  <c r="D1983" i="106" s="1"/>
  <c r="H26" i="12"/>
  <c r="B7740" i="106" s="1"/>
  <c r="D7740" i="106" s="1"/>
  <c r="A7258" i="106"/>
  <c r="B1958" i="106"/>
  <c r="D1958" i="106" s="1"/>
  <c r="G26" i="12"/>
  <c r="B7739" i="106" s="1"/>
  <c r="D7739" i="106" s="1"/>
  <c r="B4171" i="106"/>
  <c r="D4171" i="106" s="1"/>
  <c r="N36" i="3"/>
  <c r="B7298" i="106"/>
  <c r="B7299" i="106"/>
  <c r="F24" i="37" l="1"/>
  <c r="B7732" i="106"/>
  <c r="D773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781" i="106" l="1"/>
  <c r="D7781" i="106" s="1"/>
  <c r="K159" i="29"/>
  <c r="B7782" i="106" s="1"/>
  <c r="D7782" i="106" s="1"/>
  <c r="K158" i="29"/>
  <c r="B7780" i="106" s="1"/>
  <c r="D7780" i="106" s="1"/>
  <c r="B7779" i="106"/>
  <c r="D7779" i="106" s="1"/>
  <c r="K354" i="29"/>
  <c r="B7791" i="106"/>
  <c r="D7791" i="106" s="1"/>
  <c r="B7236" i="106"/>
  <c r="D7236" i="106" s="1"/>
  <c r="B7775" i="106" l="1"/>
  <c r="D7775" i="106" s="1"/>
  <c r="B7774" i="106"/>
  <c r="D7774" i="106" s="1"/>
  <c r="K133" i="29"/>
  <c r="K282" i="29"/>
  <c r="B7783" i="106"/>
  <c r="D7783" i="106" s="1"/>
  <c r="K333" i="29"/>
  <c r="B7788" i="106" s="1"/>
  <c r="D7788" i="106" s="1"/>
  <c r="B7787" i="106"/>
  <c r="D7787" i="106" s="1"/>
  <c r="L334" i="29"/>
  <c r="H334" i="29"/>
  <c r="B7789" i="106" s="1"/>
  <c r="D7789" i="106" s="1"/>
  <c r="K332" i="29"/>
  <c r="B7785" i="106"/>
  <c r="D7785" i="106" s="1"/>
  <c r="B7792" i="106"/>
  <c r="D7792" i="106" s="1"/>
  <c r="B3673" i="106"/>
  <c r="D3673" i="106" s="1"/>
  <c r="K355" i="29"/>
  <c r="B7793" i="106"/>
  <c r="D7793" i="106" s="1"/>
  <c r="B7237" i="106"/>
  <c r="D7237" i="106" s="1"/>
  <c r="B7776" i="106" l="1"/>
  <c r="D7776" i="106" s="1"/>
  <c r="B7784" i="106"/>
  <c r="D7784" i="106" s="1"/>
  <c r="B7786" i="106"/>
  <c r="D7786" i="106" s="1"/>
  <c r="K334" i="29"/>
  <c r="B7794" i="106"/>
  <c r="D7794" i="106" s="1"/>
  <c r="B3674" i="106"/>
  <c r="D3674" i="106" s="1"/>
  <c r="F74" i="34" l="1"/>
  <c r="J15" i="4"/>
  <c r="B7796" i="106" s="1"/>
  <c r="D7796" i="106" s="1"/>
  <c r="B7790" i="106"/>
  <c r="D7790"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1366" i="106"/>
  <c r="D1366" i="106" s="1"/>
  <c r="B7059" i="106"/>
  <c r="D7059"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7065" i="106"/>
  <c r="D7065" i="106" s="1"/>
  <c r="B7066" i="106"/>
  <c r="D7066" i="106" s="1"/>
  <c r="B2996" i="106"/>
  <c r="D2996" i="106" s="1"/>
  <c r="B2997" i="106"/>
  <c r="D2997" i="106" s="1"/>
  <c r="B2999" i="106"/>
  <c r="D2999" i="106" s="1"/>
  <c r="B3000" i="106"/>
  <c r="D3000"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973" i="106"/>
  <c r="D973"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43" i="29" l="1"/>
  <c r="B5331" i="106"/>
  <c r="D5331" i="106" s="1"/>
  <c r="B5872" i="106"/>
  <c r="D5872" i="106" s="1"/>
  <c r="D42" i="36"/>
  <c r="K12" i="5"/>
  <c r="B3411" i="106"/>
  <c r="D3411" i="106" s="1"/>
  <c r="B5063" i="106"/>
  <c r="D5063" i="106" s="1"/>
  <c r="B6941" i="106"/>
  <c r="D6941" i="106" s="1"/>
  <c r="B5022" i="106"/>
  <c r="D5022" i="106" s="1"/>
  <c r="C76" i="4"/>
  <c r="B3231" i="106" s="1"/>
  <c r="D3231" i="106" s="1"/>
  <c r="K105" i="29"/>
  <c r="B1048" i="106"/>
  <c r="D1048" i="106" s="1"/>
  <c r="K95" i="29"/>
  <c r="B7001" i="106" s="1"/>
  <c r="D7001" i="106" s="1"/>
  <c r="B7000" i="106"/>
  <c r="D7000" i="106" s="1"/>
  <c r="B6983" i="106"/>
  <c r="D6983" i="106" s="1"/>
  <c r="K86" i="29"/>
  <c r="B6984" i="106" s="1"/>
  <c r="D6984" i="106" s="1"/>
  <c r="B1033" i="106"/>
  <c r="D1033" i="106" s="1"/>
  <c r="B975" i="106"/>
  <c r="D975" i="106" s="1"/>
  <c r="B1031" i="106"/>
  <c r="D1031" i="106" s="1"/>
  <c r="B1030" i="106"/>
  <c r="D1030" i="106" s="1"/>
  <c r="K59" i="29"/>
  <c r="H57" i="29"/>
  <c r="B1027" i="106" s="1"/>
  <c r="D1027" i="106" s="1"/>
  <c r="B1025" i="106"/>
  <c r="D1025" i="106" s="1"/>
  <c r="B1022" i="106"/>
  <c r="D1022" i="106" s="1"/>
  <c r="H53" i="29"/>
  <c r="B1024" i="106" s="1"/>
  <c r="D1024" i="106" s="1"/>
  <c r="B1018" i="106"/>
  <c r="D1018" i="106" s="1"/>
  <c r="H47" i="29"/>
  <c r="B1021" i="106" s="1"/>
  <c r="D1021" i="106" s="1"/>
  <c r="B1011" i="106"/>
  <c r="D1011" i="106" s="1"/>
  <c r="H42" i="29"/>
  <c r="B6896" i="106"/>
  <c r="D6896" i="106" s="1"/>
  <c r="K30" i="29"/>
  <c r="B6880" i="106"/>
  <c r="D6880" i="106" s="1"/>
  <c r="K22" i="29"/>
  <c r="B7253" i="106"/>
  <c r="D7253" i="106" s="1"/>
  <c r="B821" i="106"/>
  <c r="D821" i="106" s="1"/>
  <c r="B6825" i="106"/>
  <c r="D6825" i="106" s="1"/>
  <c r="B5086" i="106"/>
  <c r="D5086" i="106" s="1"/>
  <c r="B5080" i="106"/>
  <c r="D5080" i="106" s="1"/>
  <c r="B5107" i="106"/>
  <c r="D5107" i="106" s="1"/>
  <c r="F98" i="34"/>
  <c r="B1049" i="106"/>
  <c r="D1049" i="106" s="1"/>
  <c r="K106" i="29"/>
  <c r="B1147" i="106" s="1"/>
  <c r="D1147" i="106" s="1"/>
  <c r="B6938" i="106"/>
  <c r="D6938" i="106" s="1"/>
  <c r="I47" i="29"/>
  <c r="B6924" i="106" s="1"/>
  <c r="D6924" i="106" s="1"/>
  <c r="B6918" i="106"/>
  <c r="D6918" i="106" s="1"/>
  <c r="L110" i="29"/>
  <c r="L112" i="29" s="1"/>
  <c r="B7748" i="106"/>
  <c r="D7748" i="106" s="1"/>
  <c r="K94" i="29"/>
  <c r="B6999" i="106" s="1"/>
  <c r="D6999" i="106" s="1"/>
  <c r="B6998" i="106"/>
  <c r="D6998" i="106" s="1"/>
  <c r="H92" i="29"/>
  <c r="B6981" i="106"/>
  <c r="D6981" i="106" s="1"/>
  <c r="K85" i="29"/>
  <c r="B6982" i="106" s="1"/>
  <c r="D6982" i="106" s="1"/>
  <c r="B2951" i="106"/>
  <c r="D2951" i="106" s="1"/>
  <c r="K80" i="29"/>
  <c r="B2975" i="106" s="1"/>
  <c r="D2975" i="106" s="1"/>
  <c r="G72" i="29"/>
  <c r="B985" i="106" s="1"/>
  <c r="D985" i="106" s="1"/>
  <c r="B978" i="106"/>
  <c r="D978" i="106" s="1"/>
  <c r="B970" i="106"/>
  <c r="D970" i="106" s="1"/>
  <c r="B967" i="106"/>
  <c r="D967" i="106" s="1"/>
  <c r="G57" i="29"/>
  <c r="B969" i="106" s="1"/>
  <c r="D969" i="106" s="1"/>
  <c r="B964" i="106"/>
  <c r="D964" i="106" s="1"/>
  <c r="G53" i="29"/>
  <c r="B966" i="106" s="1"/>
  <c r="D966" i="106" s="1"/>
  <c r="B960" i="106"/>
  <c r="D960" i="106" s="1"/>
  <c r="G47" i="29"/>
  <c r="B963" i="106" s="1"/>
  <c r="D963" i="106" s="1"/>
  <c r="G42" i="29"/>
  <c r="B953" i="106"/>
  <c r="D953" i="106" s="1"/>
  <c r="B6894" i="106"/>
  <c r="D6894" i="106" s="1"/>
  <c r="K29" i="29"/>
  <c r="B6878" i="106"/>
  <c r="D6878" i="106" s="1"/>
  <c r="K21" i="29"/>
  <c r="B763" i="106"/>
  <c r="D763" i="106" s="1"/>
  <c r="D33" i="29"/>
  <c r="B5065" i="106"/>
  <c r="D5065" i="106" s="1"/>
  <c r="K96" i="29"/>
  <c r="B7003" i="106" s="1"/>
  <c r="D7003" i="106" s="1"/>
  <c r="B7002" i="106"/>
  <c r="D7002" i="106" s="1"/>
  <c r="K93" i="29"/>
  <c r="H100" i="29"/>
  <c r="B7012" i="106" s="1"/>
  <c r="D7012" i="106" s="1"/>
  <c r="B6996" i="106"/>
  <c r="D6996" i="106" s="1"/>
  <c r="B925" i="106"/>
  <c r="D925"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K28" i="29"/>
  <c r="B6892" i="106"/>
  <c r="D6892" i="106" s="1"/>
  <c r="K20" i="29"/>
  <c r="B6876" i="106"/>
  <c r="D6876" i="106" s="1"/>
  <c r="B3367" i="106"/>
  <c r="D3367" i="106" s="1"/>
  <c r="K18" i="29"/>
  <c r="B1100" i="106" s="1"/>
  <c r="D1100" i="106" s="1"/>
  <c r="B712" i="106"/>
  <c r="D712" i="106" s="1"/>
  <c r="K17" i="29"/>
  <c r="B6871" i="106" s="1"/>
  <c r="D6871" i="106" s="1"/>
  <c r="B7263" i="106"/>
  <c r="D7263" i="106" s="1"/>
  <c r="C33" i="29"/>
  <c r="B719" i="106"/>
  <c r="D719" i="106" s="1"/>
  <c r="K15" i="29"/>
  <c r="B718" i="106"/>
  <c r="D718" i="106" s="1"/>
  <c r="K14" i="29"/>
  <c r="B1106" i="106" s="1"/>
  <c r="D1106" i="106" s="1"/>
  <c r="B717" i="106"/>
  <c r="D717" i="106" s="1"/>
  <c r="B716" i="106"/>
  <c r="D716" i="106" s="1"/>
  <c r="K12" i="29"/>
  <c r="B7257" i="106"/>
  <c r="D7257" i="106" s="1"/>
  <c r="B3055" i="106"/>
  <c r="D3055" i="106" s="1"/>
  <c r="K10" i="29"/>
  <c r="B3062" i="106" s="1"/>
  <c r="D3062" i="106" s="1"/>
  <c r="B7251" i="106"/>
  <c r="D7251" i="106" s="1"/>
  <c r="K8" i="29"/>
  <c r="B3380" i="106" s="1"/>
  <c r="D3380" i="106" s="1"/>
  <c r="B3366" i="106"/>
  <c r="D3366" i="106" s="1"/>
  <c r="B6727" i="106"/>
  <c r="D6727" i="106" s="1"/>
  <c r="K7" i="29"/>
  <c r="B705" i="106"/>
  <c r="D705" i="106" s="1"/>
  <c r="B5072" i="106"/>
  <c r="D5072" i="106" s="1"/>
  <c r="K81" i="29"/>
  <c r="B2976" i="106" s="1"/>
  <c r="D2976" i="106" s="1"/>
  <c r="B2952" i="106"/>
  <c r="D2952" i="106" s="1"/>
  <c r="B6950" i="106"/>
  <c r="D6950" i="106" s="1"/>
  <c r="I65" i="29"/>
  <c r="B6961" i="106" s="1"/>
  <c r="D6961" i="106" s="1"/>
  <c r="F162" i="34"/>
  <c r="B7761" i="106"/>
  <c r="D7761" i="106" s="1"/>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B6845" i="106"/>
  <c r="D6845" i="106" s="1"/>
  <c r="J33" i="29"/>
  <c r="D78" i="36"/>
  <c r="C18" i="4"/>
  <c r="B4131" i="106" s="1"/>
  <c r="D4131" i="106" s="1"/>
  <c r="B4113" i="106"/>
  <c r="D4113" i="106" s="1"/>
  <c r="B5163" i="106"/>
  <c r="D5163" i="106" s="1"/>
  <c r="B6985" i="106"/>
  <c r="D6985" i="106" s="1"/>
  <c r="K87" i="29"/>
  <c r="B6986" i="106" s="1"/>
  <c r="D6986" i="106" s="1"/>
  <c r="B6928" i="106"/>
  <c r="D6928" i="106" s="1"/>
  <c r="B6882" i="106"/>
  <c r="D6882" i="106" s="1"/>
  <c r="K23" i="29"/>
  <c r="B879" i="106"/>
  <c r="D879" i="106" s="1"/>
  <c r="F33" i="29"/>
  <c r="B6125" i="106"/>
  <c r="D6125" i="106" s="1"/>
  <c r="C34" i="3"/>
  <c r="B1051" i="106"/>
  <c r="D1051" i="106" s="1"/>
  <c r="K109" i="29"/>
  <c r="B1149" i="106" s="1"/>
  <c r="D1149" i="106" s="1"/>
  <c r="K99" i="29"/>
  <c r="B7010" i="106" s="1"/>
  <c r="D7010" i="106" s="1"/>
  <c r="E100" i="29"/>
  <c r="B7011" i="106" s="1"/>
  <c r="D7011"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B793" i="106"/>
  <c r="D793" i="106" s="1"/>
  <c r="D57" i="29"/>
  <c r="B795" i="106" s="1"/>
  <c r="D795" i="106" s="1"/>
  <c r="B790" i="106"/>
  <c r="D790" i="106" s="1"/>
  <c r="D53" i="29"/>
  <c r="B792" i="106" s="1"/>
  <c r="D792" i="106" s="1"/>
  <c r="B786" i="106"/>
  <c r="D786" i="106" s="1"/>
  <c r="D47" i="29"/>
  <c r="B789" i="106" s="1"/>
  <c r="D789" i="106" s="1"/>
  <c r="D42" i="29"/>
  <c r="B779" i="106"/>
  <c r="D779" i="106" s="1"/>
  <c r="B6888" i="106"/>
  <c r="D6888" i="106" s="1"/>
  <c r="K26" i="29"/>
  <c r="B6844" i="106"/>
  <c r="D6844" i="106" s="1"/>
  <c r="B6031" i="106"/>
  <c r="D6031" i="106" s="1"/>
  <c r="B6944" i="106"/>
  <c r="D6944" i="106" s="1"/>
  <c r="I57" i="29"/>
  <c r="B6948" i="106" s="1"/>
  <c r="D6948" i="106" s="1"/>
  <c r="B6926" i="106"/>
  <c r="D6926" i="106" s="1"/>
  <c r="K98" i="29"/>
  <c r="B7007" i="106" s="1"/>
  <c r="D7007" i="106" s="1"/>
  <c r="B7006" i="106"/>
  <c r="D7006" i="106" s="1"/>
  <c r="B6989" i="106"/>
  <c r="D6989" i="106" s="1"/>
  <c r="K89" i="29"/>
  <c r="B6990" i="106" s="1"/>
  <c r="D6990" i="106" s="1"/>
  <c r="K75" i="29"/>
  <c r="B756" i="106"/>
  <c r="D756" i="106" s="1"/>
  <c r="B754" i="106"/>
  <c r="D754" i="106" s="1"/>
  <c r="K73" i="29"/>
  <c r="B1142" i="106" s="1"/>
  <c r="D1142" i="106" s="1"/>
  <c r="B751" i="106"/>
  <c r="D751" i="106" s="1"/>
  <c r="K71" i="29"/>
  <c r="B1139" i="106" s="1"/>
  <c r="D1139" i="106" s="1"/>
  <c r="K70" i="29"/>
  <c r="B1137" i="106" s="1"/>
  <c r="D1137" i="106" s="1"/>
  <c r="B749" i="106"/>
  <c r="D749" i="106" s="1"/>
  <c r="B748" i="106"/>
  <c r="D748" i="106" s="1"/>
  <c r="K69" i="29"/>
  <c r="B1136" i="106" s="1"/>
  <c r="D1136" i="106" s="1"/>
  <c r="B747" i="106"/>
  <c r="D747" i="106" s="1"/>
  <c r="K68" i="29"/>
  <c r="B1135" i="106" s="1"/>
  <c r="D1135" i="106" s="1"/>
  <c r="K67" i="29"/>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6" i="29"/>
  <c r="B735" i="106"/>
  <c r="D735" i="106" s="1"/>
  <c r="C57" i="29"/>
  <c r="B737" i="106" s="1"/>
  <c r="D737" i="106" s="1"/>
  <c r="K55" i="29"/>
  <c r="B6932" i="106"/>
  <c r="D6932" i="106" s="1"/>
  <c r="K52" i="29"/>
  <c r="B6940" i="106" s="1"/>
  <c r="D6940" i="106" s="1"/>
  <c r="B2718" i="106"/>
  <c r="D2718" i="106" s="1"/>
  <c r="K51" i="29"/>
  <c r="B733" i="106"/>
  <c r="D733" i="106" s="1"/>
  <c r="K49"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K41" i="29"/>
  <c r="B1114" i="106" s="1"/>
  <c r="D1114" i="106" s="1"/>
  <c r="B725" i="106"/>
  <c r="D725" i="106" s="1"/>
  <c r="K40" i="29"/>
  <c r="B1113" i="106" s="1"/>
  <c r="D1113" i="106" s="1"/>
  <c r="B724" i="106"/>
  <c r="D724" i="106" s="1"/>
  <c r="K39" i="29"/>
  <c r="B1112" i="106" s="1"/>
  <c r="D1112" i="106" s="1"/>
  <c r="K38" i="29"/>
  <c r="B1111" i="106" s="1"/>
  <c r="D1111" i="106" s="1"/>
  <c r="B723" i="106"/>
  <c r="D723" i="106" s="1"/>
  <c r="B722" i="106"/>
  <c r="D722" i="106" s="1"/>
  <c r="C42" i="29"/>
  <c r="B721" i="106"/>
  <c r="D721" i="106" s="1"/>
  <c r="B6886" i="106"/>
  <c r="D6886" i="106" s="1"/>
  <c r="K25" i="29"/>
  <c r="B6874" i="106"/>
  <c r="D6874" i="106" s="1"/>
  <c r="B3377" i="106"/>
  <c r="D3377" i="106" s="1"/>
  <c r="B7262" i="106"/>
  <c r="D7262" i="106" s="1"/>
  <c r="B995" i="106"/>
  <c r="D995" i="106" s="1"/>
  <c r="B5061" i="106"/>
  <c r="D5061" i="106" s="1"/>
  <c r="B4" i="7"/>
  <c r="B5110" i="106"/>
  <c r="D5110" i="106" s="1"/>
  <c r="F99" i="34"/>
  <c r="B5118" i="106"/>
  <c r="D5118" i="106" s="1"/>
  <c r="F104" i="34"/>
  <c r="B6963" i="106"/>
  <c r="D6963" i="106" s="1"/>
  <c r="I72" i="29"/>
  <c r="B6973" i="106" s="1"/>
  <c r="D6973" i="106" s="1"/>
  <c r="B6898" i="106"/>
  <c r="D6898" i="106" s="1"/>
  <c r="K31" i="29"/>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B6945" i="106"/>
  <c r="D6945" i="106" s="1"/>
  <c r="J57" i="29"/>
  <c r="B6949" i="106" s="1"/>
  <c r="D6949" i="106" s="1"/>
  <c r="B6927" i="106"/>
  <c r="D6927" i="106" s="1"/>
  <c r="J53" i="29"/>
  <c r="B6943" i="106" s="1"/>
  <c r="D6943" i="106" s="1"/>
  <c r="B6919" i="106"/>
  <c r="D6919" i="106" s="1"/>
  <c r="J47" i="29"/>
  <c r="B6925" i="106" s="1"/>
  <c r="D6925" i="106" s="1"/>
  <c r="B6907" i="106"/>
  <c r="D6907" i="106" s="1"/>
  <c r="K36" i="29"/>
  <c r="K32" i="29"/>
  <c r="B6900" i="106"/>
  <c r="D6900" i="106" s="1"/>
  <c r="K24" i="29"/>
  <c r="B6884" i="106"/>
  <c r="D6884" i="106" s="1"/>
  <c r="B949" i="106"/>
  <c r="D949" i="106" s="1"/>
  <c r="B1007" i="106"/>
  <c r="D1007" i="106" s="1"/>
  <c r="B5088" i="106"/>
  <c r="D5088" i="106" s="1"/>
  <c r="B5067" i="106"/>
  <c r="D5067" i="106" s="1"/>
  <c r="C18" i="5"/>
  <c r="B5071" i="106" s="1"/>
  <c r="D5071" i="106" s="1"/>
  <c r="F163" i="34"/>
  <c r="B6249" i="106"/>
  <c r="D6249" i="106" s="1"/>
  <c r="E40" i="4"/>
  <c r="B6288" i="106" s="1"/>
  <c r="D6288" i="106" s="1"/>
  <c r="B1268" i="106"/>
  <c r="D1268" i="106" s="1"/>
  <c r="K142" i="29"/>
  <c r="H147" i="29"/>
  <c r="B1227" i="106"/>
  <c r="D1227" i="106" s="1"/>
  <c r="D127" i="29"/>
  <c r="B1231" i="106" s="1"/>
  <c r="D1231" i="106" s="1"/>
  <c r="B4075" i="106"/>
  <c r="D4075" i="106" s="1"/>
  <c r="D191" i="5"/>
  <c r="B5426" i="106"/>
  <c r="D5426" i="106" s="1"/>
  <c r="B5361" i="106"/>
  <c r="D5361" i="106" s="1"/>
  <c r="D121" i="5"/>
  <c r="B5343" i="106"/>
  <c r="D5343" i="106" s="1"/>
  <c r="D82" i="5"/>
  <c r="D224" i="5"/>
  <c r="B5470" i="106" s="1"/>
  <c r="D5470" i="106" s="1"/>
  <c r="B5458" i="106"/>
  <c r="D5458" i="106" s="1"/>
  <c r="B4199" i="106"/>
  <c r="D4199" i="106" s="1"/>
  <c r="K134" i="29"/>
  <c r="E137" i="29"/>
  <c r="B1236" i="106"/>
  <c r="D1236" i="106" s="1"/>
  <c r="K138" i="29"/>
  <c r="B2094" i="106" s="1"/>
  <c r="D2094" i="106" s="1"/>
  <c r="B2092" i="106"/>
  <c r="D2092" i="106" s="1"/>
  <c r="K126" i="29"/>
  <c r="B1277" i="106" s="1"/>
  <c r="D1277" i="106" s="1"/>
  <c r="B1254" i="106"/>
  <c r="D1254" i="106" s="1"/>
  <c r="K125" i="29"/>
  <c r="B3488" i="106" s="1"/>
  <c r="D3488" i="106" s="1"/>
  <c r="B3482" i="106"/>
  <c r="D3482" i="106" s="1"/>
  <c r="B1221" i="106"/>
  <c r="D1221" i="106" s="1"/>
  <c r="K124" i="29"/>
  <c r="B1276" i="106" s="1"/>
  <c r="D1276" i="106" s="1"/>
  <c r="B1220" i="106"/>
  <c r="D1220" i="106" s="1"/>
  <c r="B1219" i="106"/>
  <c r="D1219" i="106" s="1"/>
  <c r="C127" i="29"/>
  <c r="B1223" i="106" s="1"/>
  <c r="D1223" i="106" s="1"/>
  <c r="K120" i="29"/>
  <c r="B4074" i="106"/>
  <c r="D4074" i="106" s="1"/>
  <c r="B5485" i="106"/>
  <c r="D5485" i="106" s="1"/>
  <c r="D228" i="5"/>
  <c r="B5488" i="106" s="1"/>
  <c r="D5488" i="106" s="1"/>
  <c r="B5333" i="106"/>
  <c r="D5333" i="106" s="1"/>
  <c r="B4076" i="106"/>
  <c r="D4076" i="106" s="1"/>
  <c r="F124" i="34"/>
  <c r="B4329" i="106"/>
  <c r="D4329" i="106" s="1"/>
  <c r="B5391" i="106"/>
  <c r="D5391" i="106" s="1"/>
  <c r="D154" i="5"/>
  <c r="B5394" i="106" s="1"/>
  <c r="D5394" i="106" s="1"/>
  <c r="B7749" i="106"/>
  <c r="D7749" i="106" s="1"/>
  <c r="D44" i="4"/>
  <c r="B7025" i="106"/>
  <c r="D7025" i="106" s="1"/>
  <c r="J127" i="29"/>
  <c r="B7034" i="106" s="1"/>
  <c r="D7034" i="106" s="1"/>
  <c r="B7023" i="106"/>
  <c r="D7023" i="106" s="1"/>
  <c r="B5384" i="106"/>
  <c r="D5384" i="106" s="1"/>
  <c r="F110" i="34"/>
  <c r="D140" i="5"/>
  <c r="B5383" i="106" s="1"/>
  <c r="D5383" i="106" s="1"/>
  <c r="B5370" i="106"/>
  <c r="D5370" i="106" s="1"/>
  <c r="B7049" i="106"/>
  <c r="D7049" i="106" s="1"/>
  <c r="K148" i="29"/>
  <c r="B7050" i="106" s="1"/>
  <c r="D7050" i="106" s="1"/>
  <c r="B4201" i="106"/>
  <c r="D4201" i="106" s="1"/>
  <c r="K136" i="29"/>
  <c r="B2988" i="106" s="1"/>
  <c r="D2988" i="106" s="1"/>
  <c r="B7024" i="106"/>
  <c r="D7024" i="106" s="1"/>
  <c r="I127" i="29"/>
  <c r="B7033" i="106" s="1"/>
  <c r="D7033" i="106" s="1"/>
  <c r="B7022" i="106"/>
  <c r="D7022" i="106" s="1"/>
  <c r="D184" i="5"/>
  <c r="B5425" i="106" s="1"/>
  <c r="D5425" i="106" s="1"/>
  <c r="B5424" i="106"/>
  <c r="D5424" i="106" s="1"/>
  <c r="B5357" i="106"/>
  <c r="D5357" i="106" s="1"/>
  <c r="D114" i="5"/>
  <c r="K128" i="29"/>
  <c r="B1280" i="106" s="1"/>
  <c r="D1280" i="106" s="1"/>
  <c r="B1224" i="106"/>
  <c r="D1224" i="106" s="1"/>
  <c r="K122" i="29"/>
  <c r="D108" i="5"/>
  <c r="B5355" i="106" s="1"/>
  <c r="D5355" i="106" s="1"/>
  <c r="B5349" i="106"/>
  <c r="D5349" i="106" s="1"/>
  <c r="L149" i="29"/>
  <c r="L147" i="29"/>
  <c r="H41" i="4"/>
  <c r="B6289" i="106" s="1"/>
  <c r="D6289" i="106" s="1"/>
  <c r="B6251" i="106"/>
  <c r="D6251" i="106" s="1"/>
  <c r="E39" i="4"/>
  <c r="B6287" i="106" s="1"/>
  <c r="D6287" i="106" s="1"/>
  <c r="B6247" i="106"/>
  <c r="D6247" i="106" s="1"/>
  <c r="H14" i="118"/>
  <c r="H19" i="118"/>
  <c r="B6241" i="106"/>
  <c r="D6241" i="106" s="1"/>
  <c r="B1270" i="106"/>
  <c r="D1270" i="106" s="1"/>
  <c r="K146" i="29"/>
  <c r="B1285" i="106" s="1"/>
  <c r="D1285" i="106" s="1"/>
  <c r="B1260" i="106"/>
  <c r="D1260" i="106" s="1"/>
  <c r="H127" i="29"/>
  <c r="B1264" i="106" s="1"/>
  <c r="D1264" i="106" s="1"/>
  <c r="B4079" i="106"/>
  <c r="D4079" i="106" s="1"/>
  <c r="D216" i="5"/>
  <c r="B4412" i="106" s="1"/>
  <c r="D4412" i="106" s="1"/>
  <c r="B5440" i="106"/>
  <c r="D5440" i="106" s="1"/>
  <c r="B5431" i="106"/>
  <c r="D5431" i="106" s="1"/>
  <c r="B5368" i="106"/>
  <c r="D5368" i="106" s="1"/>
  <c r="D131" i="5"/>
  <c r="B1269" i="106"/>
  <c r="D1269" i="106" s="1"/>
  <c r="K143" i="29"/>
  <c r="B1284" i="106" s="1"/>
  <c r="D1284" i="106" s="1"/>
  <c r="B5494" i="106"/>
  <c r="D5494" i="106" s="1"/>
  <c r="F33" i="34"/>
  <c r="K52" i="4"/>
  <c r="B3702" i="106" s="1"/>
  <c r="D3702" i="106" s="1"/>
  <c r="B3698" i="106"/>
  <c r="D3698" i="106" s="1"/>
  <c r="B2808" i="106"/>
  <c r="D2808" i="106" s="1"/>
  <c r="K145" i="29"/>
  <c r="B2811" i="106" s="1"/>
  <c r="D2811" i="106" s="1"/>
  <c r="B4200" i="106"/>
  <c r="D4200" i="106" s="1"/>
  <c r="K135" i="29"/>
  <c r="B2987" i="106" s="1"/>
  <c r="D2987" i="106" s="1"/>
  <c r="B1251" i="106"/>
  <c r="D1251" i="106" s="1"/>
  <c r="G127" i="29"/>
  <c r="B1256" i="106" s="1"/>
  <c r="D1256" i="106" s="1"/>
  <c r="B4078" i="106"/>
  <c r="D4078" i="106" s="1"/>
  <c r="B5422" i="106"/>
  <c r="D5422" i="106" s="1"/>
  <c r="D178" i="5"/>
  <c r="K130" i="29"/>
  <c r="B2797" i="106"/>
  <c r="D2797" i="106" s="1"/>
  <c r="D76" i="4"/>
  <c r="B3237" i="106" s="1"/>
  <c r="D3237" i="106" s="1"/>
  <c r="B5023" i="106"/>
  <c r="D5023" i="106" s="1"/>
  <c r="B3161" i="106"/>
  <c r="D3161" i="106" s="1"/>
  <c r="H51" i="4"/>
  <c r="B3170" i="106" s="1"/>
  <c r="D3170" i="106" s="1"/>
  <c r="B2807" i="106"/>
  <c r="D2807" i="106" s="1"/>
  <c r="K144" i="29"/>
  <c r="B2810" i="106" s="1"/>
  <c r="D2810" i="106" s="1"/>
  <c r="B2979" i="106"/>
  <c r="D2979" i="106" s="1"/>
  <c r="H137" i="29"/>
  <c r="F127" i="29"/>
  <c r="B1247" i="106" s="1"/>
  <c r="D1247" i="106" s="1"/>
  <c r="B1243" i="106"/>
  <c r="D1243" i="106" s="1"/>
  <c r="B4077" i="106"/>
  <c r="D4077" i="106" s="1"/>
  <c r="D259" i="5"/>
  <c r="B6834" i="106" s="1"/>
  <c r="D6834" i="106" s="1"/>
  <c r="B6615" i="106"/>
  <c r="D6615" i="106" s="1"/>
  <c r="B5439" i="106"/>
  <c r="D5439" i="106" s="1"/>
  <c r="B5335" i="106"/>
  <c r="D5335" i="106" s="1"/>
  <c r="D18" i="5"/>
  <c r="B5339" i="106" s="1"/>
  <c r="D5339" i="106" s="1"/>
  <c r="B5512" i="106"/>
  <c r="D5512" i="106" s="1"/>
  <c r="E34" i="3"/>
  <c r="B6127" i="106"/>
  <c r="D6127" i="106" s="1"/>
  <c r="K169" i="29"/>
  <c r="B1326" i="106" s="1"/>
  <c r="D1326" i="106" s="1"/>
  <c r="B1312" i="106"/>
  <c r="D1312" i="106" s="1"/>
  <c r="K53" i="4"/>
  <c r="B3703" i="106" s="1"/>
  <c r="D3703" i="106" s="1"/>
  <c r="B3699" i="106"/>
  <c r="D3699" i="106" s="1"/>
  <c r="K167" i="29"/>
  <c r="B1327" i="106" s="1"/>
  <c r="D1327" i="106" s="1"/>
  <c r="B1313" i="106"/>
  <c r="D1313" i="106" s="1"/>
  <c r="B6368" i="106"/>
  <c r="D6368" i="106" s="1"/>
  <c r="E172" i="5"/>
  <c r="B5537" i="106" s="1"/>
  <c r="D5537" i="106" s="1"/>
  <c r="B2813" i="106"/>
  <c r="D2813" i="106" s="1"/>
  <c r="K166" i="29"/>
  <c r="B2819" i="106" s="1"/>
  <c r="D2819" i="106" s="1"/>
  <c r="E259" i="5"/>
  <c r="B6714" i="106"/>
  <c r="D6714" i="106" s="1"/>
  <c r="B5511" i="106"/>
  <c r="D5511" i="106" s="1"/>
  <c r="B15" i="7"/>
  <c r="K165" i="29"/>
  <c r="B2818" i="106" s="1"/>
  <c r="D2818" i="106" s="1"/>
  <c r="B2812" i="106"/>
  <c r="D2812" i="106" s="1"/>
  <c r="K164" i="29"/>
  <c r="B1325" i="106" s="1"/>
  <c r="D1325" i="106" s="1"/>
  <c r="B1311" i="106"/>
  <c r="D1311" i="106" s="1"/>
  <c r="B4364" i="106"/>
  <c r="D4364" i="106" s="1"/>
  <c r="E178" i="5"/>
  <c r="B5514" i="106"/>
  <c r="D5514" i="106" s="1"/>
  <c r="E18" i="5"/>
  <c r="B5518" i="106" s="1"/>
  <c r="D5518" i="106" s="1"/>
  <c r="L168" i="29"/>
  <c r="B1310" i="106"/>
  <c r="D1310" i="106" s="1"/>
  <c r="H168" i="29"/>
  <c r="K163" i="29"/>
  <c r="E121" i="5"/>
  <c r="B5528" i="106"/>
  <c r="D5528" i="106" s="1"/>
  <c r="E108" i="5"/>
  <c r="B5526" i="106" s="1"/>
  <c r="D5526" i="106" s="1"/>
  <c r="B5522" i="106"/>
  <c r="D5522" i="106" s="1"/>
  <c r="E13" i="3"/>
  <c r="B3417" i="106"/>
  <c r="D3417" i="106" s="1"/>
  <c r="D36" i="36"/>
  <c r="E76" i="4"/>
  <c r="B3276" i="106" s="1"/>
  <c r="D3276" i="106" s="1"/>
  <c r="B2817" i="106"/>
  <c r="D2817" i="106" s="1"/>
  <c r="B1307" i="106"/>
  <c r="D1307" i="106" s="1"/>
  <c r="E172" i="29"/>
  <c r="K171" i="29"/>
  <c r="B1330" i="106" s="1"/>
  <c r="D1330" i="106" s="1"/>
  <c r="H160" i="29"/>
  <c r="K157" i="29"/>
  <c r="B7777" i="106"/>
  <c r="D7777" i="106" s="1"/>
  <c r="B1315" i="106"/>
  <c r="D1315" i="106" s="1"/>
  <c r="K170" i="29"/>
  <c r="D69" i="36"/>
  <c r="B7751" i="106"/>
  <c r="D7751" i="106" s="1"/>
  <c r="B1371" i="106"/>
  <c r="D1371" i="106" s="1"/>
  <c r="K199" i="29"/>
  <c r="B2992" i="106"/>
  <c r="D2992" i="106" s="1"/>
  <c r="B4795" i="106"/>
  <c r="D4795" i="106" s="1"/>
  <c r="B5580" i="106"/>
  <c r="D5580" i="106" s="1"/>
  <c r="F91" i="34"/>
  <c r="B5573" i="106"/>
  <c r="D5573" i="106" s="1"/>
  <c r="B5567" i="106"/>
  <c r="D5567" i="106" s="1"/>
  <c r="F19" i="34"/>
  <c r="K207" i="29"/>
  <c r="B7070" i="106" s="1"/>
  <c r="D7070" i="106" s="1"/>
  <c r="B7069" i="106"/>
  <c r="D7069" i="106" s="1"/>
  <c r="B2829" i="106"/>
  <c r="D2829" i="106" s="1"/>
  <c r="B2827" i="106"/>
  <c r="D2827" i="106" s="1"/>
  <c r="B1369" i="106"/>
  <c r="D1369" i="106" s="1"/>
  <c r="B4360" i="106"/>
  <c r="D4360" i="106" s="1"/>
  <c r="B4311" i="106"/>
  <c r="D4311" i="106" s="1"/>
  <c r="F28" i="34"/>
  <c r="B6315" i="106"/>
  <c r="D6315" i="106" s="1"/>
  <c r="F18" i="5"/>
  <c r="B5562" i="106" s="1"/>
  <c r="D5562" i="106" s="1"/>
  <c r="B5558" i="106"/>
  <c r="D5558" i="106" s="1"/>
  <c r="K206" i="29"/>
  <c r="B4210" i="106"/>
  <c r="D4210" i="106" s="1"/>
  <c r="B2824" i="106"/>
  <c r="D2824" i="106" s="1"/>
  <c r="B4085" i="106"/>
  <c r="D4085" i="106" s="1"/>
  <c r="B4318" i="106"/>
  <c r="D4318" i="106" s="1"/>
  <c r="B4877" i="106"/>
  <c r="D4877" i="106" s="1"/>
  <c r="B5578" i="106"/>
  <c r="D5578" i="106" s="1"/>
  <c r="F27" i="34"/>
  <c r="B5572" i="106"/>
  <c r="D5572" i="106" s="1"/>
  <c r="F89" i="34"/>
  <c r="F86" i="34"/>
  <c r="B5566" i="106"/>
  <c r="D5566" i="106" s="1"/>
  <c r="B7" i="7"/>
  <c r="B5553" i="106"/>
  <c r="D5553" i="106" s="1"/>
  <c r="F31" i="34"/>
  <c r="B5691" i="106"/>
  <c r="D5691" i="106" s="1"/>
  <c r="K205" i="29"/>
  <c r="B7068" i="106" s="1"/>
  <c r="D7068" i="106" s="1"/>
  <c r="B7067" i="106"/>
  <c r="D7067" i="106" s="1"/>
  <c r="B4084" i="106"/>
  <c r="D4084" i="106" s="1"/>
  <c r="F191" i="5"/>
  <c r="B5659" i="106"/>
  <c r="D5659" i="106" s="1"/>
  <c r="B5593" i="106"/>
  <c r="D5593" i="106" s="1"/>
  <c r="B5577" i="106"/>
  <c r="D5577" i="106" s="1"/>
  <c r="F26" i="34"/>
  <c r="B5571" i="106"/>
  <c r="D5571" i="106" s="1"/>
  <c r="F23" i="34"/>
  <c r="F85" i="34"/>
  <c r="B5565" i="106"/>
  <c r="D5565" i="106" s="1"/>
  <c r="F102" i="34"/>
  <c r="B5584" i="106"/>
  <c r="D5584" i="106" s="1"/>
  <c r="B1373" i="106"/>
  <c r="D1373" i="106" s="1"/>
  <c r="K203" i="29"/>
  <c r="B1385" i="106" s="1"/>
  <c r="D1385" i="106" s="1"/>
  <c r="K193" i="29"/>
  <c r="B3012" i="106" s="1"/>
  <c r="D3012" i="106" s="1"/>
  <c r="B2994" i="106"/>
  <c r="D2994" i="106" s="1"/>
  <c r="B2990" i="106"/>
  <c r="D2990" i="106" s="1"/>
  <c r="K189" i="29"/>
  <c r="B3008" i="106" s="1"/>
  <c r="D3008" i="106" s="1"/>
  <c r="E184" i="29"/>
  <c r="B4083" i="106"/>
  <c r="D4083" i="106" s="1"/>
  <c r="B6617" i="106"/>
  <c r="D6617" i="106" s="1"/>
  <c r="F259" i="5"/>
  <c r="B6836" i="106" s="1"/>
  <c r="D6836" i="106" s="1"/>
  <c r="B5576" i="106"/>
  <c r="D5576" i="106" s="1"/>
  <c r="F25" i="34"/>
  <c r="F88" i="34"/>
  <c r="B5570" i="106"/>
  <c r="D5570" i="106" s="1"/>
  <c r="B5564" i="106"/>
  <c r="D5564" i="106" s="1"/>
  <c r="F18" i="34"/>
  <c r="B5556" i="106"/>
  <c r="D5556" i="106" s="1"/>
  <c r="B5583" i="106"/>
  <c r="D5583" i="106" s="1"/>
  <c r="K202" i="29"/>
  <c r="B2842" i="106" s="1"/>
  <c r="D2842" i="106" s="1"/>
  <c r="B2832" i="106"/>
  <c r="D2832" i="106" s="1"/>
  <c r="B2995" i="106"/>
  <c r="D2995" i="106" s="1"/>
  <c r="D184" i="29"/>
  <c r="B4082" i="106"/>
  <c r="D4082" i="106" s="1"/>
  <c r="F184" i="5"/>
  <c r="B5658" i="106" s="1"/>
  <c r="D5658" i="106" s="1"/>
  <c r="B4804" i="106"/>
  <c r="D4804" i="106" s="1"/>
  <c r="F93" i="34"/>
  <c r="B7764" i="106"/>
  <c r="D7764" i="106" s="1"/>
  <c r="F22" i="34"/>
  <c r="B6313" i="106"/>
  <c r="D6313" i="106" s="1"/>
  <c r="B5563" i="106"/>
  <c r="D5563" i="106" s="1"/>
  <c r="F84" i="34"/>
  <c r="D37" i="36"/>
  <c r="B3419" i="106"/>
  <c r="D3419" i="106" s="1"/>
  <c r="B5024" i="106"/>
  <c r="D5024" i="106" s="1"/>
  <c r="B5014" i="106"/>
  <c r="D5014" i="106" s="1"/>
  <c r="D71" i="36"/>
  <c r="K201" i="29"/>
  <c r="B2841" i="106" s="1"/>
  <c r="D2841" i="106" s="1"/>
  <c r="B2831" i="106"/>
  <c r="D2831" i="106" s="1"/>
  <c r="B2989" i="106"/>
  <c r="D2989" i="106" s="1"/>
  <c r="K188" i="29"/>
  <c r="K185" i="29"/>
  <c r="B2820" i="106"/>
  <c r="D2820" i="106" s="1"/>
  <c r="B1338" i="106"/>
  <c r="D1338" i="106" s="1"/>
  <c r="B1335" i="106"/>
  <c r="D1335" i="106" s="1"/>
  <c r="B5665" i="106"/>
  <c r="D5665" i="106" s="1"/>
  <c r="B5615" i="106"/>
  <c r="D5615" i="106" s="1"/>
  <c r="F154" i="5"/>
  <c r="B5618" i="106" s="1"/>
  <c r="D5618" i="106" s="1"/>
  <c r="B5589" i="106"/>
  <c r="D5589" i="106" s="1"/>
  <c r="F114" i="5"/>
  <c r="B5575" i="106"/>
  <c r="D5575" i="106" s="1"/>
  <c r="F92" i="34"/>
  <c r="B4342" i="106"/>
  <c r="D4342" i="106" s="1"/>
  <c r="F32" i="34"/>
  <c r="B5692" i="106"/>
  <c r="D5692" i="106" s="1"/>
  <c r="B2998" i="106"/>
  <c r="D2998" i="106" s="1"/>
  <c r="B7060" i="106"/>
  <c r="D7060" i="106" s="1"/>
  <c r="F216" i="5"/>
  <c r="B4413" i="106" s="1"/>
  <c r="D4413" i="106" s="1"/>
  <c r="B5673" i="106"/>
  <c r="D5673" i="106" s="1"/>
  <c r="B5664" i="106"/>
  <c r="D5664" i="106" s="1"/>
  <c r="F178" i="5"/>
  <c r="B5654" i="106"/>
  <c r="D5654" i="106" s="1"/>
  <c r="B5600" i="106"/>
  <c r="D5600" i="106" s="1"/>
  <c r="B5574" i="106"/>
  <c r="D5574" i="106" s="1"/>
  <c r="F24" i="34"/>
  <c r="B5555" i="106"/>
  <c r="D5555" i="106" s="1"/>
  <c r="B5585" i="106"/>
  <c r="D5585" i="106" s="1"/>
  <c r="K255" i="29"/>
  <c r="B7096" i="106" s="1"/>
  <c r="D7096" i="106" s="1"/>
  <c r="B7095" i="106"/>
  <c r="D7095" i="106" s="1"/>
  <c r="B5731" i="106"/>
  <c r="D5731" i="106" s="1"/>
  <c r="B3259" i="106"/>
  <c r="D3259" i="106" s="1"/>
  <c r="G76" i="4"/>
  <c r="B3260" i="106" s="1"/>
  <c r="D3260" i="106" s="1"/>
  <c r="K291" i="29"/>
  <c r="B2846" i="106" s="1"/>
  <c r="D2846" i="106" s="1"/>
  <c r="B2844" i="106"/>
  <c r="D2844" i="106" s="1"/>
  <c r="K266" i="29"/>
  <c r="B1495" i="106" s="1"/>
  <c r="D1495" i="106" s="1"/>
  <c r="B1431" i="106"/>
  <c r="D1431" i="106" s="1"/>
  <c r="K254" i="29"/>
  <c r="B7094" i="106" s="1"/>
  <c r="D7094" i="106" s="1"/>
  <c r="B7093" i="106"/>
  <c r="D7093" i="106" s="1"/>
  <c r="K246" i="29"/>
  <c r="B1487" i="106" s="1"/>
  <c r="D1487" i="106" s="1"/>
  <c r="B1423" i="106"/>
  <c r="D1423" i="106" s="1"/>
  <c r="K234" i="29"/>
  <c r="B1477" i="106" s="1"/>
  <c r="D1477" i="106" s="1"/>
  <c r="B1413" i="106"/>
  <c r="D1413" i="106" s="1"/>
  <c r="K223" i="29"/>
  <c r="B1472" i="106" s="1"/>
  <c r="D1472" i="106" s="1"/>
  <c r="B1408" i="106"/>
  <c r="D1408" i="106" s="1"/>
  <c r="B3387" i="106"/>
  <c r="D3387" i="106" s="1"/>
  <c r="D229" i="29"/>
  <c r="K215" i="29"/>
  <c r="F167" i="34"/>
  <c r="B5856" i="106"/>
  <c r="D5856" i="106" s="1"/>
  <c r="F156" i="34"/>
  <c r="B6797" i="106"/>
  <c r="D6797" i="106" s="1"/>
  <c r="B6733" i="106"/>
  <c r="D6733" i="106" s="1"/>
  <c r="F143" i="34"/>
  <c r="B6670" i="106"/>
  <c r="D6670" i="106" s="1"/>
  <c r="B4919" i="106"/>
  <c r="D4919" i="106" s="1"/>
  <c r="B6349" i="106"/>
  <c r="D6349" i="106" s="1"/>
  <c r="B1445" i="106"/>
  <c r="D1445" i="106" s="1"/>
  <c r="K278" i="29"/>
  <c r="B1509" i="106" s="1"/>
  <c r="D1509" i="106" s="1"/>
  <c r="K247" i="29"/>
  <c r="B2726" i="106" s="1"/>
  <c r="D2726" i="106" s="1"/>
  <c r="B2725" i="106"/>
  <c r="D2725" i="106" s="1"/>
  <c r="B5858" i="106"/>
  <c r="D5858" i="106" s="1"/>
  <c r="F168" i="34"/>
  <c r="B6618" i="106"/>
  <c r="D6618" i="106" s="1"/>
  <c r="B5757" i="106"/>
  <c r="D5757" i="106" s="1"/>
  <c r="B4886" i="106"/>
  <c r="D4886" i="106" s="1"/>
  <c r="K290" i="29"/>
  <c r="B2845" i="106" s="1"/>
  <c r="D2845" i="106" s="1"/>
  <c r="B2843" i="106"/>
  <c r="D2843" i="106" s="1"/>
  <c r="B1430" i="106"/>
  <c r="D1430" i="106" s="1"/>
  <c r="K265" i="29"/>
  <c r="B1494" i="106" s="1"/>
  <c r="D1494" i="106" s="1"/>
  <c r="B7091" i="106"/>
  <c r="D7091" i="106" s="1"/>
  <c r="K253" i="29"/>
  <c r="B7092" i="106" s="1"/>
  <c r="D7092" i="106" s="1"/>
  <c r="B1422" i="106"/>
  <c r="D1422" i="106" s="1"/>
  <c r="K245" i="29"/>
  <c r="B1412" i="106"/>
  <c r="D1412" i="106" s="1"/>
  <c r="K233" i="29"/>
  <c r="B1476" i="106" s="1"/>
  <c r="D1476" i="106" s="1"/>
  <c r="K222" i="29"/>
  <c r="B1471" i="106" s="1"/>
  <c r="D1471" i="106" s="1"/>
  <c r="B1407" i="106"/>
  <c r="D1407" i="106" s="1"/>
  <c r="B4864" i="106"/>
  <c r="D4864" i="106" s="1"/>
  <c r="B4417" i="106"/>
  <c r="D4417" i="106" s="1"/>
  <c r="B6724" i="106"/>
  <c r="D6724" i="106" s="1"/>
  <c r="F148" i="34"/>
  <c r="B5785" i="106"/>
  <c r="D5785" i="106" s="1"/>
  <c r="G191" i="5"/>
  <c r="B6387" i="106"/>
  <c r="D6387" i="106" s="1"/>
  <c r="K267" i="29"/>
  <c r="B1496" i="106" s="1"/>
  <c r="D1496" i="106" s="1"/>
  <c r="B1432" i="106"/>
  <c r="D1432" i="106" s="1"/>
  <c r="B7073" i="106"/>
  <c r="D7073" i="106" s="1"/>
  <c r="K216" i="29"/>
  <c r="B6678" i="106"/>
  <c r="D6678" i="106" s="1"/>
  <c r="B6392" i="106"/>
  <c r="D6392" i="106" s="1"/>
  <c r="G34" i="3"/>
  <c r="B6129" i="106"/>
  <c r="D6129" i="106" s="1"/>
  <c r="B1450" i="106"/>
  <c r="D1450" i="106" s="1"/>
  <c r="K289" i="29"/>
  <c r="B1513" i="106" s="1"/>
  <c r="D1513" i="106" s="1"/>
  <c r="F27" i="108"/>
  <c r="B1429" i="106"/>
  <c r="D1429" i="106" s="1"/>
  <c r="K264" i="29"/>
  <c r="B1493" i="106" s="1"/>
  <c r="D1493" i="106" s="1"/>
  <c r="D27" i="108"/>
  <c r="B7089" i="106"/>
  <c r="D7089" i="106" s="1"/>
  <c r="K252" i="29"/>
  <c r="B7090" i="106" s="1"/>
  <c r="D7090" i="106" s="1"/>
  <c r="B1420" i="106"/>
  <c r="D1420" i="106" s="1"/>
  <c r="K242" i="29"/>
  <c r="B1484" i="106" s="1"/>
  <c r="D1484" i="106" s="1"/>
  <c r="D238" i="29"/>
  <c r="B1411" i="106"/>
  <c r="D1411" i="106" s="1"/>
  <c r="K232" i="29"/>
  <c r="K221" i="29"/>
  <c r="B1406" i="106"/>
  <c r="D1406" i="106" s="1"/>
  <c r="D17" i="171"/>
  <c r="B4448" i="106"/>
  <c r="D4448" i="106" s="1"/>
  <c r="F173" i="34"/>
  <c r="B5855" i="106"/>
  <c r="D5855" i="106" s="1"/>
  <c r="B6781" i="106"/>
  <c r="D6781" i="106" s="1"/>
  <c r="B6716" i="106"/>
  <c r="D6716" i="106" s="1"/>
  <c r="F147" i="34"/>
  <c r="B6654" i="106"/>
  <c r="D6654" i="106" s="1"/>
  <c r="F141" i="34"/>
  <c r="G228" i="5"/>
  <c r="B5844" i="106"/>
  <c r="D5844" i="106" s="1"/>
  <c r="F117" i="34"/>
  <c r="B6384" i="106"/>
  <c r="D6384" i="106" s="1"/>
  <c r="G154" i="5"/>
  <c r="B6380" i="106"/>
  <c r="D6380" i="106" s="1"/>
  <c r="B5742" i="106"/>
  <c r="D5742" i="106" s="1"/>
  <c r="B5734" i="106"/>
  <c r="D5734" i="106" s="1"/>
  <c r="G108" i="5"/>
  <c r="B5737" i="106" s="1"/>
  <c r="D5737" i="106" s="1"/>
  <c r="B6402" i="106"/>
  <c r="D6402" i="106" s="1"/>
  <c r="B5823" i="106"/>
  <c r="D5823" i="106" s="1"/>
  <c r="F132" i="34"/>
  <c r="B5821" i="106"/>
  <c r="D5821" i="106" s="1"/>
  <c r="B5817" i="106"/>
  <c r="D5817" i="106" s="1"/>
  <c r="B1451" i="106"/>
  <c r="D1451" i="106" s="1"/>
  <c r="K292" i="29"/>
  <c r="B1514" i="106" s="1"/>
  <c r="D1514" i="106" s="1"/>
  <c r="B1409" i="106"/>
  <c r="D1409" i="106" s="1"/>
  <c r="K224" i="29"/>
  <c r="B6741" i="106"/>
  <c r="D6741" i="106" s="1"/>
  <c r="B5754" i="106"/>
  <c r="D5754" i="106" s="1"/>
  <c r="G144" i="5"/>
  <c r="H293" i="29"/>
  <c r="B1449" i="106"/>
  <c r="D1449" i="106" s="1"/>
  <c r="K288" i="29"/>
  <c r="B1428" i="106"/>
  <c r="D1428" i="106" s="1"/>
  <c r="D270" i="29"/>
  <c r="B1436" i="106" s="1"/>
  <c r="D1436" i="106" s="1"/>
  <c r="K263" i="29"/>
  <c r="K251" i="29"/>
  <c r="B7088" i="106" s="1"/>
  <c r="D7088" i="106" s="1"/>
  <c r="B7087" i="106"/>
  <c r="D7087" i="106" s="1"/>
  <c r="B1419" i="106"/>
  <c r="D1419" i="106" s="1"/>
  <c r="K241" i="29"/>
  <c r="B1483" i="106" s="1"/>
  <c r="D1483" i="106" s="1"/>
  <c r="B3389" i="106"/>
  <c r="D3389" i="106" s="1"/>
  <c r="K228" i="29"/>
  <c r="B3392" i="106" s="1"/>
  <c r="D3392" i="106" s="1"/>
  <c r="B7077" i="106"/>
  <c r="D7077" i="106" s="1"/>
  <c r="K220" i="29"/>
  <c r="B4361" i="106"/>
  <c r="D4361" i="106" s="1"/>
  <c r="F164" i="34"/>
  <c r="B6843" i="106"/>
  <c r="D6843" i="106" s="1"/>
  <c r="B6773" i="106"/>
  <c r="D6773" i="106" s="1"/>
  <c r="B6646" i="106"/>
  <c r="D6646" i="106" s="1"/>
  <c r="B4810" i="106"/>
  <c r="D4810" i="106" s="1"/>
  <c r="G184" i="5"/>
  <c r="B5768" i="106"/>
  <c r="D5768" i="106" s="1"/>
  <c r="B5726" i="106"/>
  <c r="D5726" i="106" s="1"/>
  <c r="G18" i="5"/>
  <c r="B5730" i="106" s="1"/>
  <c r="D5730" i="106" s="1"/>
  <c r="K235" i="29"/>
  <c r="B1478" i="106" s="1"/>
  <c r="D1478" i="106" s="1"/>
  <c r="B1414" i="106"/>
  <c r="D1414" i="106" s="1"/>
  <c r="B6805" i="106"/>
  <c r="D6805" i="106" s="1"/>
  <c r="B5798" i="106"/>
  <c r="D5798" i="106" s="1"/>
  <c r="B8" i="7"/>
  <c r="B5721" i="106"/>
  <c r="D5721" i="106" s="1"/>
  <c r="B4165" i="106"/>
  <c r="D4165" i="106" s="1"/>
  <c r="K284" i="29"/>
  <c r="B4166" i="106" s="1"/>
  <c r="D4166" i="106" s="1"/>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B6829" i="106"/>
  <c r="D6829" i="106" s="1"/>
  <c r="B6765" i="106"/>
  <c r="D6765" i="106" s="1"/>
  <c r="B6638" i="106"/>
  <c r="D6638" i="106" s="1"/>
  <c r="B5767" i="106"/>
  <c r="D5767" i="106" s="1"/>
  <c r="B5739" i="106"/>
  <c r="D5739" i="106" s="1"/>
  <c r="L238" i="29"/>
  <c r="L270" i="29"/>
  <c r="L285" i="29"/>
  <c r="K283" i="29"/>
  <c r="B3721" i="106"/>
  <c r="D3721" i="106" s="1"/>
  <c r="D285" i="29"/>
  <c r="B3722" i="106" s="1"/>
  <c r="D3722" i="106" s="1"/>
  <c r="B1434" i="106"/>
  <c r="D1434" i="106" s="1"/>
  <c r="K269" i="29"/>
  <c r="B1498" i="106" s="1"/>
  <c r="D1498" i="106" s="1"/>
  <c r="B1425" i="106"/>
  <c r="D1425" i="106" s="1"/>
  <c r="D261" i="29"/>
  <c r="K259" i="29"/>
  <c r="K249" i="29"/>
  <c r="B7084" i="106" s="1"/>
  <c r="D7084" i="106" s="1"/>
  <c r="B7083" i="106"/>
  <c r="D7083" i="106" s="1"/>
  <c r="K237" i="29"/>
  <c r="B1480" i="106" s="1"/>
  <c r="D1480" i="106" s="1"/>
  <c r="B1416" i="106"/>
  <c r="D1416" i="106" s="1"/>
  <c r="B7079" i="106"/>
  <c r="D7079" i="106" s="1"/>
  <c r="K226" i="29"/>
  <c r="B7080" i="106" s="1"/>
  <c r="D7080" i="106" s="1"/>
  <c r="K218" i="29"/>
  <c r="B7075" i="106"/>
  <c r="D7075" i="106" s="1"/>
  <c r="B4421" i="106"/>
  <c r="D4421" i="106" s="1"/>
  <c r="B6821" i="106"/>
  <c r="D6821" i="106" s="1"/>
  <c r="F159" i="34"/>
  <c r="F151" i="34"/>
  <c r="B6757" i="106"/>
  <c r="D6757" i="106" s="1"/>
  <c r="B6693" i="106"/>
  <c r="D6693" i="106" s="1"/>
  <c r="B6630" i="106"/>
  <c r="D6630" i="106" s="1"/>
  <c r="B5799" i="106"/>
  <c r="D5799" i="106" s="1"/>
  <c r="G216" i="5"/>
  <c r="B5790" i="106"/>
  <c r="D5790" i="106" s="1"/>
  <c r="B5779" i="106"/>
  <c r="D5779" i="106" s="1"/>
  <c r="G178" i="5"/>
  <c r="B4353" i="106"/>
  <c r="D4353" i="106" s="1"/>
  <c r="F109" i="34"/>
  <c r="L261" i="29"/>
  <c r="G44" i="4"/>
  <c r="B7752" i="106"/>
  <c r="D7752" i="106" s="1"/>
  <c r="B1447" i="106"/>
  <c r="D1447" i="106" s="1"/>
  <c r="K280" i="29"/>
  <c r="B1433" i="106"/>
  <c r="D1433" i="106" s="1"/>
  <c r="K268" i="29"/>
  <c r="B1497" i="106" s="1"/>
  <c r="D1497" i="106" s="1"/>
  <c r="K256" i="29"/>
  <c r="B7098" i="106" s="1"/>
  <c r="D7098" i="106" s="1"/>
  <c r="B7097" i="106"/>
  <c r="D7097" i="106" s="1"/>
  <c r="D257" i="29"/>
  <c r="B1424" i="106" s="1"/>
  <c r="D1424" i="106" s="1"/>
  <c r="K236" i="29"/>
  <c r="B1479" i="106" s="1"/>
  <c r="D1479" i="106" s="1"/>
  <c r="B1415" i="106"/>
  <c r="D1415" i="106" s="1"/>
  <c r="K225" i="29"/>
  <c r="B1460" i="106" s="1"/>
  <c r="D1460" i="106" s="1"/>
  <c r="B1396" i="106"/>
  <c r="D1396" i="106" s="1"/>
  <c r="K217" i="29"/>
  <c r="B3391" i="106" s="1"/>
  <c r="D3391" i="106" s="1"/>
  <c r="B3388" i="106"/>
  <c r="D3388" i="106" s="1"/>
  <c r="B5860" i="106"/>
  <c r="D5860" i="106" s="1"/>
  <c r="B6813" i="106"/>
  <c r="D6813" i="106" s="1"/>
  <c r="F158" i="34"/>
  <c r="B4335" i="106"/>
  <c r="D4335" i="106" s="1"/>
  <c r="B5763" i="106"/>
  <c r="D5763" i="106" s="1"/>
  <c r="B5724" i="106"/>
  <c r="D5724" i="106" s="1"/>
  <c r="B6404" i="106"/>
  <c r="D6404" i="106" s="1"/>
  <c r="B5822" i="106"/>
  <c r="D5822" i="106" s="1"/>
  <c r="B5818" i="106"/>
  <c r="D5818" i="106" s="1"/>
  <c r="L303" i="29"/>
  <c r="B7106" i="106"/>
  <c r="D7106" i="106" s="1"/>
  <c r="H310" i="29"/>
  <c r="B7115" i="106" s="1"/>
  <c r="D7115" i="106" s="1"/>
  <c r="D303" i="29"/>
  <c r="B1525" i="106"/>
  <c r="D1525" i="106" s="1"/>
  <c r="B5907" i="106"/>
  <c r="D5907" i="106" s="1"/>
  <c r="H184" i="5"/>
  <c r="B5908" i="106" s="1"/>
  <c r="D5908" i="106" s="1"/>
  <c r="B5871" i="106"/>
  <c r="D5871" i="106" s="1"/>
  <c r="B9" i="7"/>
  <c r="B6245" i="106"/>
  <c r="D6245" i="106" s="1"/>
  <c r="E38" i="4"/>
  <c r="B6286" i="106" s="1"/>
  <c r="D6286" i="106" s="1"/>
  <c r="B7753" i="106"/>
  <c r="D7753" i="106" s="1"/>
  <c r="B7105" i="106"/>
  <c r="D7105" i="106" s="1"/>
  <c r="K306" i="29"/>
  <c r="E310" i="29"/>
  <c r="B7114" i="106" s="1"/>
  <c r="D7114" i="106" s="1"/>
  <c r="B1522" i="106"/>
  <c r="D1522" i="106" s="1"/>
  <c r="K302" i="29"/>
  <c r="B1558" i="106" s="1"/>
  <c r="D1558" i="106" s="1"/>
  <c r="B1519" i="106"/>
  <c r="D1519" i="106" s="1"/>
  <c r="K301" i="29"/>
  <c r="C303" i="29"/>
  <c r="B6371" i="106"/>
  <c r="D6371" i="106" s="1"/>
  <c r="H172" i="5"/>
  <c r="B5899" i="106" s="1"/>
  <c r="D5899" i="106" s="1"/>
  <c r="J303" i="29"/>
  <c r="B7100" i="106"/>
  <c r="D7100" i="106" s="1"/>
  <c r="B4365" i="106"/>
  <c r="D4365" i="106" s="1"/>
  <c r="H178" i="5"/>
  <c r="B7043" i="106"/>
  <c r="D7043" i="106" s="1"/>
  <c r="H34" i="3"/>
  <c r="B6130" i="106"/>
  <c r="D6130" i="106" s="1"/>
  <c r="B7112" i="106"/>
  <c r="D7112" i="106" s="1"/>
  <c r="K309" i="29"/>
  <c r="B3717" i="106" s="1"/>
  <c r="D3717" i="106" s="1"/>
  <c r="I303" i="29"/>
  <c r="B7099" i="106"/>
  <c r="D7099" i="106" s="1"/>
  <c r="B1549" i="106"/>
  <c r="D1549" i="106" s="1"/>
  <c r="H303" i="29"/>
  <c r="H18" i="5"/>
  <c r="B5878" i="106" s="1"/>
  <c r="D5878" i="106" s="1"/>
  <c r="B5874" i="106"/>
  <c r="D5874" i="106" s="1"/>
  <c r="B5882" i="106"/>
  <c r="D5882" i="106" s="1"/>
  <c r="H108" i="5"/>
  <c r="B5886" i="106" s="1"/>
  <c r="D5886" i="106" s="1"/>
  <c r="B6242" i="106"/>
  <c r="D6242" i="106" s="1"/>
  <c r="E37" i="4"/>
  <c r="K308" i="29"/>
  <c r="B4100" i="106" s="1"/>
  <c r="D4100" i="106" s="1"/>
  <c r="B7110" i="106"/>
  <c r="D7110" i="106" s="1"/>
  <c r="G303" i="29"/>
  <c r="B1543" i="106"/>
  <c r="D1543" i="106" s="1"/>
  <c r="B6619" i="106"/>
  <c r="D6619" i="106" s="1"/>
  <c r="H259" i="5"/>
  <c r="H121" i="5"/>
  <c r="B5887" i="106"/>
  <c r="D5887" i="106" s="1"/>
  <c r="B6299" i="106"/>
  <c r="D6299" i="106" s="1"/>
  <c r="B1537" i="106"/>
  <c r="D1537" i="106" s="1"/>
  <c r="F303" i="29"/>
  <c r="B2848" i="106"/>
  <c r="D2848" i="106" s="1"/>
  <c r="K307" i="29"/>
  <c r="B4099" i="106" s="1"/>
  <c r="D4099" i="106" s="1"/>
  <c r="B7108" i="106"/>
  <c r="D7108" i="106" s="1"/>
  <c r="B1531" i="106"/>
  <c r="D1531" i="106" s="1"/>
  <c r="E303" i="29"/>
  <c r="I34" i="3"/>
  <c r="B6139" i="106"/>
  <c r="D6139" i="106" s="1"/>
  <c r="I18" i="5"/>
  <c r="B5923" i="106" s="1"/>
  <c r="D5923" i="106" s="1"/>
  <c r="B5919" i="106"/>
  <c r="D5919" i="106" s="1"/>
  <c r="B4215" i="106"/>
  <c r="D4215" i="106" s="1"/>
  <c r="I172" i="5"/>
  <c r="B5927" i="106"/>
  <c r="D5927" i="106" s="1"/>
  <c r="I108" i="5"/>
  <c r="B5930" i="106" s="1"/>
  <c r="D5930" i="106" s="1"/>
  <c r="B5917" i="106"/>
  <c r="D5917" i="106" s="1"/>
  <c r="B2772" i="106"/>
  <c r="D2772" i="106" s="1"/>
  <c r="I44" i="4"/>
  <c r="B3317" i="106" s="1"/>
  <c r="D3317" i="106" s="1"/>
  <c r="B7125" i="106"/>
  <c r="D7125" i="106" s="1"/>
  <c r="J330" i="29"/>
  <c r="B6353" i="106"/>
  <c r="D6353" i="106" s="1"/>
  <c r="J121" i="5"/>
  <c r="B6131" i="106"/>
  <c r="D6131" i="106" s="1"/>
  <c r="J34" i="3"/>
  <c r="B7124" i="106"/>
  <c r="D7124" i="106" s="1"/>
  <c r="I330" i="29"/>
  <c r="J178" i="5"/>
  <c r="B6398" i="106"/>
  <c r="D6398" i="106" s="1"/>
  <c r="B7123" i="106"/>
  <c r="D7123" i="106" s="1"/>
  <c r="H330" i="29"/>
  <c r="B6395" i="106"/>
  <c r="D6395" i="106" s="1"/>
  <c r="B6300" i="106"/>
  <c r="D6300" i="106" s="1"/>
  <c r="B6319" i="106"/>
  <c r="D6319" i="106" s="1"/>
  <c r="J108" i="5"/>
  <c r="B6351" i="106" s="1"/>
  <c r="D6351" i="106" s="1"/>
  <c r="B7122" i="106"/>
  <c r="D7122" i="106" s="1"/>
  <c r="G330" i="29"/>
  <c r="B6239" i="106"/>
  <c r="D6239" i="106" s="1"/>
  <c r="J76" i="4"/>
  <c r="B6261" i="106" s="1"/>
  <c r="D6261" i="106" s="1"/>
  <c r="J44" i="4"/>
  <c r="B7754" i="106"/>
  <c r="D7754" i="106" s="1"/>
  <c r="F330" i="29"/>
  <c r="B7121" i="106"/>
  <c r="D7121" i="106" s="1"/>
  <c r="J172" i="5"/>
  <c r="B6396" i="106" s="1"/>
  <c r="D6396" i="106" s="1"/>
  <c r="B6373" i="106"/>
  <c r="D6373" i="106" s="1"/>
  <c r="B7212" i="106"/>
  <c r="D7212" i="106" s="1"/>
  <c r="K339" i="29"/>
  <c r="B7213" i="106" s="1"/>
  <c r="D7213" i="106" s="1"/>
  <c r="B7120" i="106"/>
  <c r="D7120" i="106" s="1"/>
  <c r="E330" i="29"/>
  <c r="B7210" i="106"/>
  <c r="D7210" i="106" s="1"/>
  <c r="K338" i="29"/>
  <c r="B7211" i="106" s="1"/>
  <c r="D7211" i="106" s="1"/>
  <c r="D330" i="29"/>
  <c r="B7119" i="106"/>
  <c r="D7119" i="106" s="1"/>
  <c r="H340" i="29"/>
  <c r="B7214" i="106" s="1"/>
  <c r="D7214" i="106" s="1"/>
  <c r="B7208" i="106"/>
  <c r="D7208" i="106" s="1"/>
  <c r="K337" i="29"/>
  <c r="K329" i="29"/>
  <c r="B7705" i="106" s="1"/>
  <c r="D7705" i="106" s="1"/>
  <c r="B7697" i="106"/>
  <c r="D7697" i="106" s="1"/>
  <c r="B7688" i="106"/>
  <c r="D7688" i="106" s="1"/>
  <c r="K328" i="29"/>
  <c r="B7696" i="106" s="1"/>
  <c r="D7696" i="106" s="1"/>
  <c r="K327" i="29"/>
  <c r="B7198" i="106" s="1"/>
  <c r="D7198" i="106" s="1"/>
  <c r="B7190" i="106"/>
  <c r="D7190" i="106" s="1"/>
  <c r="B7181" i="106"/>
  <c r="D7181" i="106" s="1"/>
  <c r="K326" i="29"/>
  <c r="B7189" i="106" s="1"/>
  <c r="D7189" i="106" s="1"/>
  <c r="B7172" i="106"/>
  <c r="D7172" i="106" s="1"/>
  <c r="K325" i="29"/>
  <c r="B7180" i="106" s="1"/>
  <c r="D7180" i="106" s="1"/>
  <c r="K324" i="29"/>
  <c r="B7171" i="106" s="1"/>
  <c r="D7171" i="106" s="1"/>
  <c r="B7163" i="106"/>
  <c r="D7163" i="106" s="1"/>
  <c r="B7154" i="106"/>
  <c r="D7154" i="106" s="1"/>
  <c r="K323" i="29"/>
  <c r="B7162" i="106" s="1"/>
  <c r="D7162" i="106" s="1"/>
  <c r="B7145" i="106"/>
  <c r="D7145" i="106" s="1"/>
  <c r="K322" i="29"/>
  <c r="B7153" i="106" s="1"/>
  <c r="D7153" i="106" s="1"/>
  <c r="K321" i="29"/>
  <c r="B7144" i="106" s="1"/>
  <c r="D7144" i="106" s="1"/>
  <c r="B7136" i="106"/>
  <c r="D7136" i="106" s="1"/>
  <c r="K320" i="29"/>
  <c r="B7135" i="106" s="1"/>
  <c r="D7135" i="106" s="1"/>
  <c r="B7127" i="106"/>
  <c r="D7127" i="106" s="1"/>
  <c r="K319" i="29"/>
  <c r="C330" i="29"/>
  <c r="B7118" i="106"/>
  <c r="D7118" i="106" s="1"/>
  <c r="J18" i="5"/>
  <c r="B6306" i="106" s="1"/>
  <c r="D6306" i="106" s="1"/>
  <c r="B6302" i="106"/>
  <c r="D6302" i="106" s="1"/>
  <c r="L362" i="29"/>
  <c r="L365" i="29" s="1"/>
  <c r="K361" i="29"/>
  <c r="B7239" i="106" s="1"/>
  <c r="D7239" i="106" s="1"/>
  <c r="B7238" i="106"/>
  <c r="D7238" i="106" s="1"/>
  <c r="B3631" i="106"/>
  <c r="D3631" i="106" s="1"/>
  <c r="E350" i="29"/>
  <c r="B6000" i="106"/>
  <c r="D6000" i="106" s="1"/>
  <c r="K121" i="5"/>
  <c r="B5996" i="106"/>
  <c r="D5996" i="106" s="1"/>
  <c r="K108" i="5"/>
  <c r="B5999" i="106" s="1"/>
  <c r="D5999" i="106" s="1"/>
  <c r="H362" i="29"/>
  <c r="B3657" i="106"/>
  <c r="D3657" i="106" s="1"/>
  <c r="K360" i="29"/>
  <c r="B3624" i="106"/>
  <c r="D3624" i="106" s="1"/>
  <c r="D350" i="29"/>
  <c r="B6132" i="106"/>
  <c r="D6132" i="106" s="1"/>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B3617" i="106"/>
  <c r="D3617" i="106" s="1"/>
  <c r="C350" i="29"/>
  <c r="B7240" i="106"/>
  <c r="D7240" i="106" s="1"/>
  <c r="K363" i="29"/>
  <c r="B7241" i="106" s="1"/>
  <c r="D7241" i="106" s="1"/>
  <c r="K18" i="5"/>
  <c r="B5992" i="106" s="1"/>
  <c r="D5992" i="106" s="1"/>
  <c r="B5988" i="106"/>
  <c r="D5988" i="106" s="1"/>
  <c r="B6257" i="106"/>
  <c r="D6257" i="106" s="1"/>
  <c r="B3579" i="106"/>
  <c r="D3579" i="106" s="1"/>
  <c r="D68" i="36"/>
  <c r="J350" i="29"/>
  <c r="B7227" i="106"/>
  <c r="D7227" i="106" s="1"/>
  <c r="B4868" i="106"/>
  <c r="D4868" i="106" s="1"/>
  <c r="K273" i="5"/>
  <c r="B4442" i="106" s="1"/>
  <c r="D4442" i="106" s="1"/>
  <c r="B5993" i="106"/>
  <c r="D5993" i="106" s="1"/>
  <c r="B6296" i="106"/>
  <c r="D6296" i="106" s="1"/>
  <c r="D73" i="36"/>
  <c r="B3638" i="106"/>
  <c r="D3638" i="106" s="1"/>
  <c r="F350" i="29"/>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B5985" i="106"/>
  <c r="D5985" i="106" s="1"/>
  <c r="B12" i="7"/>
  <c r="K44" i="4"/>
  <c r="B7755" i="106"/>
  <c r="D7755" i="106" s="1"/>
  <c r="I47" i="4"/>
  <c r="G350" i="29"/>
  <c r="B3645" i="106"/>
  <c r="D3645" i="106" s="1"/>
  <c r="B4368" i="106"/>
  <c r="D4368" i="106" s="1"/>
  <c r="K178" i="5"/>
  <c r="B5880" i="106"/>
  <c r="D5880"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E194" i="29" l="1"/>
  <c r="L257" i="29"/>
  <c r="B3546" i="106"/>
  <c r="D3546" i="106" s="1"/>
  <c r="K62" i="29"/>
  <c r="B1129" i="106" s="1"/>
  <c r="D1129" i="106" s="1"/>
  <c r="L310" i="29"/>
  <c r="L312" i="29" s="1"/>
  <c r="F172" i="34"/>
  <c r="L57" i="29"/>
  <c r="K13" i="3"/>
  <c r="B3552" i="106" s="1"/>
  <c r="D3552" i="106" s="1"/>
  <c r="H76" i="4"/>
  <c r="B3298" i="106" s="1"/>
  <c r="D3298" i="106" s="1"/>
  <c r="L293" i="29"/>
  <c r="K9" i="29"/>
  <c r="K76" i="4"/>
  <c r="B3586" i="106" s="1"/>
  <c r="D3586" i="106" s="1"/>
  <c r="F131" i="5"/>
  <c r="F121" i="5"/>
  <c r="B5599" i="106" s="1"/>
  <c r="D5599" i="106" s="1"/>
  <c r="K195" i="29"/>
  <c r="B2839" i="106" s="1"/>
  <c r="D2839" i="106" s="1"/>
  <c r="L350" i="29"/>
  <c r="L352" i="29" s="1"/>
  <c r="L367" i="29" s="1"/>
  <c r="H110" i="29"/>
  <c r="B1053" i="106" s="1"/>
  <c r="D1053" i="106" s="1"/>
  <c r="L340" i="29"/>
  <c r="G39" i="108"/>
  <c r="I129" i="29"/>
  <c r="J129" i="29"/>
  <c r="B7038" i="106" s="1"/>
  <c r="D7038" i="106" s="1"/>
  <c r="L47" i="29"/>
  <c r="B5986" i="106"/>
  <c r="D5986" i="106" s="1"/>
  <c r="G30" i="108"/>
  <c r="K61" i="29"/>
  <c r="K183" i="29"/>
  <c r="B1380" i="106" s="1"/>
  <c r="D1380" i="106" s="1"/>
  <c r="C40" i="5"/>
  <c r="B5087" i="106" s="1"/>
  <c r="D5087" i="106" s="1"/>
  <c r="E30" i="108"/>
  <c r="L53" i="29"/>
  <c r="K64" i="29"/>
  <c r="B1131" i="106" s="1"/>
  <c r="D1131" i="106" s="1"/>
  <c r="F160" i="34"/>
  <c r="D34" i="36"/>
  <c r="K50" i="29"/>
  <c r="B1121" i="106" s="1"/>
  <c r="D1121" i="106" s="1"/>
  <c r="I53" i="29"/>
  <c r="B6942" i="106" s="1"/>
  <c r="D6942" i="106" s="1"/>
  <c r="G65" i="29"/>
  <c r="B977" i="106" s="1"/>
  <c r="D977" i="106" s="1"/>
  <c r="B14" i="7"/>
  <c r="B1754" i="106" s="1"/>
  <c r="D1754" i="106" s="1"/>
  <c r="C12" i="5"/>
  <c r="B5066" i="106" s="1"/>
  <c r="D5066" i="106" s="1"/>
  <c r="E39" i="108"/>
  <c r="C129" i="29"/>
  <c r="B1225" i="106" s="1"/>
  <c r="D1225" i="106" s="1"/>
  <c r="L137" i="29"/>
  <c r="L139" i="29" s="1"/>
  <c r="L194" i="29"/>
  <c r="L196" i="29" s="1"/>
  <c r="G259" i="5"/>
  <c r="B6837" i="106" s="1"/>
  <c r="D6837" i="106" s="1"/>
  <c r="D26" i="108"/>
  <c r="F26" i="108"/>
  <c r="L33" i="29"/>
  <c r="F72" i="29"/>
  <c r="B927" i="106" s="1"/>
  <c r="D927" i="106" s="1"/>
  <c r="H44" i="4"/>
  <c r="B3296" i="106" s="1"/>
  <c r="D3296" i="106" s="1"/>
  <c r="B1109" i="106"/>
  <c r="D1109" i="106" s="1"/>
  <c r="C216" i="5"/>
  <c r="B4411" i="106" s="1"/>
  <c r="D4411" i="106" s="1"/>
  <c r="B5256" i="106"/>
  <c r="D5256" i="106" s="1"/>
  <c r="B5097" i="106"/>
  <c r="D5097" i="106" s="1"/>
  <c r="C82" i="5"/>
  <c r="B5102" i="106" s="1"/>
  <c r="D5102" i="106" s="1"/>
  <c r="B5139" i="106"/>
  <c r="D5139" i="106" s="1"/>
  <c r="F138" i="34"/>
  <c r="F170" i="34"/>
  <c r="F157" i="34"/>
  <c r="F149" i="34"/>
  <c r="F29" i="34" s="1"/>
  <c r="H33" i="29"/>
  <c r="E14" i="145"/>
  <c r="G14" i="145" s="1"/>
  <c r="B1124" i="106"/>
  <c r="D1124" i="106" s="1"/>
  <c r="K82" i="29"/>
  <c r="B2977" i="106" s="1"/>
  <c r="D2977" i="106" s="1"/>
  <c r="B2953" i="106"/>
  <c r="D2953" i="106" s="1"/>
  <c r="I33" i="29"/>
  <c r="B6891" i="106"/>
  <c r="D6891" i="106" s="1"/>
  <c r="F46" i="34"/>
  <c r="L92" i="29"/>
  <c r="B720" i="106"/>
  <c r="D720" i="106" s="1"/>
  <c r="B6997" i="106"/>
  <c r="D6997" i="106" s="1"/>
  <c r="K100" i="29"/>
  <c r="B7013" i="106" s="1"/>
  <c r="D7013" i="106" s="1"/>
  <c r="B5175" i="106"/>
  <c r="D5175" i="106" s="1"/>
  <c r="C154" i="5"/>
  <c r="B5178" i="106" s="1"/>
  <c r="D5178" i="106" s="1"/>
  <c r="B6401" i="106"/>
  <c r="D6401" i="106" s="1"/>
  <c r="C201" i="5"/>
  <c r="B5246" i="106" s="1"/>
  <c r="D5246" i="106" s="1"/>
  <c r="B5167" i="106"/>
  <c r="D5167" i="106" s="1"/>
  <c r="F108" i="34"/>
  <c r="B5122" i="106"/>
  <c r="D5122" i="106" s="1"/>
  <c r="C114" i="5"/>
  <c r="F125" i="34"/>
  <c r="F171" i="34"/>
  <c r="F122" i="34"/>
  <c r="F43" i="34"/>
  <c r="B6885" i="106"/>
  <c r="D6885" i="106" s="1"/>
  <c r="E13" i="145"/>
  <c r="G13" i="145" s="1"/>
  <c r="B2724" i="106"/>
  <c r="D2724" i="106" s="1"/>
  <c r="E17" i="145"/>
  <c r="G17" i="145" s="1"/>
  <c r="B1134" i="106"/>
  <c r="D1134" i="106" s="1"/>
  <c r="K72" i="29"/>
  <c r="B1141" i="106" s="1"/>
  <c r="D1141" i="106" s="1"/>
  <c r="B2081" i="106"/>
  <c r="D2081" i="106" s="1"/>
  <c r="H102" i="29"/>
  <c r="B1047" i="106" s="1"/>
  <c r="D1047" i="106" s="1"/>
  <c r="L100" i="29"/>
  <c r="B894" i="106"/>
  <c r="D894" i="106" s="1"/>
  <c r="B901" i="106"/>
  <c r="D901" i="106" s="1"/>
  <c r="K101" i="29"/>
  <c r="B7015" i="106" s="1"/>
  <c r="D7015" i="106" s="1"/>
  <c r="B2947" i="106"/>
  <c r="D2947" i="106" s="1"/>
  <c r="K92" i="29"/>
  <c r="B2089" i="106" s="1"/>
  <c r="D2089" i="106" s="1"/>
  <c r="B6995" i="106"/>
  <c r="D6995" i="106" s="1"/>
  <c r="B1017" i="106"/>
  <c r="D1017" i="106" s="1"/>
  <c r="H65" i="29"/>
  <c r="B1035" i="106" s="1"/>
  <c r="D1035" i="106" s="1"/>
  <c r="B1028" i="106"/>
  <c r="D1028" i="106" s="1"/>
  <c r="B937" i="106"/>
  <c r="D937" i="106" s="1"/>
  <c r="G33" i="29"/>
  <c r="B5148" i="106"/>
  <c r="D5148" i="106" s="1"/>
  <c r="C140" i="5"/>
  <c r="B5161" i="106" s="1"/>
  <c r="D5161" i="106" s="1"/>
  <c r="F112" i="34"/>
  <c r="B5181" i="106"/>
  <c r="D5181" i="106" s="1"/>
  <c r="C191" i="5"/>
  <c r="B5233" i="106"/>
  <c r="D5233" i="106" s="1"/>
  <c r="B5301" i="106"/>
  <c r="D5301" i="106" s="1"/>
  <c r="C228" i="5"/>
  <c r="B5304" i="106" s="1"/>
  <c r="D5304" i="106" s="1"/>
  <c r="F146" i="34"/>
  <c r="F140" i="34"/>
  <c r="F166" i="34"/>
  <c r="F103" i="34"/>
  <c r="B727" i="106"/>
  <c r="D727" i="106" s="1"/>
  <c r="C74" i="29"/>
  <c r="B755" i="106" s="1"/>
  <c r="D755" i="106" s="1"/>
  <c r="E15" i="145"/>
  <c r="B1126" i="106"/>
  <c r="D1126" i="106" s="1"/>
  <c r="B6889" i="106"/>
  <c r="D6889" i="106" s="1"/>
  <c r="F45" i="34"/>
  <c r="C144" i="5"/>
  <c r="B5165" i="106" s="1"/>
  <c r="D5165" i="106" s="1"/>
  <c r="B6848" i="106"/>
  <c r="D6848" i="106" s="1"/>
  <c r="F34" i="34"/>
  <c r="B1107" i="106"/>
  <c r="D1107" i="106" s="1"/>
  <c r="F38" i="34"/>
  <c r="L42" i="29"/>
  <c r="B959" i="106"/>
  <c r="D959" i="106" s="1"/>
  <c r="G74" i="29"/>
  <c r="B987" i="106" s="1"/>
  <c r="D987" i="106" s="1"/>
  <c r="E33" i="29"/>
  <c r="H72" i="29"/>
  <c r="B1043" i="106" s="1"/>
  <c r="D1043" i="106" s="1"/>
  <c r="B1036" i="106"/>
  <c r="D1036" i="106" s="1"/>
  <c r="B1146" i="106"/>
  <c r="D1146" i="106" s="1"/>
  <c r="L65" i="29"/>
  <c r="B5224" i="106"/>
  <c r="D5224" i="106" s="1"/>
  <c r="C178" i="5"/>
  <c r="F139" i="34"/>
  <c r="B6901" i="106"/>
  <c r="D6901" i="106" s="1"/>
  <c r="F51" i="34"/>
  <c r="B6899" i="106"/>
  <c r="D6899" i="106" s="1"/>
  <c r="F50" i="34"/>
  <c r="L84" i="29"/>
  <c r="B6883" i="106"/>
  <c r="D6883" i="106" s="1"/>
  <c r="F42" i="34"/>
  <c r="B843" i="106"/>
  <c r="D843" i="106" s="1"/>
  <c r="E74" i="29"/>
  <c r="B871" i="106" s="1"/>
  <c r="D871" i="106" s="1"/>
  <c r="K11" i="29"/>
  <c r="K19" i="29"/>
  <c r="B3381" i="106" s="1"/>
  <c r="D3381" i="106" s="1"/>
  <c r="B778" i="106"/>
  <c r="D778" i="106" s="1"/>
  <c r="K6" i="29"/>
  <c r="B7763" i="106" s="1"/>
  <c r="D7763" i="106" s="1"/>
  <c r="B7762" i="106"/>
  <c r="D7762" i="106" s="1"/>
  <c r="B5106" i="106"/>
  <c r="D5106" i="106" s="1"/>
  <c r="F97" i="34"/>
  <c r="F153" i="34"/>
  <c r="F150" i="34"/>
  <c r="F144" i="34"/>
  <c r="C67" i="5"/>
  <c r="B5090" i="106" s="1"/>
  <c r="D5090" i="106" s="1"/>
  <c r="B6905" i="106"/>
  <c r="D6905" i="106" s="1"/>
  <c r="J42" i="29"/>
  <c r="K37" i="29"/>
  <c r="B1110" i="106" s="1"/>
  <c r="D1110" i="106" s="1"/>
  <c r="C13" i="3"/>
  <c r="B1104" i="106"/>
  <c r="D1104" i="106" s="1"/>
  <c r="F37" i="34"/>
  <c r="K16" i="29"/>
  <c r="B1094" i="106" s="1"/>
  <c r="D1094" i="106" s="1"/>
  <c r="B706" i="106"/>
  <c r="D706" i="106" s="1"/>
  <c r="L72" i="29"/>
  <c r="B5103" i="106"/>
  <c r="D5103" i="106" s="1"/>
  <c r="F96" i="34"/>
  <c r="C93" i="5"/>
  <c r="B5112" i="106" s="1"/>
  <c r="D5112" i="106" s="1"/>
  <c r="F133" i="34"/>
  <c r="F114" i="34"/>
  <c r="F152" i="34"/>
  <c r="F134" i="34"/>
  <c r="F154" i="34"/>
  <c r="F118" i="34"/>
  <c r="F174" i="34"/>
  <c r="F121" i="34"/>
  <c r="B1744" i="106"/>
  <c r="D1744" i="106" s="1"/>
  <c r="D4" i="7"/>
  <c r="B1760" i="106" s="1"/>
  <c r="D1760" i="106" s="1"/>
  <c r="K57" i="29"/>
  <c r="B1125" i="106" s="1"/>
  <c r="D1125" i="106" s="1"/>
  <c r="B1123" i="106"/>
  <c r="D1123" i="106" s="1"/>
  <c r="E16" i="145"/>
  <c r="G16" i="145" s="1"/>
  <c r="B1144" i="106"/>
  <c r="D1144" i="106" s="1"/>
  <c r="C14" i="4"/>
  <c r="B2558" i="106" s="1"/>
  <c r="D2558" i="106" s="1"/>
  <c r="F52" i="34"/>
  <c r="B6904" i="106"/>
  <c r="D6904" i="106" s="1"/>
  <c r="I42" i="29"/>
  <c r="B5064" i="106"/>
  <c r="D5064" i="106" s="1"/>
  <c r="B17" i="7"/>
  <c r="B785" i="106"/>
  <c r="D785" i="106" s="1"/>
  <c r="D74" i="29"/>
  <c r="B813" i="106" s="1"/>
  <c r="D813" i="106" s="1"/>
  <c r="B6877" i="106"/>
  <c r="D6877" i="106" s="1"/>
  <c r="F39" i="34"/>
  <c r="B6879" i="106"/>
  <c r="D6879" i="106" s="1"/>
  <c r="F40" i="34"/>
  <c r="C44" i="4"/>
  <c r="B6881" i="106"/>
  <c r="D6881" i="106" s="1"/>
  <c r="F41" i="34"/>
  <c r="B6614" i="106"/>
  <c r="D6614" i="106" s="1"/>
  <c r="C259" i="5"/>
  <c r="B6833" i="106" s="1"/>
  <c r="D6833" i="106" s="1"/>
  <c r="B5230" i="106"/>
  <c r="D5230" i="106" s="1"/>
  <c r="F126" i="34"/>
  <c r="C184" i="5"/>
  <c r="B5232" i="106" s="1"/>
  <c r="D5232" i="106" s="1"/>
  <c r="B5111" i="106"/>
  <c r="D5111" i="106" s="1"/>
  <c r="F100" i="34"/>
  <c r="F116" i="34"/>
  <c r="F123" i="34"/>
  <c r="K107" i="29"/>
  <c r="B2795" i="106" s="1"/>
  <c r="D2795" i="106" s="1"/>
  <c r="B2791" i="106"/>
  <c r="D2791" i="106" s="1"/>
  <c r="B6887" i="106"/>
  <c r="D6887" i="106" s="1"/>
  <c r="F44" i="34"/>
  <c r="K47" i="29"/>
  <c r="B1119" i="106" s="1"/>
  <c r="D1119" i="106" s="1"/>
  <c r="B1116" i="106"/>
  <c r="D1116" i="106" s="1"/>
  <c r="B1120" i="106"/>
  <c r="D1120" i="106" s="1"/>
  <c r="E84" i="29"/>
  <c r="K78" i="29"/>
  <c r="B2949" i="106"/>
  <c r="D2949" i="106" s="1"/>
  <c r="K108" i="29"/>
  <c r="B2796" i="106" s="1"/>
  <c r="D2796" i="106" s="1"/>
  <c r="B2792" i="106"/>
  <c r="D2792" i="106" s="1"/>
  <c r="C75" i="5"/>
  <c r="B6903" i="106"/>
  <c r="D6903" i="106" s="1"/>
  <c r="K13" i="29"/>
  <c r="B1105" i="106" s="1"/>
  <c r="D1105" i="106" s="1"/>
  <c r="C211" i="5"/>
  <c r="B5260" i="106" s="1"/>
  <c r="D5260" i="106" s="1"/>
  <c r="B5247" i="106"/>
  <c r="D5247" i="106" s="1"/>
  <c r="B5133" i="106"/>
  <c r="D5133" i="106" s="1"/>
  <c r="B5113" i="106"/>
  <c r="D5113" i="106" s="1"/>
  <c r="C108" i="5"/>
  <c r="B5120" i="106" s="1"/>
  <c r="D5120" i="106" s="1"/>
  <c r="B5126" i="106"/>
  <c r="D5126" i="106" s="1"/>
  <c r="C121" i="5"/>
  <c r="F169" i="34"/>
  <c r="D12" i="171"/>
  <c r="F113" i="34"/>
  <c r="F101" i="34"/>
  <c r="B91" i="106"/>
  <c r="D91" i="106" s="1"/>
  <c r="K5" i="29"/>
  <c r="B6853" i="106"/>
  <c r="D6853" i="106" s="1"/>
  <c r="F35" i="34"/>
  <c r="B6893" i="106"/>
  <c r="D6893" i="106" s="1"/>
  <c r="F47" i="34"/>
  <c r="B6895" i="106"/>
  <c r="D6895" i="106" s="1"/>
  <c r="F48" i="34"/>
  <c r="B6897" i="106"/>
  <c r="D6897" i="106" s="1"/>
  <c r="F49" i="34"/>
  <c r="K123" i="29"/>
  <c r="B1275" i="106" s="1"/>
  <c r="D1275" i="106" s="1"/>
  <c r="F15" i="145"/>
  <c r="B1274" i="106"/>
  <c r="D1274" i="106" s="1"/>
  <c r="G26" i="108"/>
  <c r="E26" i="108"/>
  <c r="B6126" i="106"/>
  <c r="D6126" i="106" s="1"/>
  <c r="D34" i="3"/>
  <c r="B4080" i="106"/>
  <c r="D4080" i="106" s="1"/>
  <c r="B5341" i="106"/>
  <c r="D5341" i="106" s="1"/>
  <c r="G129" i="29"/>
  <c r="H129" i="29"/>
  <c r="B5360" i="106"/>
  <c r="D5360" i="106" s="1"/>
  <c r="D5" i="4"/>
  <c r="B3406" i="106" s="1"/>
  <c r="D3406" i="106" s="1"/>
  <c r="B5348" i="106"/>
  <c r="D5348" i="106" s="1"/>
  <c r="H139" i="29"/>
  <c r="B1267" i="106" s="1"/>
  <c r="D1267" i="106" s="1"/>
  <c r="B2091" i="106"/>
  <c r="D2091" i="106" s="1"/>
  <c r="B5369" i="106"/>
  <c r="D5369" i="106" s="1"/>
  <c r="D172" i="5"/>
  <c r="B5412" i="106" s="1"/>
  <c r="D5412" i="106" s="1"/>
  <c r="B5330" i="106"/>
  <c r="D5330" i="106" s="1"/>
  <c r="B13" i="7"/>
  <c r="B5367" i="106"/>
  <c r="D5367" i="106" s="1"/>
  <c r="H149" i="29"/>
  <c r="B1272" i="106" s="1"/>
  <c r="D1272" i="106" s="1"/>
  <c r="B7047" i="106"/>
  <c r="D7047" i="106" s="1"/>
  <c r="B3235" i="106"/>
  <c r="D3235" i="106" s="1"/>
  <c r="D77" i="4"/>
  <c r="B3238" i="106" s="1"/>
  <c r="D3238" i="106" s="1"/>
  <c r="E139" i="29"/>
  <c r="B4203" i="106" s="1"/>
  <c r="D4203" i="106" s="1"/>
  <c r="B4202" i="106"/>
  <c r="D4202" i="106" s="1"/>
  <c r="B1283" i="106"/>
  <c r="D1283" i="106" s="1"/>
  <c r="K147" i="29"/>
  <c r="B2805" i="106"/>
  <c r="D2805" i="106" s="1"/>
  <c r="D14" i="4"/>
  <c r="B2570" i="106" s="1"/>
  <c r="D2570" i="106" s="1"/>
  <c r="F56" i="34"/>
  <c r="E127" i="29"/>
  <c r="B1235" i="106"/>
  <c r="D1235" i="106" s="1"/>
  <c r="B7037" i="106"/>
  <c r="D7037" i="106" s="1"/>
  <c r="I151" i="29"/>
  <c r="L127" i="29"/>
  <c r="L129" i="29" s="1"/>
  <c r="B2986" i="106"/>
  <c r="D2986" i="106" s="1"/>
  <c r="K137" i="29"/>
  <c r="B5328" i="106"/>
  <c r="D5328" i="106" s="1"/>
  <c r="D12" i="5"/>
  <c r="B5" i="7"/>
  <c r="D211" i="5"/>
  <c r="B5444" i="106" s="1"/>
  <c r="D5444" i="106" s="1"/>
  <c r="B3414" i="106"/>
  <c r="D3414" i="106" s="1"/>
  <c r="D13" i="3"/>
  <c r="D35" i="36"/>
  <c r="B4396" i="106"/>
  <c r="D4396" i="106" s="1"/>
  <c r="B5340" i="106"/>
  <c r="D5340" i="106" s="1"/>
  <c r="F129" i="29"/>
  <c r="B5423" i="106"/>
  <c r="D5423" i="106" s="1"/>
  <c r="D129" i="29"/>
  <c r="L172" i="29"/>
  <c r="L174" i="29" s="1"/>
  <c r="F61" i="34"/>
  <c r="B1329" i="106"/>
  <c r="D1329" i="106" s="1"/>
  <c r="B4372" i="106"/>
  <c r="D4372" i="106" s="1"/>
  <c r="B1756" i="106"/>
  <c r="D1756" i="106" s="1"/>
  <c r="D15" i="7"/>
  <c r="B1772" i="106" s="1"/>
  <c r="D1772" i="106" s="1"/>
  <c r="B5534" i="106"/>
  <c r="D5534" i="106" s="1"/>
  <c r="E173" i="5"/>
  <c r="B1324" i="106"/>
  <c r="D1324" i="106" s="1"/>
  <c r="K168" i="29"/>
  <c r="B7778" i="106"/>
  <c r="D7778" i="106" s="1"/>
  <c r="K160" i="29"/>
  <c r="B1314" i="106"/>
  <c r="D1314" i="106" s="1"/>
  <c r="H172" i="29"/>
  <c r="E273" i="5"/>
  <c r="B7747" i="106" s="1"/>
  <c r="D7747" i="106" s="1"/>
  <c r="B6835" i="106"/>
  <c r="D6835" i="106" s="1"/>
  <c r="B131" i="106"/>
  <c r="D131" i="106" s="1"/>
  <c r="B5520" i="106"/>
  <c r="D5520" i="106" s="1"/>
  <c r="B1308" i="106"/>
  <c r="D1308" i="106" s="1"/>
  <c r="E174" i="29"/>
  <c r="B1309" i="106" s="1"/>
  <c r="D1309" i="106" s="1"/>
  <c r="B5519" i="106"/>
  <c r="D5519" i="106" s="1"/>
  <c r="B5509" i="106"/>
  <c r="D5509" i="106" s="1"/>
  <c r="E12" i="5"/>
  <c r="B6" i="7"/>
  <c r="B139" i="106"/>
  <c r="D139" i="106" s="1"/>
  <c r="F13" i="3"/>
  <c r="B157" i="106" s="1"/>
  <c r="D157" i="106" s="1"/>
  <c r="F211" i="5"/>
  <c r="B5677" i="106" s="1"/>
  <c r="D5677" i="106" s="1"/>
  <c r="B1747" i="106"/>
  <c r="D1747" i="106" s="1"/>
  <c r="D7" i="7"/>
  <c r="B1763" i="106" s="1"/>
  <c r="D1763" i="106" s="1"/>
  <c r="B1383" i="106"/>
  <c r="D1383" i="106" s="1"/>
  <c r="H194" i="29"/>
  <c r="B6312" i="106"/>
  <c r="D6312" i="106" s="1"/>
  <c r="F87" i="34"/>
  <c r="B1372" i="106"/>
  <c r="D1372" i="106" s="1"/>
  <c r="K200" i="29"/>
  <c r="B1384" i="106" s="1"/>
  <c r="D1384" i="106" s="1"/>
  <c r="F14" i="4"/>
  <c r="B2597" i="106" s="1"/>
  <c r="D2597" i="106" s="1"/>
  <c r="F62" i="34"/>
  <c r="B2836" i="106"/>
  <c r="D2836" i="106" s="1"/>
  <c r="B1351" i="106"/>
  <c r="D1351" i="106" s="1"/>
  <c r="B4211" i="106"/>
  <c r="D4211" i="106" s="1"/>
  <c r="F64" i="34"/>
  <c r="F44" i="4"/>
  <c r="B18" i="7"/>
  <c r="B4103" i="106" s="1"/>
  <c r="D4103" i="106" s="1"/>
  <c r="B5569" i="106"/>
  <c r="D5569" i="106" s="1"/>
  <c r="F21" i="34"/>
  <c r="B3007" i="106"/>
  <c r="D3007" i="106" s="1"/>
  <c r="L184" i="29"/>
  <c r="B6314" i="106"/>
  <c r="D6314" i="106" s="1"/>
  <c r="F90" i="34"/>
  <c r="I184" i="29"/>
  <c r="B7057" i="106"/>
  <c r="D7057" i="106" s="1"/>
  <c r="B4354" i="106"/>
  <c r="D4354" i="106" s="1"/>
  <c r="F30" i="34"/>
  <c r="J184" i="29"/>
  <c r="B7058" i="106"/>
  <c r="D7058" i="106" s="1"/>
  <c r="E196" i="29"/>
  <c r="B1352" i="106" s="1"/>
  <c r="D1352" i="106" s="1"/>
  <c r="B2823" i="106"/>
  <c r="D2823" i="106" s="1"/>
  <c r="F224" i="5"/>
  <c r="B5703" i="106" s="1"/>
  <c r="D5703" i="106" s="1"/>
  <c r="G184" i="29"/>
  <c r="H184" i="29"/>
  <c r="B4086" i="106"/>
  <c r="D4086" i="106" s="1"/>
  <c r="G38" i="108"/>
  <c r="F76" i="4"/>
  <c r="B3254" i="106" s="1"/>
  <c r="D3254" i="106" s="1"/>
  <c r="L204" i="29"/>
  <c r="L208" i="29" s="1"/>
  <c r="B2991" i="106"/>
  <c r="D2991" i="106" s="1"/>
  <c r="K190" i="29"/>
  <c r="B3009" i="106" s="1"/>
  <c r="D3009" i="106" s="1"/>
  <c r="D72" i="36"/>
  <c r="B5568" i="106"/>
  <c r="D5568" i="106" s="1"/>
  <c r="F20" i="34"/>
  <c r="K192" i="29"/>
  <c r="B3011" i="106" s="1"/>
  <c r="D3011" i="106" s="1"/>
  <c r="B2993" i="106"/>
  <c r="D2993" i="106" s="1"/>
  <c r="B4397" i="106"/>
  <c r="D4397" i="106" s="1"/>
  <c r="F12" i="5"/>
  <c r="K191" i="29"/>
  <c r="B3010" i="106" s="1"/>
  <c r="D3010" i="106" s="1"/>
  <c r="B5655" i="106"/>
  <c r="D5655" i="106" s="1"/>
  <c r="B5592" i="106"/>
  <c r="D5592" i="106" s="1"/>
  <c r="F5" i="4"/>
  <c r="B3408" i="106" s="1"/>
  <c r="D3408" i="106" s="1"/>
  <c r="F63" i="5"/>
  <c r="B5579" i="106" s="1"/>
  <c r="D5579" i="106" s="1"/>
  <c r="D210" i="29"/>
  <c r="B1346" i="106" s="1"/>
  <c r="D1346" i="106" s="1"/>
  <c r="B1345" i="106"/>
  <c r="D1345" i="106" s="1"/>
  <c r="F108" i="5"/>
  <c r="B5587" i="106" s="1"/>
  <c r="D5587" i="106" s="1"/>
  <c r="H204" i="29"/>
  <c r="G121" i="5"/>
  <c r="B5748" i="106" s="1"/>
  <c r="D5748" i="106" s="1"/>
  <c r="L229" i="29"/>
  <c r="B5749" i="106"/>
  <c r="D5749" i="106" s="1"/>
  <c r="G140" i="5"/>
  <c r="B6686" i="106"/>
  <c r="D6686" i="106" s="1"/>
  <c r="F145" i="34"/>
  <c r="B5780" i="106"/>
  <c r="D5780" i="106" s="1"/>
  <c r="B1489" i="106"/>
  <c r="D1489" i="106" s="1"/>
  <c r="K261" i="29"/>
  <c r="B1491" i="106" s="1"/>
  <c r="D1491" i="106" s="1"/>
  <c r="B3258" i="106"/>
  <c r="D3258" i="106" s="1"/>
  <c r="G77" i="4"/>
  <c r="B3261" i="106" s="1"/>
  <c r="D3261" i="106" s="1"/>
  <c r="B7076" i="106"/>
  <c r="D7076" i="106" s="1"/>
  <c r="F68" i="34"/>
  <c r="B1427" i="106"/>
  <c r="D1427" i="106" s="1"/>
  <c r="B3723" i="106"/>
  <c r="D3723" i="106" s="1"/>
  <c r="K285" i="29"/>
  <c r="B7078" i="106"/>
  <c r="D7078" i="106" s="1"/>
  <c r="F69" i="34"/>
  <c r="B4357" i="106"/>
  <c r="D4357" i="106" s="1"/>
  <c r="B1512" i="106"/>
  <c r="D1512" i="106" s="1"/>
  <c r="K293" i="29"/>
  <c r="B1470" i="106"/>
  <c r="D1470" i="106" s="1"/>
  <c r="F70" i="34"/>
  <c r="B1486" i="106"/>
  <c r="D1486" i="106" s="1"/>
  <c r="B3390" i="106"/>
  <c r="D3390" i="106" s="1"/>
  <c r="K229" i="29"/>
  <c r="F135" i="34"/>
  <c r="B4343" i="106"/>
  <c r="D4343" i="106" s="1"/>
  <c r="G211" i="5"/>
  <c r="B1748" i="106"/>
  <c r="D1748" i="106" s="1"/>
  <c r="D8" i="7"/>
  <c r="B1764" i="106" s="1"/>
  <c r="D1764" i="106" s="1"/>
  <c r="B1492" i="106"/>
  <c r="D1492" i="106" s="1"/>
  <c r="K270" i="29"/>
  <c r="B1500" i="106" s="1"/>
  <c r="D1500" i="106" s="1"/>
  <c r="B5756" i="106"/>
  <c r="D5756" i="106" s="1"/>
  <c r="G201" i="5"/>
  <c r="B1475" i="106"/>
  <c r="D1475" i="106" s="1"/>
  <c r="K238" i="29"/>
  <c r="F67" i="34"/>
  <c r="B7074" i="106"/>
  <c r="D7074" i="106" s="1"/>
  <c r="B5723" i="106"/>
  <c r="D5723" i="106" s="1"/>
  <c r="B16" i="7"/>
  <c r="B1410" i="106"/>
  <c r="D1410" i="106" s="1"/>
  <c r="K248" i="29"/>
  <c r="B7082" i="106" s="1"/>
  <c r="D7082" i="106" s="1"/>
  <c r="B7081" i="106"/>
  <c r="D7081" i="106" s="1"/>
  <c r="G114" i="5"/>
  <c r="B5738" i="106"/>
  <c r="D5738" i="106" s="1"/>
  <c r="B4414" i="106"/>
  <c r="D4414" i="106" s="1"/>
  <c r="B1482" i="106"/>
  <c r="D1482" i="106" s="1"/>
  <c r="K243" i="29"/>
  <c r="B1485" i="106" s="1"/>
  <c r="D1485" i="106" s="1"/>
  <c r="G12" i="5"/>
  <c r="B1452" i="106"/>
  <c r="D1452" i="106" s="1"/>
  <c r="H295" i="29"/>
  <c r="B1454" i="106" s="1"/>
  <c r="D1454" i="106" s="1"/>
  <c r="G224" i="5"/>
  <c r="B5829" i="106" s="1"/>
  <c r="D5829" i="106" s="1"/>
  <c r="B1421" i="106"/>
  <c r="D1421" i="106" s="1"/>
  <c r="B5847" i="106"/>
  <c r="D5847" i="106" s="1"/>
  <c r="F136" i="34"/>
  <c r="B1417" i="106"/>
  <c r="D1417" i="106" s="1"/>
  <c r="B188" i="106"/>
  <c r="D188" i="106" s="1"/>
  <c r="B6625" i="106"/>
  <c r="D6625" i="106" s="1"/>
  <c r="F137" i="34"/>
  <c r="B1511" i="106"/>
  <c r="D1511" i="106" s="1"/>
  <c r="F72" i="34"/>
  <c r="G14" i="4"/>
  <c r="B2609" i="106" s="1"/>
  <c r="D2609" i="106" s="1"/>
  <c r="B4398" i="106"/>
  <c r="D4398" i="106" s="1"/>
  <c r="B5784" i="106"/>
  <c r="D5784" i="106" s="1"/>
  <c r="B1473" i="106"/>
  <c r="D1473" i="106" s="1"/>
  <c r="F71" i="34"/>
  <c r="D38" i="36"/>
  <c r="G13" i="3"/>
  <c r="B3422" i="106"/>
  <c r="D3422" i="106" s="1"/>
  <c r="B7104" i="106"/>
  <c r="D7104" i="106" s="1"/>
  <c r="J312" i="29"/>
  <c r="B7117" i="106" s="1"/>
  <c r="D7117" i="106" s="1"/>
  <c r="B1555" i="106"/>
  <c r="D1555" i="106" s="1"/>
  <c r="K303" i="29"/>
  <c r="B1547" i="106"/>
  <c r="D1547" i="106" s="1"/>
  <c r="G312" i="29"/>
  <c r="B1548" i="106" s="1"/>
  <c r="D1548" i="106" s="1"/>
  <c r="B211" i="106"/>
  <c r="D211" i="106" s="1"/>
  <c r="B1553" i="106"/>
  <c r="D1553" i="106" s="1"/>
  <c r="H312" i="29"/>
  <c r="B1554" i="106" s="1"/>
  <c r="D1554" i="106" s="1"/>
  <c r="B1529" i="106"/>
  <c r="D1529" i="106" s="1"/>
  <c r="D312" i="29"/>
  <c r="B1530" i="106" s="1"/>
  <c r="D1530" i="106" s="1"/>
  <c r="B5879" i="106"/>
  <c r="D5879" i="106" s="1"/>
  <c r="H67" i="5"/>
  <c r="B5881" i="106" s="1"/>
  <c r="D5881" i="106" s="1"/>
  <c r="B6285" i="106"/>
  <c r="D6285" i="106" s="1"/>
  <c r="E44" i="4"/>
  <c r="B1541" i="106"/>
  <c r="D1541" i="106" s="1"/>
  <c r="F312" i="29"/>
  <c r="B1542" i="106" s="1"/>
  <c r="D1542" i="106" s="1"/>
  <c r="B5893" i="106"/>
  <c r="D5893" i="106" s="1"/>
  <c r="H173" i="5"/>
  <c r="B7103" i="106"/>
  <c r="D7103" i="106" s="1"/>
  <c r="I312" i="29"/>
  <c r="B7116" i="106" s="1"/>
  <c r="D7116" i="106" s="1"/>
  <c r="B4950" i="106"/>
  <c r="D4950" i="106" s="1"/>
  <c r="B7107" i="106"/>
  <c r="D7107" i="106" s="1"/>
  <c r="K310" i="29"/>
  <c r="H12" i="5"/>
  <c r="H273" i="5"/>
  <c r="B4441" i="106" s="1"/>
  <c r="D4441" i="106" s="1"/>
  <c r="B6838" i="106"/>
  <c r="D6838" i="106" s="1"/>
  <c r="B1751" i="106"/>
  <c r="D1751" i="106" s="1"/>
  <c r="D9" i="7"/>
  <c r="B1767" i="106" s="1"/>
  <c r="D1767" i="106" s="1"/>
  <c r="B1535" i="106"/>
  <c r="D1535" i="106" s="1"/>
  <c r="E312" i="29"/>
  <c r="B1536" i="106" s="1"/>
  <c r="D1536" i="106" s="1"/>
  <c r="H13" i="3"/>
  <c r="D39" i="36"/>
  <c r="B3425" i="106"/>
  <c r="D3425" i="106" s="1"/>
  <c r="C312" i="29"/>
  <c r="B1524" i="106" s="1"/>
  <c r="D1524" i="106" s="1"/>
  <c r="B1523" i="106"/>
  <c r="D1523" i="106" s="1"/>
  <c r="B4363" i="106"/>
  <c r="D4363" i="106" s="1"/>
  <c r="I173" i="5"/>
  <c r="I12" i="5"/>
  <c r="B10" i="7"/>
  <c r="B5916" i="106"/>
  <c r="D5916" i="106" s="1"/>
  <c r="H24" i="118"/>
  <c r="B3427" i="106"/>
  <c r="D3427" i="106" s="1"/>
  <c r="I13" i="3"/>
  <c r="D40" i="36"/>
  <c r="B5925" i="106"/>
  <c r="D5925" i="106" s="1"/>
  <c r="B2910" i="106"/>
  <c r="D2910" i="106" s="1"/>
  <c r="J13" i="3"/>
  <c r="D41" i="36"/>
  <c r="B6217" i="106"/>
  <c r="D6217" i="106" s="1"/>
  <c r="L330" i="29"/>
  <c r="B6357" i="106"/>
  <c r="D6357" i="106" s="1"/>
  <c r="J173" i="5"/>
  <c r="B7203" i="106"/>
  <c r="D7203" i="106" s="1"/>
  <c r="G342" i="29"/>
  <c r="B7220" i="106" s="1"/>
  <c r="D7220" i="106" s="1"/>
  <c r="J274" i="5"/>
  <c r="B6400" i="106"/>
  <c r="D6400" i="106" s="1"/>
  <c r="B7209" i="106"/>
  <c r="D7209" i="106" s="1"/>
  <c r="K340" i="29"/>
  <c r="B7202" i="106"/>
  <c r="D7202" i="106" s="1"/>
  <c r="F342" i="29"/>
  <c r="B7219" i="106" s="1"/>
  <c r="D7219" i="106" s="1"/>
  <c r="B7205" i="106"/>
  <c r="D7205" i="106" s="1"/>
  <c r="I342" i="29"/>
  <c r="B7222" i="106" s="1"/>
  <c r="D7222" i="106" s="1"/>
  <c r="J342" i="29"/>
  <c r="B7223" i="106" s="1"/>
  <c r="D7223" i="106" s="1"/>
  <c r="B7206" i="106"/>
  <c r="D7206" i="106" s="1"/>
  <c r="J12" i="5"/>
  <c r="B11" i="7"/>
  <c r="B6298" i="106"/>
  <c r="D6298" i="106" s="1"/>
  <c r="B6317" i="106"/>
  <c r="D6317" i="106" s="1"/>
  <c r="B7199" i="106"/>
  <c r="D7199" i="106" s="1"/>
  <c r="C342" i="29"/>
  <c r="B7216" i="106" s="1"/>
  <c r="D7216" i="106" s="1"/>
  <c r="B7200" i="106"/>
  <c r="D7200" i="106" s="1"/>
  <c r="D342" i="29"/>
  <c r="B7217" i="106" s="1"/>
  <c r="D7217" i="106" s="1"/>
  <c r="B7201" i="106"/>
  <c r="D7201" i="106" s="1"/>
  <c r="E342" i="29"/>
  <c r="B7218" i="106" s="1"/>
  <c r="D7218" i="106" s="1"/>
  <c r="B6238" i="106"/>
  <c r="D6238" i="106" s="1"/>
  <c r="J77" i="4"/>
  <c r="B6262" i="106" s="1"/>
  <c r="D6262" i="106" s="1"/>
  <c r="B7204" i="106"/>
  <c r="D7204" i="106" s="1"/>
  <c r="H342" i="29"/>
  <c r="B7221" i="106" s="1"/>
  <c r="D7221" i="106" s="1"/>
  <c r="B6191" i="106"/>
  <c r="D6191" i="106" s="1"/>
  <c r="B7126" i="106"/>
  <c r="D7126" i="106" s="1"/>
  <c r="K330" i="29"/>
  <c r="B3584" i="106"/>
  <c r="D3584" i="106" s="1"/>
  <c r="K77" i="4"/>
  <c r="B3587" i="106" s="1"/>
  <c r="D3587" i="106" s="1"/>
  <c r="F352" i="29"/>
  <c r="B3640" i="106"/>
  <c r="D3640" i="106" s="1"/>
  <c r="K350" i="29"/>
  <c r="B3668" i="106"/>
  <c r="D3668" i="106" s="1"/>
  <c r="K362" i="29"/>
  <c r="B3675" i="106"/>
  <c r="D3675" i="106" s="1"/>
  <c r="B1753" i="106"/>
  <c r="D1753" i="106" s="1"/>
  <c r="D12" i="7"/>
  <c r="B7231" i="106"/>
  <c r="D7231" i="106" s="1"/>
  <c r="J352" i="29"/>
  <c r="K34" i="3"/>
  <c r="B4951" i="106"/>
  <c r="D4951" i="106" s="1"/>
  <c r="K274" i="5"/>
  <c r="H365" i="29"/>
  <c r="B7242" i="106" s="1"/>
  <c r="D7242" i="106" s="1"/>
  <c r="B3658" i="106"/>
  <c r="D3658" i="106" s="1"/>
  <c r="B5987" i="106"/>
  <c r="D5987" i="106" s="1"/>
  <c r="B3654" i="106"/>
  <c r="D3654" i="106" s="1"/>
  <c r="H352" i="29"/>
  <c r="G352" i="29"/>
  <c r="B3647" i="106"/>
  <c r="D3647" i="106" s="1"/>
  <c r="I352" i="29"/>
  <c r="B7230" i="106"/>
  <c r="D7230" i="106" s="1"/>
  <c r="K173" i="5"/>
  <c r="B6006" i="106"/>
  <c r="D6006" i="106" s="1"/>
  <c r="B2105" i="106"/>
  <c r="D2105" i="106" s="1"/>
  <c r="I76" i="4"/>
  <c r="C352" i="29"/>
  <c r="B3619" i="106"/>
  <c r="D3619" i="106" s="1"/>
  <c r="D352" i="29"/>
  <c r="B3626" i="106"/>
  <c r="D3626" i="106" s="1"/>
  <c r="E352" i="29"/>
  <c r="B3633" i="106"/>
  <c r="D3633" i="106" s="1"/>
  <c r="B1617" i="106"/>
  <c r="D1617" i="106" s="1"/>
  <c r="G22" i="108" l="1"/>
  <c r="E67" i="5"/>
  <c r="B5521" i="106" s="1"/>
  <c r="D5521" i="106" s="1"/>
  <c r="C131" i="5"/>
  <c r="J151" i="29"/>
  <c r="B7052" i="106" s="1"/>
  <c r="D7052" i="106" s="1"/>
  <c r="F111" i="34"/>
  <c r="D14" i="7"/>
  <c r="B1770" i="106" s="1"/>
  <c r="D1770" i="106" s="1"/>
  <c r="F107" i="34"/>
  <c r="K65" i="29"/>
  <c r="B1133" i="106" s="1"/>
  <c r="D1133" i="106" s="1"/>
  <c r="C151" i="29"/>
  <c r="B1226" i="106" s="1"/>
  <c r="D1226" i="106" s="1"/>
  <c r="E38" i="108"/>
  <c r="L102" i="29"/>
  <c r="H112" i="29"/>
  <c r="B7018" i="106" s="1"/>
  <c r="D7018" i="106" s="1"/>
  <c r="L151" i="29"/>
  <c r="F74" i="29"/>
  <c r="B929" i="106" s="1"/>
  <c r="D929" i="106" s="1"/>
  <c r="F105" i="34"/>
  <c r="F172" i="5"/>
  <c r="B5644" i="106" s="1"/>
  <c r="D5644" i="106" s="1"/>
  <c r="B5614" i="106"/>
  <c r="D5614" i="106" s="1"/>
  <c r="L342" i="29"/>
  <c r="G273" i="5"/>
  <c r="B5863" i="106" s="1"/>
  <c r="D5863" i="106" s="1"/>
  <c r="F131" i="34"/>
  <c r="E22" i="108"/>
  <c r="B1128" i="106"/>
  <c r="D1128" i="106" s="1"/>
  <c r="F28" i="108"/>
  <c r="E28" i="108"/>
  <c r="H77" i="4"/>
  <c r="B3299" i="106" s="1"/>
  <c r="D3299" i="106" s="1"/>
  <c r="D31" i="108"/>
  <c r="F31" i="108"/>
  <c r="K53" i="29"/>
  <c r="B1122" i="106" s="1"/>
  <c r="D1122" i="106" s="1"/>
  <c r="G24" i="108"/>
  <c r="E12" i="145"/>
  <c r="G12" i="145" s="1"/>
  <c r="D273" i="5"/>
  <c r="B5501" i="106" s="1"/>
  <c r="D5501" i="106" s="1"/>
  <c r="K127" i="29"/>
  <c r="B1279" i="106" s="1"/>
  <c r="D1279" i="106" s="1"/>
  <c r="F127" i="34"/>
  <c r="F161" i="34"/>
  <c r="E24" i="108"/>
  <c r="F95" i="34"/>
  <c r="C77" i="4"/>
  <c r="B3232" i="106" s="1"/>
  <c r="D3232" i="106" s="1"/>
  <c r="B3229" i="106"/>
  <c r="D3229" i="106" s="1"/>
  <c r="B5147" i="106"/>
  <c r="D5147" i="106" s="1"/>
  <c r="C172" i="5"/>
  <c r="B5214" i="106" s="1"/>
  <c r="D5214" i="106" s="1"/>
  <c r="J74" i="29"/>
  <c r="B6917" i="106"/>
  <c r="D6917" i="106" s="1"/>
  <c r="K110" i="29"/>
  <c r="B4102" i="106"/>
  <c r="D4102" i="106" s="1"/>
  <c r="D17" i="7"/>
  <c r="B4104" i="106" s="1"/>
  <c r="D4104" i="106" s="1"/>
  <c r="B6902" i="106"/>
  <c r="D6902" i="106" s="1"/>
  <c r="B5199" i="106"/>
  <c r="D5199" i="106" s="1"/>
  <c r="F115" i="34"/>
  <c r="B4395" i="106"/>
  <c r="D4395" i="106" s="1"/>
  <c r="B1093" i="106"/>
  <c r="D1093" i="106" s="1"/>
  <c r="K33" i="29"/>
  <c r="B2973" i="106"/>
  <c r="D2973" i="106" s="1"/>
  <c r="K84" i="29"/>
  <c r="C109" i="5"/>
  <c r="B6916" i="106"/>
  <c r="D6916" i="106" s="1"/>
  <c r="I74" i="29"/>
  <c r="B6977" i="106" s="1"/>
  <c r="D6977" i="106" s="1"/>
  <c r="B836" i="106"/>
  <c r="D836" i="106" s="1"/>
  <c r="H74" i="29"/>
  <c r="B1045" i="106" s="1"/>
  <c r="D1045" i="106" s="1"/>
  <c r="B5132" i="106"/>
  <c r="D5132" i="106" s="1"/>
  <c r="B2789" i="106"/>
  <c r="D2789" i="106" s="1"/>
  <c r="E102" i="29"/>
  <c r="B2790" i="106" s="1"/>
  <c r="D2790" i="106" s="1"/>
  <c r="D114" i="29"/>
  <c r="B815" i="106" s="1"/>
  <c r="D815" i="106" s="1"/>
  <c r="B5225" i="106"/>
  <c r="D5225" i="106" s="1"/>
  <c r="C114" i="29"/>
  <c r="B757" i="106" s="1"/>
  <c r="D757" i="106" s="1"/>
  <c r="B5312" i="106"/>
  <c r="D5312" i="106" s="1"/>
  <c r="F165" i="34"/>
  <c r="F128" i="34"/>
  <c r="E19" i="145"/>
  <c r="B77" i="106"/>
  <c r="D77" i="106" s="1"/>
  <c r="C224" i="5"/>
  <c r="B5286" i="106" s="1"/>
  <c r="D5286" i="106" s="1"/>
  <c r="B5274" i="106"/>
  <c r="D5274" i="106" s="1"/>
  <c r="L74" i="29"/>
  <c r="L114" i="29" s="1"/>
  <c r="B1010" i="106"/>
  <c r="D1010" i="106" s="1"/>
  <c r="K42" i="29"/>
  <c r="B5125" i="106"/>
  <c r="D5125" i="106" s="1"/>
  <c r="C5" i="4"/>
  <c r="B3405" i="106" s="1"/>
  <c r="D3405" i="106" s="1"/>
  <c r="F94" i="34"/>
  <c r="B5096" i="106"/>
  <c r="D5096" i="106" s="1"/>
  <c r="B6858" i="106"/>
  <c r="D6858" i="106" s="1"/>
  <c r="F36" i="34"/>
  <c r="B952" i="106"/>
  <c r="D952" i="106" s="1"/>
  <c r="G114" i="29"/>
  <c r="G151" i="29"/>
  <c r="B1258" i="106"/>
  <c r="D1258" i="106" s="1"/>
  <c r="B122" i="106"/>
  <c r="D122" i="106" s="1"/>
  <c r="B1266" i="106"/>
  <c r="D1266" i="106" s="1"/>
  <c r="H151" i="29"/>
  <c r="B1273" i="106" s="1"/>
  <c r="D1273" i="106" s="1"/>
  <c r="B2093" i="106"/>
  <c r="D2093" i="106" s="1"/>
  <c r="K139" i="29"/>
  <c r="F151" i="29"/>
  <c r="B1250" i="106" s="1"/>
  <c r="D1250" i="106" s="1"/>
  <c r="B1249" i="106"/>
  <c r="D1249" i="106" s="1"/>
  <c r="B109" i="106"/>
  <c r="D109" i="106" s="1"/>
  <c r="B1233" i="106"/>
  <c r="D1233" i="106" s="1"/>
  <c r="D151" i="29"/>
  <c r="B1234" i="106" s="1"/>
  <c r="D1234" i="106" s="1"/>
  <c r="B1239" i="106"/>
  <c r="D1239" i="106" s="1"/>
  <c r="E129" i="29"/>
  <c r="K149" i="29"/>
  <c r="B7048" i="106"/>
  <c r="D7048" i="106" s="1"/>
  <c r="D173" i="5"/>
  <c r="D18" i="7"/>
  <c r="B4105" i="106" s="1"/>
  <c r="D4105" i="106" s="1"/>
  <c r="B19" i="7"/>
  <c r="B1759" i="106" s="1"/>
  <c r="D1759" i="106" s="1"/>
  <c r="D67" i="5"/>
  <c r="B5342" i="106" s="1"/>
  <c r="D5342" i="106" s="1"/>
  <c r="F59" i="34"/>
  <c r="B7051" i="106"/>
  <c r="D7051" i="106" s="1"/>
  <c r="B1745" i="106"/>
  <c r="D1745" i="106" s="1"/>
  <c r="D5" i="7"/>
  <c r="B1761" i="106" s="1"/>
  <c r="D1761" i="106" s="1"/>
  <c r="B3725" i="106"/>
  <c r="D3725" i="106" s="1"/>
  <c r="D13" i="7"/>
  <c r="B3726" i="106" s="1"/>
  <c r="D3726" i="106" s="1"/>
  <c r="B5334" i="106"/>
  <c r="D5334" i="106" s="1"/>
  <c r="D109" i="5"/>
  <c r="F19" i="145"/>
  <c r="G15" i="145"/>
  <c r="B5544" i="106"/>
  <c r="D5544" i="106" s="1"/>
  <c r="E6" i="4"/>
  <c r="B2631" i="106" s="1"/>
  <c r="D2631" i="106" s="1"/>
  <c r="H174" i="29"/>
  <c r="B1318" i="106" s="1"/>
  <c r="D1318" i="106" s="1"/>
  <c r="B1317" i="106"/>
  <c r="D1317" i="106" s="1"/>
  <c r="F60" i="34"/>
  <c r="E15" i="4"/>
  <c r="E274" i="5"/>
  <c r="D6" i="7"/>
  <c r="B1762" i="106" s="1"/>
  <c r="D1762" i="106" s="1"/>
  <c r="B1746" i="106"/>
  <c r="D1746" i="106" s="1"/>
  <c r="B5513" i="106"/>
  <c r="D5513" i="106" s="1"/>
  <c r="E109" i="5"/>
  <c r="K172" i="29"/>
  <c r="B1328" i="106"/>
  <c r="D1328" i="106" s="1"/>
  <c r="F273" i="5"/>
  <c r="B5713" i="106" s="1"/>
  <c r="D5713" i="106" s="1"/>
  <c r="B5557" i="106"/>
  <c r="D5557" i="106" s="1"/>
  <c r="F34" i="3"/>
  <c r="B6128" i="106"/>
  <c r="D6128" i="106" s="1"/>
  <c r="B7063" i="106"/>
  <c r="D7063" i="106" s="1"/>
  <c r="I210" i="29"/>
  <c r="B4081" i="106"/>
  <c r="D4081" i="106" s="1"/>
  <c r="K180" i="29"/>
  <c r="C184" i="29"/>
  <c r="B5581" i="106"/>
  <c r="D5581" i="106" s="1"/>
  <c r="F67" i="5"/>
  <c r="B5582" i="106" s="1"/>
  <c r="D5582" i="106" s="1"/>
  <c r="B1354" i="106"/>
  <c r="D1354" i="106" s="1"/>
  <c r="F184" i="29"/>
  <c r="K182" i="29"/>
  <c r="K204" i="29"/>
  <c r="B1370" i="106"/>
  <c r="D1370" i="106" s="1"/>
  <c r="B7064" i="106"/>
  <c r="D7064" i="106" s="1"/>
  <c r="J210" i="29"/>
  <c r="B7072" i="106" s="1"/>
  <c r="D7072" i="106" s="1"/>
  <c r="L210" i="29"/>
  <c r="B1364" i="106"/>
  <c r="D1364" i="106" s="1"/>
  <c r="G210" i="29"/>
  <c r="K194" i="29"/>
  <c r="B3252" i="106"/>
  <c r="D3252" i="106" s="1"/>
  <c r="F77" i="4"/>
  <c r="B3255" i="106" s="1"/>
  <c r="D3255" i="106" s="1"/>
  <c r="H208" i="29"/>
  <c r="B1375" i="106" s="1"/>
  <c r="D1375" i="106" s="1"/>
  <c r="B4156" i="106"/>
  <c r="D4156" i="106" s="1"/>
  <c r="B2828" i="106"/>
  <c r="D2828" i="106" s="1"/>
  <c r="H196" i="29"/>
  <c r="B2830" i="106" s="1"/>
  <c r="D2830" i="106" s="1"/>
  <c r="E210" i="29"/>
  <c r="B1353" i="106" s="1"/>
  <c r="D1353" i="106" s="1"/>
  <c r="B180" i="106"/>
  <c r="D180" i="106" s="1"/>
  <c r="B3446" i="106"/>
  <c r="D3446" i="106" s="1"/>
  <c r="D16" i="7"/>
  <c r="B3447" i="106" s="1"/>
  <c r="D3447" i="106" s="1"/>
  <c r="B1474" i="106"/>
  <c r="D1474" i="106" s="1"/>
  <c r="G12" i="4"/>
  <c r="G274" i="5"/>
  <c r="B5741" i="106"/>
  <c r="D5741" i="106" s="1"/>
  <c r="G5" i="4"/>
  <c r="B3409" i="106" s="1"/>
  <c r="D3409" i="106" s="1"/>
  <c r="K257" i="29"/>
  <c r="B1488" i="106" s="1"/>
  <c r="D1488" i="106" s="1"/>
  <c r="B5725" i="106"/>
  <c r="D5725" i="106" s="1"/>
  <c r="B1481" i="106"/>
  <c r="D1481" i="106" s="1"/>
  <c r="B5752" i="106"/>
  <c r="D5752" i="106" s="1"/>
  <c r="G172" i="5"/>
  <c r="F106" i="34"/>
  <c r="B5803" i="106"/>
  <c r="D5803" i="106" s="1"/>
  <c r="F130" i="34"/>
  <c r="F73" i="34"/>
  <c r="G15" i="4"/>
  <c r="B6032" i="106" s="1"/>
  <c r="D6032" i="106" s="1"/>
  <c r="B3724" i="106"/>
  <c r="D3724" i="106" s="1"/>
  <c r="B5732" i="106"/>
  <c r="D5732" i="106" s="1"/>
  <c r="G67" i="5"/>
  <c r="B5733" i="106" s="1"/>
  <c r="D5733" i="106" s="1"/>
  <c r="B6409" i="106"/>
  <c r="D6409" i="106" s="1"/>
  <c r="F129" i="34"/>
  <c r="B1515" i="106"/>
  <c r="D1515" i="106" s="1"/>
  <c r="G16" i="4"/>
  <c r="B2611" i="106" s="1"/>
  <c r="D2611" i="106" s="1"/>
  <c r="B5906" i="106"/>
  <c r="D5906" i="106" s="1"/>
  <c r="H6" i="4"/>
  <c r="B2656" i="106" s="1"/>
  <c r="D2656" i="106" s="1"/>
  <c r="B203" i="106"/>
  <c r="D203" i="106" s="1"/>
  <c r="B5873" i="106"/>
  <c r="D5873" i="106" s="1"/>
  <c r="H109" i="5"/>
  <c r="B2102" i="106"/>
  <c r="D2102" i="106" s="1"/>
  <c r="H15" i="4"/>
  <c r="B2660" i="106" s="1"/>
  <c r="D2660" i="106" s="1"/>
  <c r="B3274" i="106"/>
  <c r="D3274" i="106" s="1"/>
  <c r="E77" i="4"/>
  <c r="H13" i="4"/>
  <c r="K312" i="29"/>
  <c r="B1560" i="106" s="1"/>
  <c r="D1560" i="106" s="1"/>
  <c r="B1559" i="106"/>
  <c r="D1559" i="106" s="1"/>
  <c r="H274" i="5"/>
  <c r="B2888" i="106"/>
  <c r="D2888" i="106" s="1"/>
  <c r="B5924" i="106"/>
  <c r="D5924" i="106" s="1"/>
  <c r="I67" i="5"/>
  <c r="B5926" i="106" s="1"/>
  <c r="D5926" i="106" s="1"/>
  <c r="B1749" i="106"/>
  <c r="D1749" i="106" s="1"/>
  <c r="D10" i="7"/>
  <c r="B1765" i="106" s="1"/>
  <c r="D1765" i="106" s="1"/>
  <c r="B5918" i="106"/>
  <c r="D5918" i="106" s="1"/>
  <c r="B4216" i="106"/>
  <c r="D4216" i="106" s="1"/>
  <c r="I6" i="4"/>
  <c r="B5011" i="106" s="1"/>
  <c r="D5011" i="106" s="1"/>
  <c r="B7207" i="106"/>
  <c r="D7207" i="106" s="1"/>
  <c r="J13" i="4"/>
  <c r="K342" i="29"/>
  <c r="B1752" i="106"/>
  <c r="D1752" i="106" s="1"/>
  <c r="D11" i="7"/>
  <c r="B1768" i="106" s="1"/>
  <c r="D1768" i="106" s="1"/>
  <c r="B7215" i="106"/>
  <c r="D7215" i="106" s="1"/>
  <c r="J16" i="4"/>
  <c r="B6226" i="106" s="1"/>
  <c r="D6226" i="106" s="1"/>
  <c r="J6" i="4"/>
  <c r="B6221" i="106" s="1"/>
  <c r="D6221" i="106" s="1"/>
  <c r="B6397" i="106"/>
  <c r="D6397" i="106" s="1"/>
  <c r="B6301" i="106"/>
  <c r="D6301" i="106" s="1"/>
  <c r="B6316" i="106"/>
  <c r="D6316" i="106" s="1"/>
  <c r="J67" i="5"/>
  <c r="B6318" i="106" s="1"/>
  <c r="D6318" i="106" s="1"/>
  <c r="B7054" i="106"/>
  <c r="D7054" i="106" s="1"/>
  <c r="J7" i="4"/>
  <c r="B6222" i="106" s="1"/>
  <c r="D6222" i="106" s="1"/>
  <c r="B6124" i="106"/>
  <c r="D6124" i="106" s="1"/>
  <c r="B3565" i="106"/>
  <c r="D3565" i="106" s="1"/>
  <c r="B3676" i="106"/>
  <c r="D3676" i="106" s="1"/>
  <c r="K365" i="29"/>
  <c r="B3621" i="106"/>
  <c r="D3621" i="106" s="1"/>
  <c r="C367" i="29"/>
  <c r="B3622" i="106" s="1"/>
  <c r="D3622" i="106" s="1"/>
  <c r="G367" i="29"/>
  <c r="B3650" i="106" s="1"/>
  <c r="D3650" i="106" s="1"/>
  <c r="B3649" i="106"/>
  <c r="D3649" i="106" s="1"/>
  <c r="B7235" i="106"/>
  <c r="D7235" i="106" s="1"/>
  <c r="J367" i="29"/>
  <c r="B7245" i="106" s="1"/>
  <c r="D7245" i="106" s="1"/>
  <c r="B7234" i="106"/>
  <c r="D7234" i="106" s="1"/>
  <c r="I367" i="29"/>
  <c r="B3318" i="106"/>
  <c r="D3318" i="106" s="1"/>
  <c r="I77" i="4"/>
  <c r="K352" i="29"/>
  <c r="B3670" i="106"/>
  <c r="D3670" i="106" s="1"/>
  <c r="B1769" i="106"/>
  <c r="D1769" i="106" s="1"/>
  <c r="H367" i="29"/>
  <c r="B3660" i="106" s="1"/>
  <c r="D3660" i="106" s="1"/>
  <c r="B3656" i="106"/>
  <c r="D3656" i="106" s="1"/>
  <c r="B3642" i="106"/>
  <c r="D3642" i="106" s="1"/>
  <c r="F367" i="29"/>
  <c r="B3643" i="106" s="1"/>
  <c r="D3643" i="106" s="1"/>
  <c r="D367" i="29"/>
  <c r="B3629" i="106" s="1"/>
  <c r="D3629" i="106" s="1"/>
  <c r="B3628" i="106"/>
  <c r="D3628" i="106" s="1"/>
  <c r="B3635" i="106"/>
  <c r="D3635" i="106" s="1"/>
  <c r="E367" i="29"/>
  <c r="B3636" i="106" s="1"/>
  <c r="D3636" i="106" s="1"/>
  <c r="K6" i="4"/>
  <c r="B3570" i="106" s="1"/>
  <c r="D3570" i="106" s="1"/>
  <c r="B6014" i="106"/>
  <c r="D6014" i="106" s="1"/>
  <c r="B5994" i="106"/>
  <c r="D5994" i="106" s="1"/>
  <c r="K67" i="5"/>
  <c r="K7" i="4"/>
  <c r="B6022" i="106"/>
  <c r="D6022" i="106" s="1"/>
  <c r="F114" i="29" l="1"/>
  <c r="B931" i="106" s="1"/>
  <c r="D931" i="106" s="1"/>
  <c r="F173" i="5"/>
  <c r="B5653" i="106" s="1"/>
  <c r="D5653" i="106" s="1"/>
  <c r="G23" i="108"/>
  <c r="K129" i="29"/>
  <c r="D13" i="4" s="1"/>
  <c r="H114" i="29"/>
  <c r="B1054" i="106" s="1"/>
  <c r="D1054" i="106" s="1"/>
  <c r="E23" i="108"/>
  <c r="G19" i="145"/>
  <c r="J20" i="145" s="1"/>
  <c r="D274" i="5"/>
  <c r="D275" i="5" s="1"/>
  <c r="F274" i="5"/>
  <c r="B5719" i="106" s="1"/>
  <c r="D5719" i="106" s="1"/>
  <c r="I109" i="5"/>
  <c r="C173" i="5"/>
  <c r="C6" i="4" s="1"/>
  <c r="B2553" i="106" s="1"/>
  <c r="D2553" i="106" s="1"/>
  <c r="B1281" i="106"/>
  <c r="D1281" i="106" s="1"/>
  <c r="E114" i="29"/>
  <c r="B873" i="106" s="1"/>
  <c r="D873" i="106" s="1"/>
  <c r="C273" i="5"/>
  <c r="K112" i="29"/>
  <c r="B1151" i="106"/>
  <c r="D1151" i="106" s="1"/>
  <c r="B989" i="106"/>
  <c r="D989" i="106" s="1"/>
  <c r="F54" i="34"/>
  <c r="B1115" i="106"/>
  <c r="D1115" i="106" s="1"/>
  <c r="K74" i="29"/>
  <c r="B6978" i="106"/>
  <c r="D6978" i="106" s="1"/>
  <c r="J114" i="29"/>
  <c r="B7021" i="106" s="1"/>
  <c r="D7021" i="106" s="1"/>
  <c r="B5121" i="106"/>
  <c r="D5121" i="106" s="1"/>
  <c r="C4" i="4"/>
  <c r="B2088" i="106"/>
  <c r="D2088" i="106" s="1"/>
  <c r="K102" i="29"/>
  <c r="I114" i="29"/>
  <c r="F17" i="11" s="1"/>
  <c r="C12" i="4"/>
  <c r="B1108" i="106"/>
  <c r="D1108" i="106" s="1"/>
  <c r="E19" i="108"/>
  <c r="G19" i="108"/>
  <c r="K151" i="29"/>
  <c r="B1288" i="106" s="1"/>
  <c r="D1288" i="106" s="1"/>
  <c r="B2569" i="106"/>
  <c r="D2569" i="106" s="1"/>
  <c r="B5421" i="106"/>
  <c r="D5421" i="106" s="1"/>
  <c r="D6" i="4"/>
  <c r="B2566" i="106" s="1"/>
  <c r="D2566" i="106" s="1"/>
  <c r="B5356" i="106"/>
  <c r="D5356" i="106" s="1"/>
  <c r="D4" i="4"/>
  <c r="B1287" i="106"/>
  <c r="D1287" i="106" s="1"/>
  <c r="D16" i="4"/>
  <c r="B2572" i="106" s="1"/>
  <c r="D2572" i="106" s="1"/>
  <c r="F58" i="34"/>
  <c r="B1259" i="106"/>
  <c r="D1259" i="106" s="1"/>
  <c r="B1241" i="106"/>
  <c r="D1241" i="106" s="1"/>
  <c r="E151" i="29"/>
  <c r="B1242" i="106" s="1"/>
  <c r="D1242" i="106" s="1"/>
  <c r="F57" i="34"/>
  <c r="D15" i="4"/>
  <c r="B2571" i="106" s="1"/>
  <c r="D2571" i="106" s="1"/>
  <c r="B1282" i="106"/>
  <c r="D1282" i="106" s="1"/>
  <c r="E7" i="4"/>
  <c r="B4443" i="106" s="1"/>
  <c r="D4443" i="106" s="1"/>
  <c r="B4434" i="106"/>
  <c r="D4434" i="106" s="1"/>
  <c r="B2633" i="106"/>
  <c r="D2633" i="106" s="1"/>
  <c r="K174" i="29"/>
  <c r="E16" i="4"/>
  <c r="B2634" i="106" s="1"/>
  <c r="D2634" i="106" s="1"/>
  <c r="B1331" i="106"/>
  <c r="D1331" i="106" s="1"/>
  <c r="E4" i="4"/>
  <c r="B5527" i="106"/>
  <c r="D5527" i="106" s="1"/>
  <c r="E275" i="5"/>
  <c r="D19" i="7"/>
  <c r="B1775" i="106" s="1"/>
  <c r="D1775" i="106" s="1"/>
  <c r="F65" i="34"/>
  <c r="B1365" i="106"/>
  <c r="D1365" i="106" s="1"/>
  <c r="B4157" i="106"/>
  <c r="D4157" i="106" s="1"/>
  <c r="K208" i="29"/>
  <c r="B1377" i="106"/>
  <c r="D1377" i="106" s="1"/>
  <c r="G29" i="108"/>
  <c r="E29" i="108"/>
  <c r="B7071" i="106"/>
  <c r="D7071" i="106" s="1"/>
  <c r="F66" i="34"/>
  <c r="F7" i="4"/>
  <c r="B2594" i="106" s="1"/>
  <c r="D2594" i="106" s="1"/>
  <c r="B1358" i="106"/>
  <c r="D1358" i="106" s="1"/>
  <c r="F210" i="29"/>
  <c r="B1359" i="106" s="1"/>
  <c r="D1359" i="106" s="1"/>
  <c r="B169" i="106"/>
  <c r="D169" i="106" s="1"/>
  <c r="F109" i="5"/>
  <c r="H210" i="29"/>
  <c r="B1376" i="106" s="1"/>
  <c r="D1376" i="106" s="1"/>
  <c r="B1339" i="106"/>
  <c r="D1339" i="106" s="1"/>
  <c r="C210" i="29"/>
  <c r="B1340" i="106" s="1"/>
  <c r="D1340" i="106" s="1"/>
  <c r="K196" i="29"/>
  <c r="B2837" i="106"/>
  <c r="D2837" i="106" s="1"/>
  <c r="B4087" i="106"/>
  <c r="D4087" i="106" s="1"/>
  <c r="K184" i="29"/>
  <c r="G21" i="108"/>
  <c r="E21" i="108"/>
  <c r="F178" i="34"/>
  <c r="B5770" i="106"/>
  <c r="D5770" i="106" s="1"/>
  <c r="G173" i="5"/>
  <c r="B5869" i="106"/>
  <c r="D5869" i="106" s="1"/>
  <c r="G7" i="4"/>
  <c r="B2605" i="106" s="1"/>
  <c r="D2605" i="106" s="1"/>
  <c r="G109" i="5"/>
  <c r="B2607" i="106"/>
  <c r="D2607" i="106" s="1"/>
  <c r="H7" i="4"/>
  <c r="B2657" i="106" s="1"/>
  <c r="D2657" i="106" s="1"/>
  <c r="B5914" i="106"/>
  <c r="D5914" i="106" s="1"/>
  <c r="H275" i="5"/>
  <c r="B6025" i="106"/>
  <c r="D6025" i="106" s="1"/>
  <c r="H4" i="4"/>
  <c r="H17" i="4"/>
  <c r="B2659" i="106"/>
  <c r="D2659" i="106" s="1"/>
  <c r="B3277" i="106"/>
  <c r="D3277" i="106" s="1"/>
  <c r="I4" i="4"/>
  <c r="I275" i="5"/>
  <c r="B5946" i="106" s="1"/>
  <c r="D5946" i="106" s="1"/>
  <c r="B6026" i="106"/>
  <c r="D6026" i="106" s="1"/>
  <c r="J109" i="5"/>
  <c r="J275" i="5" s="1"/>
  <c r="F13" i="34"/>
  <c r="B7224" i="106"/>
  <c r="D7224" i="106" s="1"/>
  <c r="B7042" i="106"/>
  <c r="D7042" i="106" s="1"/>
  <c r="J17" i="4"/>
  <c r="B3718" i="106"/>
  <c r="D3718" i="106" s="1"/>
  <c r="K367" i="29"/>
  <c r="B3678" i="106" s="1"/>
  <c r="D3678" i="106" s="1"/>
  <c r="K13" i="4"/>
  <c r="B3672" i="106"/>
  <c r="D3672" i="106" s="1"/>
  <c r="B5995" i="106"/>
  <c r="D5995" i="106" s="1"/>
  <c r="K109" i="5"/>
  <c r="B3319" i="106"/>
  <c r="D3319" i="106" s="1"/>
  <c r="B7244" i="106"/>
  <c r="D7244" i="106" s="1"/>
  <c r="B7243" i="106"/>
  <c r="D7243" i="106" s="1"/>
  <c r="K16" i="4"/>
  <c r="B3574" i="106" s="1"/>
  <c r="D3574" i="106" s="1"/>
  <c r="F6" i="4" l="1"/>
  <c r="B2593" i="106" s="1"/>
  <c r="D2593" i="106" s="1"/>
  <c r="K114" i="29"/>
  <c r="B5223" i="106"/>
  <c r="D5223" i="106" s="1"/>
  <c r="D7" i="4"/>
  <c r="B2567" i="106" s="1"/>
  <c r="D2567" i="106" s="1"/>
  <c r="B5507" i="106"/>
  <c r="D5507" i="106" s="1"/>
  <c r="F9" i="34"/>
  <c r="B1152" i="106"/>
  <c r="D1152" i="106" s="1"/>
  <c r="F8" i="34"/>
  <c r="B2556" i="106"/>
  <c r="D2556" i="106" s="1"/>
  <c r="B2551" i="106"/>
  <c r="D2551" i="106" s="1"/>
  <c r="B7020" i="106"/>
  <c r="D7020" i="106" s="1"/>
  <c r="F55" i="34"/>
  <c r="F53" i="34"/>
  <c r="C15" i="4"/>
  <c r="B2559" i="106" s="1"/>
  <c r="D2559" i="106" s="1"/>
  <c r="B1145" i="106"/>
  <c r="D1145" i="106" s="1"/>
  <c r="B7019" i="106"/>
  <c r="D7019" i="106" s="1"/>
  <c r="C16" i="4"/>
  <c r="B2560" i="106" s="1"/>
  <c r="D2560" i="106" s="1"/>
  <c r="B5320" i="106"/>
  <c r="D5320" i="106" s="1"/>
  <c r="C274" i="5"/>
  <c r="C13" i="4"/>
  <c r="B2557" i="106" s="1"/>
  <c r="D2557" i="106" s="1"/>
  <c r="B1143" i="106"/>
  <c r="D1143" i="106" s="1"/>
  <c r="B2564" i="106"/>
  <c r="D2564" i="106" s="1"/>
  <c r="D8" i="4"/>
  <c r="D17" i="4"/>
  <c r="B5508" i="106"/>
  <c r="D5508" i="106" s="1"/>
  <c r="K152" i="29"/>
  <c r="B1289" i="106" s="1"/>
  <c r="D1289" i="106" s="1"/>
  <c r="B2630" i="106"/>
  <c r="D2630" i="106" s="1"/>
  <c r="E8" i="4"/>
  <c r="B140" i="106"/>
  <c r="D140" i="106" s="1"/>
  <c r="E41" i="3"/>
  <c r="F10" i="34"/>
  <c r="B1332" i="106"/>
  <c r="D1332" i="106" s="1"/>
  <c r="E17" i="4"/>
  <c r="B5552" i="106"/>
  <c r="D5552" i="106" s="1"/>
  <c r="K175" i="29"/>
  <c r="B1333" i="106" s="1"/>
  <c r="D1333" i="106" s="1"/>
  <c r="F15" i="4"/>
  <c r="B2598" i="106" s="1"/>
  <c r="D2598" i="106" s="1"/>
  <c r="F63" i="34"/>
  <c r="B1382" i="106"/>
  <c r="D1382" i="106" s="1"/>
  <c r="F16" i="4"/>
  <c r="B2599" i="106" s="1"/>
  <c r="D2599" i="106" s="1"/>
  <c r="B1387" i="106"/>
  <c r="D1387" i="106" s="1"/>
  <c r="F13" i="4"/>
  <c r="B1381" i="106"/>
  <c r="D1381" i="106" s="1"/>
  <c r="K210" i="29"/>
  <c r="B5588" i="106"/>
  <c r="D5588" i="106" s="1"/>
  <c r="F4" i="4"/>
  <c r="F275" i="5"/>
  <c r="B6024" i="106"/>
  <c r="D6024" i="106" s="1"/>
  <c r="G4" i="4"/>
  <c r="G275" i="5"/>
  <c r="B5778" i="106"/>
  <c r="D5778" i="106" s="1"/>
  <c r="G6" i="4"/>
  <c r="B2604" i="106" s="1"/>
  <c r="D2604" i="106" s="1"/>
  <c r="H19" i="4"/>
  <c r="B4141" i="106" s="1"/>
  <c r="D4141" i="106" s="1"/>
  <c r="B2661" i="106"/>
  <c r="D2661" i="106" s="1"/>
  <c r="H8" i="4"/>
  <c r="B2655" i="106"/>
  <c r="D2655" i="106" s="1"/>
  <c r="B5915" i="106"/>
  <c r="D5915" i="106" s="1"/>
  <c r="K313" i="29"/>
  <c r="B1561" i="106" s="1"/>
  <c r="D1561" i="106" s="1"/>
  <c r="B2912" i="106"/>
  <c r="D2912" i="106" s="1"/>
  <c r="I41" i="3"/>
  <c r="I8" i="4"/>
  <c r="B3225" i="106"/>
  <c r="D3225" i="106" s="1"/>
  <c r="J4" i="4"/>
  <c r="B6220" i="106" s="1"/>
  <c r="D6220" i="106" s="1"/>
  <c r="B6352" i="106"/>
  <c r="D6352" i="106" s="1"/>
  <c r="B6215" i="106"/>
  <c r="D6215" i="106" s="1"/>
  <c r="J41" i="3"/>
  <c r="K343" i="29"/>
  <c r="B7225" i="106" s="1"/>
  <c r="D7225" i="106" s="1"/>
  <c r="B7055" i="106"/>
  <c r="D7055" i="106" s="1"/>
  <c r="B6227" i="106"/>
  <c r="D6227" i="106" s="1"/>
  <c r="J19" i="4"/>
  <c r="B6229" i="106" s="1"/>
  <c r="D6229" i="106" s="1"/>
  <c r="B6028" i="106"/>
  <c r="D6028" i="106" s="1"/>
  <c r="K275" i="5"/>
  <c r="K4" i="4"/>
  <c r="B3572" i="106"/>
  <c r="D3572" i="106" s="1"/>
  <c r="K17" i="4"/>
  <c r="B7624" i="106"/>
  <c r="D7624" i="106" s="1"/>
  <c r="I17" i="11"/>
  <c r="C7" i="4" l="1"/>
  <c r="B5326" i="106"/>
  <c r="D5326" i="106" s="1"/>
  <c r="C275" i="5"/>
  <c r="C17" i="4"/>
  <c r="F76" i="34"/>
  <c r="B2573" i="106"/>
  <c r="D2573" i="106" s="1"/>
  <c r="D19" i="4"/>
  <c r="B4137" i="106" s="1"/>
  <c r="D4137" i="106" s="1"/>
  <c r="C9" i="146"/>
  <c r="C10" i="146" s="1"/>
  <c r="C8" i="146"/>
  <c r="B2568" i="106"/>
  <c r="D2568" i="106" s="1"/>
  <c r="D20" i="4"/>
  <c r="D10" i="4"/>
  <c r="B4123" i="106" s="1"/>
  <c r="D4123" i="106" s="1"/>
  <c r="B2635" i="106"/>
  <c r="D2635" i="106" s="1"/>
  <c r="E19" i="4"/>
  <c r="B4138" i="106" s="1"/>
  <c r="D4138" i="106" s="1"/>
  <c r="B141" i="106"/>
  <c r="D141" i="106" s="1"/>
  <c r="D46" i="36"/>
  <c r="B2632" i="106"/>
  <c r="D2632" i="106" s="1"/>
  <c r="E10" i="4"/>
  <c r="B4124" i="106" s="1"/>
  <c r="D4124" i="106" s="1"/>
  <c r="E20" i="4"/>
  <c r="F11" i="34"/>
  <c r="B1388" i="106"/>
  <c r="D1388" i="106" s="1"/>
  <c r="B2596" i="106"/>
  <c r="D2596" i="106" s="1"/>
  <c r="F17" i="4"/>
  <c r="B5720" i="106"/>
  <c r="D5720" i="106" s="1"/>
  <c r="K211" i="29"/>
  <c r="B1389" i="106" s="1"/>
  <c r="D1389" i="106" s="1"/>
  <c r="B2591" i="106"/>
  <c r="D2591" i="106" s="1"/>
  <c r="F8" i="4"/>
  <c r="B5870" i="106"/>
  <c r="D5870" i="106" s="1"/>
  <c r="B2603" i="106"/>
  <c r="D2603" i="106" s="1"/>
  <c r="G8" i="4"/>
  <c r="B2658" i="106"/>
  <c r="D2658" i="106" s="1"/>
  <c r="H20" i="4"/>
  <c r="H10" i="4"/>
  <c r="B4127" i="106" s="1"/>
  <c r="D4127" i="106" s="1"/>
  <c r="B3226" i="106"/>
  <c r="D3226" i="106" s="1"/>
  <c r="I20" i="4"/>
  <c r="E8" i="146"/>
  <c r="I10" i="4"/>
  <c r="B4128" i="106" s="1"/>
  <c r="D4128" i="106" s="1"/>
  <c r="B2913" i="106"/>
  <c r="D2913" i="106" s="1"/>
  <c r="D50" i="36"/>
  <c r="J8" i="4"/>
  <c r="J10" i="4" s="1"/>
  <c r="B6225" i="106" s="1"/>
  <c r="D6225" i="106" s="1"/>
  <c r="B6216" i="106"/>
  <c r="D6216" i="106" s="1"/>
  <c r="D51" i="36"/>
  <c r="I18" i="11"/>
  <c r="B7625" i="106"/>
  <c r="D7625" i="106" s="1"/>
  <c r="K19" i="4"/>
  <c r="B4144" i="106" s="1"/>
  <c r="D4144" i="106" s="1"/>
  <c r="B3575" i="106"/>
  <c r="D3575" i="106" s="1"/>
  <c r="B3569" i="106"/>
  <c r="D3569" i="106" s="1"/>
  <c r="K8" i="4"/>
  <c r="B6023" i="106"/>
  <c r="D6023" i="106" s="1"/>
  <c r="K368" i="29"/>
  <c r="B3681" i="106" s="1"/>
  <c r="D3681" i="106" s="1"/>
  <c r="B6223" i="106" l="1"/>
  <c r="D6223" i="106" s="1"/>
  <c r="J20" i="4"/>
  <c r="C19" i="4"/>
  <c r="B4136" i="106" s="1"/>
  <c r="D4136" i="106" s="1"/>
  <c r="B9" i="146"/>
  <c r="B2561" i="106"/>
  <c r="D2561" i="106" s="1"/>
  <c r="B5327" i="106"/>
  <c r="D5327" i="106" s="1"/>
  <c r="K115" i="29"/>
  <c r="B1153" i="106" s="1"/>
  <c r="D1153" i="106" s="1"/>
  <c r="B2554" i="106"/>
  <c r="D2554" i="106" s="1"/>
  <c r="D10" i="171"/>
  <c r="D19" i="171" s="1"/>
  <c r="D32" i="171" s="1"/>
  <c r="D49" i="171" s="1"/>
  <c r="C8" i="4"/>
  <c r="D16" i="37" s="1"/>
  <c r="B2574" i="106"/>
  <c r="D2574" i="106" s="1"/>
  <c r="D78" i="4"/>
  <c r="B123" i="106"/>
  <c r="D123" i="106" s="1"/>
  <c r="D41" i="3"/>
  <c r="B2636" i="106"/>
  <c r="D2636" i="106" s="1"/>
  <c r="E78" i="4"/>
  <c r="B282" i="106"/>
  <c r="D282" i="106" s="1"/>
  <c r="N23" i="3"/>
  <c r="F20" i="4"/>
  <c r="F10" i="4"/>
  <c r="B4125" i="106" s="1"/>
  <c r="D4125" i="106" s="1"/>
  <c r="B2595" i="106"/>
  <c r="D2595" i="106" s="1"/>
  <c r="D8" i="146"/>
  <c r="H18" i="118"/>
  <c r="H17" i="118"/>
  <c r="H25" i="118" s="1"/>
  <c r="K24" i="118" s="1"/>
  <c r="O23" i="118" s="1"/>
  <c r="O25" i="118" s="1"/>
  <c r="F16" i="37"/>
  <c r="F19" i="4"/>
  <c r="B4139" i="106" s="1"/>
  <c r="D4139" i="106" s="1"/>
  <c r="B2600" i="106"/>
  <c r="D2600" i="106" s="1"/>
  <c r="D9" i="146"/>
  <c r="H13" i="118"/>
  <c r="G10" i="4"/>
  <c r="B4126" i="106" s="1"/>
  <c r="D4126" i="106" s="1"/>
  <c r="B2606" i="106"/>
  <c r="D2606" i="106" s="1"/>
  <c r="H78" i="4"/>
  <c r="B2662" i="106"/>
  <c r="D2662" i="106" s="1"/>
  <c r="B212" i="106"/>
  <c r="D212" i="106" s="1"/>
  <c r="H41" i="3"/>
  <c r="E10" i="146"/>
  <c r="B3227" i="106"/>
  <c r="D3227" i="106" s="1"/>
  <c r="I78" i="4"/>
  <c r="B6230" i="106"/>
  <c r="D6230" i="106" s="1"/>
  <c r="J78" i="4"/>
  <c r="B3571" i="106"/>
  <c r="D3571" i="106" s="1"/>
  <c r="K10" i="4"/>
  <c r="B4130" i="106" s="1"/>
  <c r="D4130" i="106" s="1"/>
  <c r="K20" i="4"/>
  <c r="B3567" i="106"/>
  <c r="D3567" i="106" s="1"/>
  <c r="K41" i="3"/>
  <c r="F180" i="34"/>
  <c r="B7631" i="106"/>
  <c r="D7631" i="106" s="1"/>
  <c r="F9" i="146" l="1"/>
  <c r="B92" i="106"/>
  <c r="D92" i="106" s="1"/>
  <c r="C41" i="3"/>
  <c r="C10" i="4"/>
  <c r="B4122" i="106" s="1"/>
  <c r="D4122" i="106" s="1"/>
  <c r="C20" i="4"/>
  <c r="B8" i="146"/>
  <c r="B10" i="146" s="1"/>
  <c r="B2555" i="106"/>
  <c r="D2555" i="106" s="1"/>
  <c r="H16" i="37"/>
  <c r="B124" i="106"/>
  <c r="D124" i="106" s="1"/>
  <c r="D45" i="36"/>
  <c r="B3239" i="106"/>
  <c r="D3239" i="106" s="1"/>
  <c r="D81" i="4"/>
  <c r="B284" i="106"/>
  <c r="D284" i="106" s="1"/>
  <c r="D55" i="36"/>
  <c r="B3278" i="106"/>
  <c r="D3278" i="106" s="1"/>
  <c r="E81" i="4"/>
  <c r="D10" i="146"/>
  <c r="B170" i="106"/>
  <c r="D170" i="106" s="1"/>
  <c r="F41" i="3"/>
  <c r="K17" i="118"/>
  <c r="F78" i="4"/>
  <c r="B2601" i="106"/>
  <c r="D2601" i="106" s="1"/>
  <c r="B213" i="106"/>
  <c r="D213" i="106" s="1"/>
  <c r="D49" i="36"/>
  <c r="B3300" i="106"/>
  <c r="D3300" i="106" s="1"/>
  <c r="H81" i="4"/>
  <c r="B3320" i="106"/>
  <c r="D3320" i="106" s="1"/>
  <c r="I81" i="4"/>
  <c r="B6263" i="106"/>
  <c r="D6263" i="106" s="1"/>
  <c r="J81" i="4"/>
  <c r="B3568" i="106"/>
  <c r="D3568" i="106" s="1"/>
  <c r="D52" i="36"/>
  <c r="B3576" i="106"/>
  <c r="D3576" i="106" s="1"/>
  <c r="K78" i="4"/>
  <c r="F8" i="146" l="1"/>
  <c r="F10" i="146" s="1"/>
  <c r="C78" i="4"/>
  <c r="B2562" i="106"/>
  <c r="D2562" i="106" s="1"/>
  <c r="B93" i="106"/>
  <c r="D93" i="106" s="1"/>
  <c r="D44" i="36"/>
  <c r="B1644" i="106"/>
  <c r="D1644" i="106" s="1"/>
  <c r="C11" i="146"/>
  <c r="D82" i="4"/>
  <c r="D58" i="36"/>
  <c r="E82" i="4"/>
  <c r="B1658" i="106"/>
  <c r="D1658" i="106" s="1"/>
  <c r="D59" i="36"/>
  <c r="O16" i="118"/>
  <c r="J20" i="118"/>
  <c r="K20" i="118"/>
  <c r="B171" i="106"/>
  <c r="D171" i="106" s="1"/>
  <c r="D47" i="36"/>
  <c r="B3256" i="106"/>
  <c r="D3256" i="106" s="1"/>
  <c r="F81" i="4"/>
  <c r="H82" i="4"/>
  <c r="B1700" i="106"/>
  <c r="D1700" i="106" s="1"/>
  <c r="D62" i="36"/>
  <c r="I82" i="4"/>
  <c r="E11" i="146"/>
  <c r="B3323" i="106"/>
  <c r="D3323" i="106" s="1"/>
  <c r="D63" i="36"/>
  <c r="B6266" i="106"/>
  <c r="D6266" i="106" s="1"/>
  <c r="J82" i="4"/>
  <c r="D64" i="36"/>
  <c r="B3588" i="106"/>
  <c r="D3588" i="106" s="1"/>
  <c r="K81" i="4"/>
  <c r="B3233" i="106" l="1"/>
  <c r="D3233" i="106" s="1"/>
  <c r="C81" i="4"/>
  <c r="B6268" i="106"/>
  <c r="D6268" i="106" s="1"/>
  <c r="D83" i="4"/>
  <c r="B6277" i="106" s="1"/>
  <c r="D6277" i="106" s="1"/>
  <c r="B6269" i="106"/>
  <c r="D6269" i="106" s="1"/>
  <c r="E83" i="4"/>
  <c r="B6278" i="106" s="1"/>
  <c r="D6278" i="106" s="1"/>
  <c r="D11" i="146"/>
  <c r="F82" i="4"/>
  <c r="B1672" i="106"/>
  <c r="D1672" i="106" s="1"/>
  <c r="D60" i="36"/>
  <c r="O17" i="118"/>
  <c r="O20" i="118" s="1"/>
  <c r="H83" i="4"/>
  <c r="B6281" i="106" s="1"/>
  <c r="D6281" i="106" s="1"/>
  <c r="B6272" i="106"/>
  <c r="D6272" i="106" s="1"/>
  <c r="B6273" i="106"/>
  <c r="D6273" i="106" s="1"/>
  <c r="I83" i="4"/>
  <c r="B6282" i="106" s="1"/>
  <c r="D6282" i="106" s="1"/>
  <c r="J83" i="4"/>
  <c r="B6283" i="106" s="1"/>
  <c r="D6283" i="106" s="1"/>
  <c r="B6274" i="106"/>
  <c r="D6274" i="106" s="1"/>
  <c r="B3591" i="106"/>
  <c r="D3591" i="106" s="1"/>
  <c r="K82" i="4"/>
  <c r="D65" i="36"/>
  <c r="B11" i="146" l="1"/>
  <c r="F11" i="146" s="1"/>
  <c r="C82" i="4"/>
  <c r="B1630" i="106"/>
  <c r="D1630" i="106" s="1"/>
  <c r="D57" i="36"/>
  <c r="J16" i="37"/>
  <c r="B4269" i="106" s="1"/>
  <c r="D4269" i="106" s="1"/>
  <c r="B6270" i="106"/>
  <c r="D6270" i="106" s="1"/>
  <c r="F83" i="4"/>
  <c r="B6279" i="106" s="1"/>
  <c r="D6279" i="106" s="1"/>
  <c r="K83" i="4"/>
  <c r="B6284" i="106" s="1"/>
  <c r="D6284" i="106" s="1"/>
  <c r="B6275" i="106"/>
  <c r="D6275" i="106" s="1"/>
  <c r="C83" i="4" l="1"/>
  <c r="B6276" i="106" s="1"/>
  <c r="D6276" i="106" s="1"/>
  <c r="B6267" i="106"/>
  <c r="D6267" i="106" s="1"/>
  <c r="C12" i="146"/>
  <c r="D29" i="36"/>
  <c r="J24" i="24" s="1"/>
  <c r="E33" i="108" l="1"/>
  <c r="G33" i="108"/>
  <c r="K272" i="29"/>
  <c r="B1501" i="106" s="1"/>
  <c r="D1501" i="106" s="1"/>
  <c r="B1437" i="106"/>
  <c r="D1437" i="106" s="1"/>
  <c r="B1438" i="106"/>
  <c r="D1438" i="106" s="1"/>
  <c r="K273" i="29"/>
  <c r="B1502" i="106" s="1"/>
  <c r="D1502" i="106" s="1"/>
  <c r="G34" i="108"/>
  <c r="E34" i="108"/>
  <c r="B1439" i="106"/>
  <c r="D1439" i="106" s="1"/>
  <c r="K274" i="29"/>
  <c r="B1503" i="106" s="1"/>
  <c r="D1503" i="106" s="1"/>
  <c r="G35" i="108"/>
  <c r="E35" i="108"/>
  <c r="K275" i="29"/>
  <c r="B1504" i="106" s="1"/>
  <c r="D1504" i="106" s="1"/>
  <c r="B1440" i="106"/>
  <c r="D1440" i="106" s="1"/>
  <c r="D36" i="108"/>
  <c r="F36" i="108"/>
  <c r="L277" i="29"/>
  <c r="L279" i="29" s="1"/>
  <c r="L295" i="29" s="1"/>
  <c r="K276" i="29"/>
  <c r="F37" i="108"/>
  <c r="D277" i="29"/>
  <c r="D37" i="108"/>
  <c r="D41" i="108" s="1"/>
  <c r="E43" i="108" s="1"/>
  <c r="B1442" i="106"/>
  <c r="D1442" i="106" s="1"/>
  <c r="E41" i="108" l="1"/>
  <c r="E44" i="108" s="1"/>
  <c r="E45" i="108" s="1"/>
  <c r="G41" i="108"/>
  <c r="G44" i="108" s="1"/>
  <c r="F41" i="108"/>
  <c r="G43" i="108" s="1"/>
  <c r="B1444" i="106"/>
  <c r="D1444" i="106" s="1"/>
  <c r="D279" i="29"/>
  <c r="B1506" i="106"/>
  <c r="D1506" i="106" s="1"/>
  <c r="K277" i="29"/>
  <c r="G45" i="108" l="1"/>
  <c r="B1508" i="106"/>
  <c r="D1508" i="106" s="1"/>
  <c r="K279" i="29"/>
  <c r="D295" i="29"/>
  <c r="B1448" i="106" s="1"/>
  <c r="D1448" i="106" s="1"/>
  <c r="B1446" i="106"/>
  <c r="D1446" i="106" s="1"/>
  <c r="B1510" i="106" l="1"/>
  <c r="D1510" i="106" s="1"/>
  <c r="G13" i="4"/>
  <c r="K295" i="29"/>
  <c r="B1517" i="106" l="1"/>
  <c r="D1517" i="106" s="1"/>
  <c r="F12" i="34"/>
  <c r="F14" i="34" s="1"/>
  <c r="F77" i="34" s="1"/>
  <c r="K296" i="29"/>
  <c r="B1518" i="106" s="1"/>
  <c r="D1518" i="106" s="1"/>
  <c r="G17" i="4"/>
  <c r="B2608" i="106"/>
  <c r="D2608" i="106" s="1"/>
  <c r="G20" i="4" l="1"/>
  <c r="G19" i="4"/>
  <c r="B4140" i="106" s="1"/>
  <c r="D4140" i="106" s="1"/>
  <c r="B2612" i="106"/>
  <c r="D2612" i="106" s="1"/>
  <c r="F179" i="34"/>
  <c r="F181" i="34" s="1"/>
  <c r="F183" i="34" s="1"/>
  <c r="F79" i="34"/>
  <c r="G78" i="4" l="1"/>
  <c r="B2613" i="106"/>
  <c r="D2613" i="106" s="1"/>
  <c r="B3262" i="106" l="1"/>
  <c r="D3262" i="106" s="1"/>
  <c r="G81" i="4"/>
  <c r="G41" i="3"/>
  <c r="B189" i="106"/>
  <c r="D189" i="106" s="1"/>
  <c r="D76" i="36"/>
  <c r="D61" i="36"/>
  <c r="B190" i="106" l="1"/>
  <c r="D190" i="106" s="1"/>
  <c r="D48" i="36"/>
  <c r="G82" i="4"/>
  <c r="B1686" i="106"/>
  <c r="D1686" i="106" s="1"/>
  <c r="H12" i="118"/>
  <c r="K12" i="118" s="1"/>
  <c r="O11" i="118" s="1"/>
  <c r="O13" i="118" s="1"/>
  <c r="O35" i="118" s="1"/>
  <c r="O37" i="118" s="1"/>
  <c r="G83" i="4" l="1"/>
  <c r="B6280" i="106" s="1"/>
  <c r="D6280" i="106" s="1"/>
  <c r="B6271" i="106"/>
  <c r="D6271"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<sst xmlns="http://schemas.openxmlformats.org/spreadsheetml/2006/main" count="5264" uniqueCount="2235">
  <si>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</si>
  <si>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</si>
  <si>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</si>
  <si>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</si>
  <si>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</si>
  <si>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</si>
  <si>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</si>
  <si>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</si>
  <si>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</si>
  <si>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</si>
  <si>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</si>
  <si>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</si>
  <si>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</si>
  <si>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</si>
  <si>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</si>
  <si>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</si>
  <si>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</si>
  <si>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</si>
  <si>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</si>
  <si>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</si>
  <si>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</si>
  <si>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</si>
  <si>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</si>
  <si>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</si>
  <si>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</si>
  <si>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</si>
  <si>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</si>
  <si>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</si>
  <si>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</si>
  <si>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</si>
  <si>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</si>
  <si>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</si>
  <si>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</si>
  <si>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</si>
  <si>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</si>
  <si>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</si>
  <si>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</si>
  <si>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</si>
  <si>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</si>
  <si>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</si>
  <si>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</si>
  <si>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</si>
  <si>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</si>
  <si>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</si>
  <si>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</si>
  <si>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</si>
  <si>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</si>
  <si>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</si>
  <si>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</si>
  <si>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</si>
  <si>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</si>
  <si>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</si>
  <si>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</si>
  <si>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</si>
  <si>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</si>
  <si>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</si>
  <si>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</si>
  <si>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</si>
  <si>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</si>
  <si>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</si>
  <si>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</si>
  <si>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</si>
  <si>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</si>
  <si>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</si>
  <si>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</si>
  <si>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</si>
  <si>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</si>
  <si>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</si>
  <si>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</si>
  <si>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</si>
  <si>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</si>
  <si>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</si>
  <si>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</si>
  <si>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</si>
  <si>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</si>
  <si>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</si>
  <si>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</si>
  <si>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</si>
  <si>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</si>
  <si>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</si>
  <si>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</si>
  <si>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</si>
  <si>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</si>
  <si>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</si>
  <si>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</si>
  <si>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</si>
  <si>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</si>
  <si>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</si>
  <si>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</si>
  <si>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</si>
  <si>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</si>
  <si>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</si>
  <si>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</si>
  <si>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</si>
  <si>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</si>
  <si>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</si>
  <si>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</si>
  <si>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</si>
  <si>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</si>
  <si>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</si>
  <si>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</si>
  <si>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</si>
  <si>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</si>
  <si>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</si>
  <si>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</si>
  <si>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</si>
  <si>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</si>
  <si>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</si>
  <si>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</si>
  <si>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</si>
  <si>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</si>
  <si>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</si>
  <si>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</si>
  <si>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</si>
  <si>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</si>
  <si>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</si>
  <si>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</si>
  <si>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</si>
  <si>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</si>
  <si>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</si>
  <si>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</si>
  <si>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</si>
  <si>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</si>
  <si>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</si>
  <si>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</si>
  <si>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</si>
  <si>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</si>
  <si>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</si>
  <si>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</si>
  <si>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</si>
  <si>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</si>
  <si>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</si>
  <si>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</si>
  <si>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</si>
  <si>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</si>
  <si>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</si>
  <si>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</si>
  <si>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</si>
  <si>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</si>
  <si>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</si>
  <si>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</si>
  <si>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</si>
  <si>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</si>
  <si>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</si>
  <si>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</si>
  <si>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</si>
  <si>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</si>
  <si>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</si>
  <si>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</si>
  <si>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</si>
  <si>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</si>
  <si>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</si>
  <si>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</si>
  <si>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</si>
  <si>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</si>
  <si>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</si>
  <si>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</si>
  <si>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</si>
  <si>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</si>
  <si>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</si>
  <si>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</si>
  <si>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</si>
  <si>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</si>
  <si>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</si>
  <si>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</si>
  <si>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</si>
  <si>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</si>
  <si>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</si>
  <si>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</si>
  <si>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</si>
  <si>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</si>
  <si>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</si>
  <si>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</si>
  <si>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</si>
  <si>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</si>
  <si>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</si>
  <si>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</si>
  <si>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</si>
  <si>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</si>
  <si>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</si>
  <si>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</si>
  <si>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</si>
  <si>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</si>
  <si>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</si>
  <si>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</si>
  <si>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</si>
  <si>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</si>
  <si>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</si>
  <si>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</si>
  <si>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</si>
  <si>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</si>
  <si>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</si>
  <si>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</si>
  <si>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</si>
  <si>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</si>
  <si>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</si>
  <si>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</si>
  <si>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</si>
  <si>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</si>
  <si>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</si>
  <si>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</si>
  <si>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</si>
  <si>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</si>
  <si>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</si>
  <si>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</si>
  <si>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</si>
  <si>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</si>
  <si>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</si>
  <si>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</si>
  <si>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</si>
  <si>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</si>
  <si>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</si>
  <si>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</si>
  <si>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</si>
  <si>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</si>
  <si>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</si>
  <si>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</si>
  <si>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</si>
  <si>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</si>
  <si>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</si>
  <si>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</si>
  <si>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</si>
  <si>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</si>
  <si>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</si>
  <si>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</si>
  <si>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</si>
  <si>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</si>
  <si>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</si>
  <si>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</si>
  <si>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</si>
  <si>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</si>
  <si>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</si>
  <si>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</si>
  <si>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</si>
  <si>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</si>
  <si>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</si>
  <si>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</si>
  <si>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</si>
  <si>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</si>
  <si>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</si>
  <si>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</si>
  <si>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</si>
  <si>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</si>
  <si>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</si>
  <si>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</si>
  <si>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</si>
  <si>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</si>
  <si>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</si>
  <si>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</si>
  <si>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</si>
  <si>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</si>
  <si>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</si>
  <si>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</si>
  <si>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</si>
  <si>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</si>
  <si>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</si>
  <si>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</si>
  <si>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</si>
  <si>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</si>
  <si>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</si>
  <si>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</si>
  <si>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</si>
  <si>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</si>
  <si>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</si>
  <si>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</si>
  <si>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</si>
  <si>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</si>
  <si>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</si>
  <si>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</si>
  <si>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</si>
  <si>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</si>
  <si>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</si>
  <si>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</si>
  <si>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</si>
  <si>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</si>
  <si>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</si>
  <si>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</si>
  <si>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</si>
  <si>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</si>
  <si>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</si>
  <si>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</si>
  <si>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</si>
  <si>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</si>
  <si>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</si>
  <si>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</si>
  <si>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</si>
  <si>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</si>
  <si>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</si>
  <si>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</si>
  <si>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</si>
  <si>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</si>
  <si>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</si>
  <si>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</si>
  <si>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</si>
  <si>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</si>
  <si>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</si>
  <si>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</si>
  <si>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</si>
  <si>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</si>
  <si>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</si>
  <si>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</si>
  <si>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</si>
  <si>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</si>
  <si>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</si>
  <si>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</si>
  <si>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</si>
  <si>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</si>
  <si>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</si>
  <si>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</si>
  <si>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</si>
  <si>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</si>
  <si>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</si>
  <si>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</si>
  <si>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</si>
  <si>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</si>
  <si>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</si>
  <si>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</si>
  <si>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</si>
  <si>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</si>
  <si>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</si>
  <si>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</si>
  <si>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</si>
  <si>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</si>
  <si>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</si>
  <si>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</si>
  <si>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</si>
  <si>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</si>
  <si>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</si>
  <si>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</si>
  <si>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</si>
  <si>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</si>
  <si>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</si>
  <si>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</si>
  <si>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</si>
  <si>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</si>
  <si>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</si>
  <si>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</si>
  <si>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</si>
  <si>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</si>
  <si>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</si>
  <si>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</si>
  <si>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</si>
  <si>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</si>
  <si>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</si>
  <si>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</si>
  <si>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</si>
  <si>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</si>
  <si>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</si>
  <si>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</si>
  <si>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</si>
  <si>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</si>
  <si>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</si>
  <si>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</si>
  <si>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</si>
  <si>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</si>
  <si>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</si>
  <si>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</si>
  <si>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</si>
  <si>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</si>
  <si>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</si>
  <si>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</si>
  <si>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</si>
  <si>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</si>
  <si>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</si>
  <si>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</si>
  <si>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</si>
  <si>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</si>
  <si>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</si>
  <si>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</si>
  <si>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</si>
  <si>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</si>
  <si>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</si>
  <si>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</si>
  <si>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</si>
  <si>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</si>
  <si>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</si>
  <si>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</si>
  <si>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</si>
  <si>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</si>
  <si>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</si>
  <si>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</si>
  <si>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</si>
  <si>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</si>
  <si>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</si>
  <si>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</si>
  <si>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</si>
  <si>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</si>
  <si>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</si>
  <si>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</si>
  <si>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</si>
  <si>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</si>
  <si>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</si>
  <si>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</si>
  <si>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</si>
  <si>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</si>
  <si>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</si>
  <si>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</si>
  <si>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</si>
  <si>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</si>
  <si>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</si>
  <si>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</si>
  <si>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</si>
  <si>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</si>
  <si>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</si>
  <si>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</si>
  <si>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</si>
  <si>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</si>
  <si>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</si>
  <si>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</si>
  <si>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</si>
  <si>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</si>
  <si>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</si>
  <si>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</si>
  <si>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</si>
  <si>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</si>
  <si>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</si>
  <si>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</si>
  <si>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</si>
  <si>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</si>
  <si>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</si>
  <si>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</si>
  <si>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</si>
  <si>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</si>
  <si>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</si>
  <si>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</si>
  <si>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</si>
  <si>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</si>
  <si>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</si>
  <si>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</si>
  <si>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</si>
  <si>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</si>
  <si>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</si>
  <si>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</si>
  <si>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</si>
  <si>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</si>
  <si>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</si>
  <si>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</si>
  <si>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</si>
  <si>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</si>
  <si>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</si>
  <si>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</si>
  <si>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</si>
  <si>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</si>
  <si>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</si>
  <si>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</si>
  <si>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</si>
  <si>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</si>
  <si>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</si>
  <si>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</si>
  <si>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</si>
  <si>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</si>
  <si>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</si>
  <si>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</si>
  <si>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</si>
  <si>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</si>
  <si>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</si>
  <si>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</si>
  <si>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</si>
  <si>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</si>
  <si>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</si>
  <si>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</si>
  <si>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</si>
  <si>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</si>
  <si>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</si>
  <si>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</si>
  <si>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</si>
  <si>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</si>
  <si>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</si>
  <si>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</si>
  <si>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</si>
  <si>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</si>
  <si>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</si>
  <si>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</si>
  <si>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</si>
  <si>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</si>
  <si>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</si>
  <si>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</si>
  <si>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</si>
  <si>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</si>
  <si>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</si>
  <si>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</si>
  <si>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</si>
  <si>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</si>
  <si>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</si>
  <si>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</si>
  <si>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</si>
  <si>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</si>
  <si>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</si>
  <si>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</si>
  <si>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</si>
  <si>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</si>
  <si>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</si>
  <si>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</si>
  <si>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</si>
  <si>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</si>
  <si>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</si>
  <si>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</si>
  <si>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</si>
  <si>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</si>
  <si>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</si>
  <si>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</si>
  <si>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</si>
  <si>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</si>
  <si>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</si>
  <si>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</si>
  <si>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</si>
  <si>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</si>
  <si>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</si>
  <si>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</si>
  <si>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</si>
  <si>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</si>
  <si>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</si>
  <si>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</si>
  <si>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</si>
  <si>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</si>
  <si>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</si>
  <si>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</si>
  <si>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</si>
  <si>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</si>
  <si>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</si>
  <si>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</si>
  <si>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</si>
  <si>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</si>
  <si>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</si>
  <si>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</si>
  <si>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</si>
  <si>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</si>
  <si>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</si>
  <si>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</si>
  <si>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</si>
  <si>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</si>
  <si>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</si>
  <si>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</si>
  <si>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</si>
  <si>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</si>
  <si>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</si>
  <si>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</si>
  <si>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</si>
  <si>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</si>
  <si>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</si>
  <si>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</si>
  <si>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</si>
  <si>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</si>
  <si>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</si>
  <si>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</si>
  <si>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</si>
  <si>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</si>
  <si>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</si>
  <si>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</si>
  <si>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</si>
  <si>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</si>
  <si>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</si>
  <si>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</si>
  <si>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</si>
  <si>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</si>
  <si>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</si>
  <si>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</si>
  <si>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</si>
  <si>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</si>
  <si>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</si>
  <si>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</si>
  <si>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</si>
  <si>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</si>
  <si>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</si>
  <si>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</si>
  <si>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</si>
  <si>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</si>
  <si>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</si>
  <si>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</si>
  <si>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</si>
  <si>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</si>
  <si>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</si>
  <si>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</si>
  <si>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</si>
  <si>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</si>
  <si>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</si>
  <si>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</si>
  <si>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</si>
  <si>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</si>
  <si>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</si>
  <si>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</si>
  <si>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</si>
  <si>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</si>
  <si>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</si>
  <si>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</si>
  <si>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</si>
  <si>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</si>
  <si>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</si>
  <si>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</si>
  <si>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</si>
  <si>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</si>
  <si>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</si>
  <si>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</si>
  <si>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</si>
  <si>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</si>
  <si>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</si>
  <si>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</si>
  <si>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</si>
  <si>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</si>
  <si>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</si>
  <si>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</si>
  <si>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</si>
  <si>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</si>
  <si>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</si>
  <si>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</si>
  <si>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</si>
  <si>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</si>
  <si>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</si>
  <si>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</si>
  <si>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</si>
  <si>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</si>
  <si>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</si>
  <si>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</si>
  <si>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</si>
  <si>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</si>
  <si>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</si>
  <si>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</si>
  <si>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</si>
  <si>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</si>
  <si>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</si>
  <si>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</si>
  <si>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</si>
  <si>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</si>
  <si>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</si>
  <si>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</si>
  <si>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</si>
  <si>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</si>
  <si>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</si>
  <si>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</si>
  <si>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</si>
  <si>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</si>
  <si>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</si>
  <si>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</si>
  <si>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</si>
  <si>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</si>
  <si>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</si>
  <si>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</si>
  <si>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</si>
  <si>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</si>
  <si>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</si>
  <si>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</si>
  <si>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</si>
  <si>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</si>
  <si>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</si>
  <si>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</si>
  <si>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</si>
  <si>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</si>
  <si>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</si>
  <si>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</si>
  <si>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</si>
  <si>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</si>
  <si>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</si>
  <si>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</si>
  <si>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</si>
  <si>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</si>
  <si>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</si>
  <si>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</si>
  <si>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</si>
  <si>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</si>
  <si>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</si>
  <si>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</si>
  <si>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</si>
  <si>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</si>
  <si>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</si>
  <si>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</si>
  <si>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</si>
  <si>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</si>
  <si>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</si>
  <si>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</si>
  <si>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</si>
  <si>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</si>
  <si>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</si>
  <si>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</si>
  <si>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</si>
  <si>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</si>
  <si>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</si>
  <si>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</si>
  <si>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</si>
  <si>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</si>
  <si>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</si>
  <si>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</si>
  <si>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</si>
  <si>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</si>
  <si>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</si>
  <si>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</si>
  <si>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</si>
  <si>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</si>
  <si>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</si>
  <si>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</si>
  <si>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</si>
  <si>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</si>
  <si>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</si>
  <si>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</si>
  <si>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</si>
  <si>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</si>
  <si>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</si>
  <si>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</si>
  <si>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</si>
  <si>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</si>
  <si>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</si>
  <si>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</si>
  <si>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</si>
  <si>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</si>
  <si>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</si>
  <si>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</si>
  <si>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</si>
  <si>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</si>
  <si>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</si>
  <si>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</si>
  <si>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</si>
  <si>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</si>
  <si>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</si>
  <si>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</si>
  <si>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</si>
  <si>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</si>
  <si>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</si>
  <si>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</si>
  <si>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</si>
  <si>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</si>
  <si>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</si>
  <si>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</si>
  <si>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</si>
  <si>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</si>
  <si>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</si>
  <si>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</si>
  <si>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</si>
  <si>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</si>
  <si>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</si>
  <si>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</si>
  <si>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</si>
  <si>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</si>
  <si>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</si>
  <si>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</si>
  <si>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</si>
  <si>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</si>
  <si>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</si>
  <si>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</si>
  <si>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</si>
  <si>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</si>
  <si>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</si>
  <si>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</si>
  <si>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</si>
  <si>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</si>
  <si>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</si>
  <si>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</si>
  <si>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</si>
  <si>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</si>
  <si>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</si>
  <si>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</si>
  <si>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</si>
  <si>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</si>
  <si>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</si>
  <si>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</si>
  <si>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</si>
  <si>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</si>
  <si>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</si>
  <si>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</si>
  <si>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</si>
  <si>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</si>
  <si>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</si>
  <si>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</si>
  <si>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</si>
  <si>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</si>
  <si>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</si>
  <si>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</si>
  <si>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</si>
  <si>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</si>
  <si>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</si>
  <si>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</si>
  <si>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</si>
  <si>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</si>
  <si>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</si>
  <si>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</si>
  <si>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</si>
  <si>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</si>
  <si>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</si>
  <si>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</si>
  <si>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</si>
  <si>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</si>
  <si>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</si>
  <si>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</si>
  <si>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</si>
  <si>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</si>
  <si>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</si>
  <si>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</si>
  <si>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</si>
  <si>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</si>
  <si>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</si>
  <si>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</si>
  <si>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</si>
  <si>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</si>
  <si>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</si>
  <si>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</si>
  <si>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</si>
  <si>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</si>
  <si>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</si>
  <si>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</si>
  <si>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</si>
  <si>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</si>
  <si>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</si>
  <si>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</si>
  <si>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</si>
  <si>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</si>
  <si>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</si>
  <si>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</si>
  <si>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</si>
  <si>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</si>
  <si>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</si>
  <si>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</si>
  <si>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</si>
  <si>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</si>
  <si>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</si>
  <si>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</si>
  <si>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</si>
  <si>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</si>
  <si>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</si>
  <si>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</si>
  <si>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</si>
  <si>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</si>
  <si>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</si>
  <si>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</si>
  <si>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</si>
  <si>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</si>
  <si>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</si>
  <si>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</si>
  <si>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</si>
  <si>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</si>
  <si>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</si>
  <si>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</si>
  <si>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</si>
  <si>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</si>
  <si>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</si>
  <si>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</si>
  <si>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</si>
  <si>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</si>
  <si>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</si>
  <si>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</si>
  <si>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</si>
  <si>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</si>
  <si>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</si>
  <si>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</si>
  <si>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</si>
  <si>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</si>
  <si>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</si>
  <si>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</si>
  <si>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</si>
  <si>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</si>
  <si>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</si>
  <si>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</si>
  <si>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</si>
  <si>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</si>
  <si>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</si>
  <si>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</si>
  <si>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</si>
  <si>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</si>
  <si>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</si>
  <si>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</si>
  <si>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</si>
  <si>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</si>
  <si>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</si>
  <si>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</si>
  <si>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</si>
  <si>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</si>
  <si>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</si>
  <si>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</si>
  <si>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</si>
  <si>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</si>
  <si>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</si>
  <si>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</si>
  <si>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</si>
  <si>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</si>
  <si>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</si>
  <si>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</si>
  <si>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</si>
  <si>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</si>
  <si>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</si>
  <si>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</si>
  <si>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</si>
  <si>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</si>
  <si>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</si>
  <si>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</si>
  <si>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</si>
  <si>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</si>
  <si>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</si>
  <si>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</si>
  <si>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</si>
  <si>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</si>
  <si>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</si>
  <si>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</si>
  <si>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</si>
  <si>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</si>
  <si>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</si>
  <si>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</si>
  <si>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</si>
  <si>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</si>
  <si>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</si>
  <si>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</si>
  <si>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</si>
  <si>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</si>
  <si>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</si>
  <si>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</si>
  <si>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</si>
  <si>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</si>
  <si>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</si>
  <si>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</si>
  <si>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</si>
  <si>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</si>
  <si>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</si>
  <si>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</si>
  <si>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</si>
  <si>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</si>
  <si>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</si>
  <si>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</si>
  <si>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</si>
  <si>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</si>
  <si>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</si>
  <si>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</si>
  <si>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</si>
  <si>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</si>
  <si>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</si>
  <si>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</si>
  <si>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</si>
  <si>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</si>
  <si>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</si>
  <si>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</si>
  <si>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</si>
  <si>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</si>
  <si>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</si>
  <si>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</si>
  <si>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</si>
  <si>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</si>
  <si>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</si>
  <si>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</si>
  <si>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</si>
  <si>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</si>
  <si>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</si>
  <si>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</si>
  <si>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</si>
  <si>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</si>
  <si>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</si>
  <si>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</si>
  <si>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</si>
  <si>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</si>
  <si>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</si>
  <si>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</si>
  <si>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</si>
  <si>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</si>
  <si>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</si>
  <si>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</si>
  <si>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</si>
  <si>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</si>
  <si>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</si>
  <si>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</si>
  <si>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</si>
  <si>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</si>
  <si>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</si>
  <si>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</si>
  <si>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</si>
  <si>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</si>
  <si>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</si>
  <si>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</si>
  <si>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</si>
  <si>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</si>
  <si>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</si>
  <si>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</si>
  <si>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</si>
  <si>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</si>
  <si>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</si>
  <si>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</si>
  <si>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</si>
  <si>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</si>
  <si>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</si>
  <si>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</si>
  <si>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</si>
  <si>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</si>
  <si>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</si>
  <si>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</si>
  <si>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</si>
  <si>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</si>
  <si>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</si>
  <si>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</si>
  <si>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</si>
  <si>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</si>
  <si>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</si>
  <si>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</si>
  <si>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</si>
  <si>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</si>
  <si>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</si>
  <si>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</si>
  <si>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</si>
  <si>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</si>
  <si>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</si>
  <si>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</si>
  <si>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</si>
  <si>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</si>
  <si>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</si>
  <si>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</si>
  <si>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</si>
  <si>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</si>
  <si>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</si>
  <si>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</si>
  <si>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</si>
  <si>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</si>
  <si>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</si>
  <si>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</si>
  <si>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</si>
  <si>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</si>
  <si>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</si>
  <si>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</si>
  <si>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</si>
  <si>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</si>
  <si>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</si>
  <si>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</si>
  <si>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</si>
  <si>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</si>
  <si>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</si>
  <si>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</si>
  <si>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</si>
  <si>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</si>
  <si>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</si>
  <si>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</si>
  <si>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</si>
  <si>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</si>
  <si>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</si>
  <si>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</si>
  <si>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</si>
  <si>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</si>
  <si>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</si>
  <si>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</si>
  <si>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</si>
  <si>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</si>
  <si>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</si>
  <si>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</si>
  <si>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</si>
  <si>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</si>
  <si>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</si>
  <si>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</si>
  <si>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</si>
  <si>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</si>
  <si>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</si>
  <si>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</si>
  <si>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</si>
  <si>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</si>
  <si>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</si>
  <si>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</si>
  <si>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</si>
  <si>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</si>
  <si>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</si>
  <si>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</si>
  <si>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</si>
  <si>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</si>
  <si>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</si>
  <si>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</si>
  <si>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</si>
  <si>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</si>
  <si>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</si>
  <si>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</si>
  <si>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</si>
  <si>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</si>
  <si>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</si>
  <si>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</si>
  <si>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</si>
  <si>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</si>
  <si>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</si>
  <si>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</si>
  <si>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</si>
  <si>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</si>
  <si>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</si>
  <si>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</si>
  <si>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</si>
  <si>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</si>
  <si>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</si>
  <si>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</si>
  <si>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</si>
  <si>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</si>
  <si>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</si>
  <si>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</si>
  <si>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</si>
  <si>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</si>
  <si>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</si>
  <si>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</si>
  <si>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</si>
  <si>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</si>
  <si>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</si>
  <si>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</si>
  <si>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</si>
  <si>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</si>
  <si>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</si>
  <si>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</si>
  <si>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</si>
  <si>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</si>
  <si>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</si>
  <si>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</si>
  <si>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</si>
  <si>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</si>
  <si>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</si>
  <si>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</si>
  <si>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</si>
  <si>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</si>
  <si>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</si>
  <si>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</si>
  <si>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</si>
  <si>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</si>
  <si>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</si>
  <si>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</si>
  <si>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</si>
  <si>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</si>
  <si>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</si>
  <si>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</si>
  <si>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</si>
  <si>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</si>
  <si>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</si>
  <si>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</si>
  <si>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</si>
  <si>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</si>
  <si>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</si>
  <si>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</si>
  <si>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</si>
  <si>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</si>
  <si>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</si>
  <si>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</si>
  <si>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</si>
  <si>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</si>
  <si>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</si>
  <si>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</si>
  <si>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</si>
  <si>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</si>
  <si>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</si>
  <si>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</si>
  <si>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</si>
  <si>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</si>
  <si>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</si>
  <si>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</si>
  <si>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</si>
  <si>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</si>
  <si>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</si>
  <si>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</si>
  <si>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</si>
  <si>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</si>
  <si>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</si>
  <si>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</si>
  <si>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</si>
  <si>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</si>
  <si>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</si>
  <si>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</si>
  <si>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</si>
  <si>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</si>
  <si>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</si>
  <si>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</si>
  <si>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</si>
  <si>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</si>
  <si>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</si>
  <si>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</si>
  <si>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</si>
  <si>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</si>
  <si>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</si>
  <si>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</si>
  <si>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</si>
  <si>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</si>
  <si>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</si>
  <si>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</si>
  <si>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</si>
  <si>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</si>
  <si>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</si>
  <si>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</si>
  <si>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</si>
  <si>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</si>
  <si>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</si>
  <si>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</si>
  <si>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</si>
  <si>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</si>
  <si>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</si>
  <si>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</si>
  <si>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</si>
  <si>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</si>
  <si>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</si>
  <si>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</si>
  <si>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</si>
  <si>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</si>
  <si>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</si>
  <si>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</si>
  <si>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</si>
  <si>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</si>
  <si>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</si>
  <si>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</si>
  <si>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</si>
  <si>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</si>
  <si>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</si>
  <si>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</si>
  <si>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</si>
  <si>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</si>
  <si>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</si>
  <si>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</si>
  <si>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</si>
  <si>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</si>
  <si>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</si>
  <si>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</si>
  <si>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</si>
  <si>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</si>
  <si>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</si>
  <si>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</si>
  <si>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</si>
  <si>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</si>
  <si>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</si>
  <si>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</si>
  <si>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</si>
  <si>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</si>
  <si>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</si>
  <si>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</si>
  <si>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</si>
  <si>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</si>
  <si>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</si>
  <si>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</si>
  <si>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</si>
  <si>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</si>
  <si>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</si>
  <si>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</si>
  <si>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</si>
  <si>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</si>
  <si>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</si>
  <si>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</si>
  <si>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</si>
  <si>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</si>
  <si>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</si>
  <si>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</si>
  <si>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</si>
  <si>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</si>
  <si>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</si>
  <si>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</si>
  <si>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</si>
  <si>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</si>
  <si>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</si>
  <si>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</si>
  <si>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</si>
  <si>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</si>
  <si>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</si>
  <si>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</si>
  <si>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</si>
  <si>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</si>
  <si>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</si>
  <si>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</si>
  <si>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</si>
  <si>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</si>
  <si>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</si>
  <si>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</si>
  <si>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</si>
  <si>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</si>
  <si>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</si>
  <si>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</si>
  <si>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</si>
  <si>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</si>
  <si>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</si>
  <si>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</si>
  <si>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</si>
  <si>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</si>
  <si>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</si>
  <si>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</si>
  <si>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</si>
  <si>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</si>
  <si>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</si>
  <si>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</si>
  <si>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</si>
  <si>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</si>
  <si>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</si>
  <si>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</si>
  <si>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</si>
  <si>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</si>
  <si>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</si>
  <si>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</si>
  <si>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</si>
  <si>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</si>
  <si>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</si>
  <si>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</si>
  <si>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</si>
  <si>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</si>
  <si>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</si>
  <si>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</si>
  <si>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</si>
  <si>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</si>
  <si>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</si>
  <si>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</si>
  <si>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</si>
  <si>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</si>
  <si>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</si>
  <si>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</si>
  <si>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</si>
  <si>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</si>
  <si>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</si>
  <si>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</si>
  <si>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</si>
  <si>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</si>
  <si>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</si>
  <si>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</si>
  <si>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</si>
  <si>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</si>
  <si>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</si>
  <si>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</si>
  <si>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</si>
  <si>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</si>
  <si>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</si>
  <si>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</si>
  <si>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</si>
  <si>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</si>
  <si>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</si>
  <si>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</si>
  <si>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</si>
  <si>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</si>
  <si>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</si>
  <si>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</si>
  <si>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</si>
  <si>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</si>
  <si>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</si>
  <si>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</si>
  <si>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</si>
  <si>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</si>
  <si>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</si>
  <si>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</si>
  <si>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</si>
  <si>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</si>
  <si>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</si>
  <si>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</si>
  <si>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</si>
  <si>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</si>
  <si>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</si>
  <si>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</si>
  <si>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</si>
  <si>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</si>
  <si>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</si>
  <si>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</si>
  <si>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</si>
  <si>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</si>
  <si>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</si>
  <si>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</si>
  <si>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</si>
  <si>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</si>
  <si>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</si>
  <si>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</si>
  <si>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</si>
  <si>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</si>
  <si>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</si>
  <si>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</si>
  <si>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</si>
  <si>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</si>
  <si>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</si>
  <si>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</si>
  <si>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</si>
  <si>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</si>
  <si>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</si>
  <si>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</si>
  <si>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</si>
  <si>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</si>
  <si>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</si>
  <si>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</si>
  <si>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</si>
  <si>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</si>
  <si>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</si>
  <si>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</si>
  <si>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</si>
  <si>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</si>
  <si>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</si>
  <si>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</si>
  <si>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</si>
  <si>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</si>
  <si>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</si>
  <si>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</si>
  <si>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</si>
  <si>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</si>
  <si>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</si>
  <si>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</si>
  <si>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</si>
  <si>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</si>
  <si>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</si>
  <si>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</si>
  <si>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</si>
  <si>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</si>
  <si>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</si>
  <si>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</si>
  <si>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</si>
  <si>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</si>
  <si>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</si>
  <si>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</si>
  <si>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</si>
  <si>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</si>
  <si>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</si>
  <si>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</si>
  <si>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</si>
  <si>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</si>
  <si>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</si>
  <si>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</si>
  <si>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</si>
  <si>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</si>
  <si>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</si>
  <si>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</si>
  <si>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</si>
  <si>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</si>
  <si>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</si>
  <si>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</si>
  <si>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</si>
  <si>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</si>
  <si>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</si>
  <si>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</si>
  <si>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</si>
  <si>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</si>
  <si>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</si>
  <si>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</si>
  <si>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</si>
  <si>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</si>
  <si>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</si>
  <si>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</si>
  <si>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</si>
  <si>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</si>
  <si>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</si>
  <si>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</si>
  <si>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</si>
  <si>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</si>
  <si>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</si>
  <si>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</si>
  <si>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</si>
  <si>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</si>
  <si>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</si>
  <si>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</si>
  <si>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</si>
  <si>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</si>
  <si>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</si>
  <si>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</si>
  <si>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</si>
  <si>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</si>
  <si>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</si>
  <si>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</si>
  <si>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</si>
  <si>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</si>
  <si>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</si>
  <si>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</si>
  <si>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</si>
  <si>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</si>
  <si>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</si>
  <si>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</si>
  <si>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</si>
  <si>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</si>
  <si>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</si>
  <si>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</si>
  <si>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</si>
  <si>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</si>
  <si>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</si>
  <si>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</si>
  <si>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</si>
  <si>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</si>
  <si>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</si>
  <si>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</si>
  <si>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</si>
  <si>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</si>
  <si>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</si>
  <si>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</si>
  <si>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</si>
  <si>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</si>
  <si>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</si>
  <si>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</si>
  <si>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</si>
  <si>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</si>
  <si>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</si>
  <si>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</si>
  <si>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</si>
  <si>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</si>
  <si>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</si>
  <si>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</si>
  <si>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</si>
  <si>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</si>
  <si>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</si>
  <si>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</si>
  <si>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</si>
  <si>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</si>
  <si>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</si>
  <si>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</si>
  <si>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</si>
  <si>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</si>
  <si>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</si>
  <si>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</si>
  <si>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</si>
  <si>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</si>
  <si>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</si>
  <si>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</si>
  <si>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</si>
  <si>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</si>
  <si>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</si>
  <si>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</si>
  <si>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</si>
  <si>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</si>
  <si>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</si>
  <si>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</si>
  <si>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</si>
  <si>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</si>
  <si>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</si>
  <si>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</si>
  <si>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</si>
  <si>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</si>
  <si>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</si>
  <si>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</si>
  <si>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</si>
  <si>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</si>
  <si>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</si>
  <si>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</si>
  <si>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</si>
  <si>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</si>
  <si>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</si>
  <si>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</si>
  <si>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</si>
  <si>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</si>
  <si>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</si>
  <si>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</si>
  <si>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</si>
  <si>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</si>
  <si>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</si>
  <si>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</si>
  <si>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</si>
  <si>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</si>
  <si>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</si>
  <si>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</si>
  <si>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</si>
  <si>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</si>
  <si>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</si>
  <si>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</si>
  <si>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</si>
  <si>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</si>
  <si>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</si>
  <si>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</si>
  <si>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</si>
  <si>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</si>
  <si>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</si>
  <si>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</si>
  <si>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</si>
  <si>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</si>
  <si>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</si>
  <si>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</si>
  <si>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</si>
  <si>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</si>
  <si>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</si>
  <si>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</si>
  <si>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</si>
  <si>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</si>
  <si>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</si>
  <si>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</si>
  <si>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</si>
  <si>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</si>
  <si>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</si>
  <si>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</si>
  <si>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</si>
  <si>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</si>
  <si>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</si>
  <si>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</si>
  <si>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</si>
  <si>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</si>
  <si>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</si>
  <si>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</si>
  <si>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</si>
  <si>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</si>
  <si>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</si>
  <si>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</si>
  <si>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</si>
  <si>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</si>
  <si>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</si>
  <si>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</si>
  <si>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</si>
  <si>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</si>
  <si>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</si>
  <si>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</si>
  <si>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</si>
  <si>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</si>
  <si>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</si>
  <si>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</si>
  <si>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</si>
  <si>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</si>
  <si>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</si>
  <si>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</si>
  <si>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</si>
  <si>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</si>
  <si>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</si>
  <si>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</si>
  <si>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</si>
  <si>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</si>
  <si>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</si>
  <si>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</si>
  <si>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</si>
  <si>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</si>
  <si>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</si>
  <si>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</si>
  <si>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</si>
  <si>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</si>
  <si>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</si>
  <si>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</si>
  <si>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</si>
  <si>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</si>
  <si>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</si>
  <si>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</si>
  <si>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</si>
  <si>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</si>
  <si>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</si>
  <si>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</si>
  <si>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</si>
  <si>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</si>
  <si>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</si>
  <si>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</si>
  <si>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</si>
  <si>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</si>
  <si>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</si>
  <si>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</si>
  <si>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</si>
  <si>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</si>
  <si>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</si>
  <si>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</si>
  <si>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</si>
  <si>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</si>
  <si>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</si>
  <si>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</si>
  <si>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</si>
  <si>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</si>
  <si>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</si>
  <si>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</si>
  <si>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</si>
  <si>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</si>
  <si>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</si>
  <si>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</si>
  <si>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</si>
  <si>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</si>
  <si>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</si>
  <si>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</si>
  <si>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</si>
  <si>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</si>
  <si>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</si>
  <si>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</si>
  <si>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</si>
  <si>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</si>
  <si>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</si>
  <si>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</si>
  <si>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</si>
  <si>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</si>
  <si>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</si>
  <si>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</si>
  <si>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</si>
  <si>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</si>
  <si>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</si>
  <si>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</si>
  <si>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</si>
  <si>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</si>
  <si>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</si>
  <si>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</si>
  <si>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</si>
  <si>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</si>
  <si>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</si>
  <si>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</si>
  <si>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</si>
  <si>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</si>
  <si>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</si>
  <si>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</si>
  <si>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</si>
  <si>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</si>
  <si>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</si>
  <si>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</si>
  <si>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</si>
  <si>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</si>
  <si>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</si>
  <si>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</si>
  <si>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</si>
  <si>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</si>
  <si>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</si>
  <si>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</si>
  <si>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</si>
  <si>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</si>
  <si>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</si>
  <si>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</si>
  <si>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</si>
  <si>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</si>
  <si>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</si>
  <si>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</si>
  <si>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</si>
  <si>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</si>
  <si>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</si>
  <si>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</si>
  <si>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</si>
  <si>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</si>
  <si>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</si>
  <si>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</si>
  <si>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</si>
  <si>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</si>
  <si>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</si>
  <si>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</si>
  <si>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</si>
  <si>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</si>
  <si>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</si>
  <si>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</si>
  <si>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</si>
  <si>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</si>
  <si>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</si>
  <si>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</si>
  <si>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</si>
  <si>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</si>
  <si>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</si>
  <si>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</si>
  <si>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</si>
  <si>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</si>
  <si>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</si>
  <si>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</si>
  <si>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</si>
  <si>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</si>
  <si>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</si>
  <si>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</si>
  <si>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</si>
  <si>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</si>
  <si>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</si>
  <si>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</si>
  <si>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</si>
  <si>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</si>
  <si>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</si>
  <si>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</si>
  <si>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</si>
  <si>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</si>
  <si>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</si>
  <si>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</si>
  <si>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</si>
  <si>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</si>
  <si>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</si>
  <si>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</si>
  <si>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</si>
  <si>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</si>
  <si>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</si>
  <si>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</si>
  <si>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</si>
  <si>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</si>
  <si>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</si>
  <si>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</si>
  <si>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</si>
  <si>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</si>
  <si>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</si>
  <si>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</si>
  <si>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</si>
  <si>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</si>
  <si>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</si>
  <si>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</si>
  <si>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</si>
  <si>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</si>
  <si>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</si>
  <si>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</si>
  <si>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</si>
  <si>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</si>
  <si>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</si>
  <si>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</si>
  <si>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</si>
  <si>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</si>
  <si>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</si>
  <si>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</si>
  <si>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</si>
  <si>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</si>
  <si>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</si>
  <si>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</si>
  <si>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</si>
  <si>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</si>
  <si>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</si>
  <si>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</si>
  <si>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</si>
  <si>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</si>
  <si>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</si>
  <si>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</si>
  <si>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</si>
  <si>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</si>
  <si>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</si>
  <si>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</si>
  <si>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</si>
  <si>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</si>
  <si>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</si>
  <si>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</si>
  <si>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</si>
  <si>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</si>
  <si>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</si>
  <si>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</si>
  <si>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</si>
  <si>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</si>
  <si>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</si>
  <si>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</si>
  <si>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</si>
  <si>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</si>
  <si>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</si>
  <si>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</si>
  <si>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</si>
  <si>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</si>
  <si>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</si>
  <si>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</si>
  <si>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</si>
  <si>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</si>
  <si>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</si>
  <si>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</si>
  <si>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</si>
  <si>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</si>
  <si>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</si>
  <si>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</si>
  <si>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</si>
  <si>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</si>
  <si>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</si>
  <si>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</si>
  <si>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</si>
  <si>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</si>
  <si>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</si>
  <si>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</si>
  <si>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</si>
  <si>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</si>
  <si>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</si>
  <si>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</si>
  <si>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</si>
  <si>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</si>
  <si>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</si>
  <si>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</si>
  <si>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</si>
  <si>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</si>
  <si>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</si>
  <si>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</si>
  <si>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</si>
  <si>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</si>
  <si>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</si>
  <si>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</si>
  <si>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</si>
  <si>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</si>
  <si>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</si>
  <si>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</si>
  <si>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</si>
  <si>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</si>
  <si>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</si>
  <si>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</si>
  <si>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</si>
  <si>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</si>
  <si>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</si>
  <si>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</si>
  <si>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</si>
  <si>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</si>
  <si>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</si>
  <si>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</si>
  <si>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</si>
  <si>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</si>
  <si>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</si>
  <si>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</si>
  <si>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</si>
  <si>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</si>
  <si>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</si>
  <si>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</si>
  <si>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</si>
  <si>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</si>
  <si>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</si>
  <si>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</si>
  <si>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</si>
  <si>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</si>
  <si>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</si>
  <si>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</si>
  <si>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</si>
  <si>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</si>
  <si>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</si>
  <si>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</si>
  <si>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</si>
  <si>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</si>
  <si>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</si>
  <si>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</si>
  <si>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</si>
  <si>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</si>
  <si>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</si>
  <si>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</si>
  <si>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</si>
  <si>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</si>
  <si>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</si>
  <si>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</si>
  <si>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</si>
  <si>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</si>
  <si>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</si>
  <si>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</si>
  <si>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</si>
  <si>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</si>
  <si>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</si>
  <si>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</si>
  <si>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</si>
  <si>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</si>
  <si>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</si>
  <si>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</si>
  <si>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</si>
  <si>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</si>
  <si>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</si>
  <si>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</si>
  <si>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</si>
  <si>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</si>
  <si>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</si>
  <si>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</si>
  <si>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</si>
  <si>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</si>
  <si>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</si>
  <si>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</si>
  <si>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</si>
  <si>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</si>
  <si>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</si>
  <si>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</si>
  <si>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</si>
  <si>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</si>
  <si>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</si>
  <si>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</si>
  <si>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</si>
  <si>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</si>
  <si>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</si>
  <si>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</si>
  <si>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</si>
  <si>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</si>
  <si>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</si>
  <si>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</si>
  <si>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</si>
  <si>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</si>
  <si>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</si>
  <si>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</si>
  <si>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</si>
  <si>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</si>
  <si>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</si>
  <si>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</si>
  <si>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</si>
  <si>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</si>
  <si>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</si>
  <si>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</si>
  <si>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</si>
  <si>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</si>
  <si>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</si>
  <si>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</si>
  <si>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</si>
  <si>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</si>
  <si>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</si>
  <si>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</si>
  <si>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</si>
  <si>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</si>
  <si>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</si>
  <si>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</si>
  <si>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</si>
  <si>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</si>
  <si>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</si>
  <si>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</si>
  <si>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</si>
  <si>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</si>
  <si>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</si>
  <si>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</si>
  <si>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</si>
  <si>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</si>
  <si>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</si>
  <si>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</si>
  <si>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</si>
  <si>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</si>
  <si>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</si>
  <si>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</si>
  <si>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</si>
  <si>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</si>
  <si>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</si>
  <si>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</si>
  <si>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</si>
  <si>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</si>
  <si>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</si>
  <si>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</si>
  <si>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</si>
  <si>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</si>
  <si>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</si>
  <si>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</si>
  <si>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</si>
  <si>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</si>
  <si>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</si>
  <si>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</si>
  <si>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</si>
  <si>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</si>
  <si>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</si>
  <si>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</si>
  <si>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</si>
  <si>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</si>
  <si>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</si>
  <si>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</si>
  <si>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</si>
  <si>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</si>
  <si>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</si>
  <si>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</si>
  <si>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</si>
  <si>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</si>
  <si>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</si>
  <si>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</si>
  <si>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</si>
  <si>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</si>
  <si>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</si>
  <si>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</si>
  <si>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</si>
  <si>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</si>
  <si>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</si>
  <si>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</si>
  <si>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</si>
  <si>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</si>
  <si>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</si>
  <si>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</si>
  <si>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</si>
  <si>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</si>
  <si>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</si>
  <si>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</si>
  <si>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</si>
  <si>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</si>
  <si>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</si>
  <si>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</si>
  <si>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</si>
  <si>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</si>
  <si>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</si>
  <si>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</si>
  <si>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</si>
  <si>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</si>
  <si>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</si>
  <si>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</si>
  <si>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</si>
  <si>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</si>
  <si>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</si>
  <si>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</si>
  <si>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</si>
  <si>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</si>
  <si>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</si>
  <si>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</si>
  <si>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</si>
  <si>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</si>
  <si>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</si>
  <si>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</si>
  <si>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</si>
  <si>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</si>
  <si>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</si>
  <si>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</si>
  <si>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</si>
  <si>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</si>
  <si>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</si>
  <si>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</si>
  <si>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</si>
  <si>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</si>
  <si>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</si>
  <si>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</si>
  <si>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</si>
  <si>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</si>
  <si>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</si>
  <si>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</si>
  <si>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</si>
  <si>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</si>
  <si>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</si>
  <si>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</si>
  <si>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</si>
  <si>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</si>
  <si>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</si>
  <si>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</si>
  <si>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</si>
  <si>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</si>
  <si>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</si>
  <si>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</si>
  <si>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</si>
  <si>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</si>
  <si>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</si>
  <si>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</si>
  <si>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</si>
  <si>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</si>
  <si>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</si>
  <si>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</si>
  <si>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</si>
  <si>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</si>
  <si>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</si>
  <si>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</si>
  <si>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</si>
  <si>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</si>
  <si>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</si>
  <si>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</si>
  <si>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</si>
  <si>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</si>
  <si>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</si>
  <si>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</si>
  <si>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</si>
  <si>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</si>
  <si>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</si>
  <si>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</si>
  <si>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</si>
  <si>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</si>
  <si>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</si>
  <si>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</si>
  <si>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</si>
  <si>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</si>
  <si>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</si>
  <si>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</si>
  <si>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</si>
  <si>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</si>
  <si>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</si>
  <si>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</si>
  <si>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48-072-3230-26</t>
  </si>
  <si>
    <t>309-691-3955</t>
  </si>
  <si>
    <t>309-691-6764</t>
  </si>
  <si>
    <t>Russel J. Rumbold II, CPA</t>
  </si>
  <si>
    <t>rrumbold@gorenzcpa.com</t>
  </si>
  <si>
    <t>General Obligation Refunding Bond, Series 2007</t>
  </si>
  <si>
    <t>General Obligation Refunding Bond, Series 2009</t>
  </si>
  <si>
    <t>General Obligation School Bond, Series 2010</t>
  </si>
  <si>
    <t>General Obligation Refunding Bond, Series 2012A</t>
  </si>
  <si>
    <t>General Obligation School Bond, Series 2013A</t>
  </si>
  <si>
    <t>General Obligation School Bond, Series 2013B</t>
  </si>
  <si>
    <t>General Obligation School Bond, Series 2014A</t>
  </si>
  <si>
    <t>General Obligation School Bond, Series 2014B</t>
  </si>
  <si>
    <t>Capital Lease</t>
  </si>
  <si>
    <t>x</t>
  </si>
  <si>
    <t>Central Illinois Educators Co-op (Health, Dental, Vision, Life, Vol Life)</t>
  </si>
  <si>
    <t>Miller, Hall &amp; Triggs</t>
  </si>
  <si>
    <t>Special Education Association of Peoria County</t>
  </si>
  <si>
    <t>Peoria County Bright Futures / Right At School</t>
  </si>
  <si>
    <t>Equifax / TALX (Unemployment)</t>
  </si>
  <si>
    <t>Dr. Scott Dearman</t>
  </si>
  <si>
    <t>sdearman@dunlapcusd.net</t>
  </si>
  <si>
    <t>There were no findings for the fiscal year ended June 30, 2017.</t>
  </si>
  <si>
    <t>The opinion is adverse due to the use of the Regulatory Basis of Accounting.</t>
  </si>
  <si>
    <t>3020 Willow Knolls</t>
  </si>
  <si>
    <t>Peoria, IL</t>
  </si>
  <si>
    <t>Dunlap Community Unit School District No. 323</t>
  </si>
  <si>
    <t>Schedule of Expenditures of Federal Awards</t>
  </si>
  <si>
    <t xml:space="preserve">                 For the Year Ended June 30, 2018                 </t>
  </si>
  <si>
    <t>ISBE</t>
  </si>
  <si>
    <t>Expenditures/Disbursements</t>
  </si>
  <si>
    <t>Project</t>
  </si>
  <si>
    <t xml:space="preserve">Prior to </t>
  </si>
  <si>
    <t>7/01/17</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</si>
  <si>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</si>
  <si>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</si>
  <si>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</si>
  <si>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</si>
  <si>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</si>
  <si>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</si>
  <si>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</si>
  <si>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</si>
  <si>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</si>
  <si>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 xml:space="preserve">(M) NationalSchool Lunch  Program </t>
  </si>
  <si>
    <t>17-4210-00</t>
  </si>
  <si>
    <t>N/A</t>
  </si>
  <si>
    <t>(M) National School Lunch Program</t>
  </si>
  <si>
    <t>18-4210-00</t>
  </si>
  <si>
    <t>08-4220-00</t>
  </si>
  <si>
    <t>09-4220-00</t>
  </si>
  <si>
    <t>Child Nutrition Commodity/Salvage</t>
  </si>
  <si>
    <t>08-4250-00</t>
  </si>
  <si>
    <t>Department of Defense</t>
  </si>
  <si>
    <t>Fruits and Vegetables</t>
  </si>
  <si>
    <t>FY 2017</t>
  </si>
  <si>
    <t>(2)</t>
  </si>
  <si>
    <t>(M) Fruits and Vegetables</t>
  </si>
  <si>
    <t>FY 2018</t>
  </si>
  <si>
    <t>Food Donation</t>
  </si>
  <si>
    <t>(M) Food Donation</t>
  </si>
  <si>
    <t>Total U.S. Department of Agriculture - Pass-through program</t>
  </si>
  <si>
    <t xml:space="preserve">U.S. Department of Education - </t>
  </si>
  <si>
    <t>Title V - Innovative Programs - Formula</t>
  </si>
  <si>
    <t>09-4100-00</t>
  </si>
  <si>
    <t>84.010</t>
  </si>
  <si>
    <t>17-4300-00</t>
  </si>
  <si>
    <t>18-4300-00</t>
  </si>
  <si>
    <t>IDEA - Room &amp; Board - Excess Costs</t>
  </si>
  <si>
    <t>17-4625-XC</t>
  </si>
  <si>
    <t>IDEA - Room &amp; Board - excess costs</t>
  </si>
  <si>
    <t>18-4625-XC</t>
  </si>
  <si>
    <t>IDEA - Room &amp; Board</t>
  </si>
  <si>
    <t>17-4625-00</t>
  </si>
  <si>
    <t>(M) IDEA - Room &amp; Board</t>
  </si>
  <si>
    <t>18-4625-00</t>
  </si>
  <si>
    <t>17-4905-00</t>
  </si>
  <si>
    <t>18-4905-00</t>
  </si>
  <si>
    <t>Title III - Lang Inst Prog - Limited Eng LIPLEP</t>
  </si>
  <si>
    <t>84.365A</t>
  </si>
  <si>
    <t>17-4909-00</t>
  </si>
  <si>
    <t>18-4909-00</t>
  </si>
  <si>
    <t>17-4932-00</t>
  </si>
  <si>
    <t>18-4932-00</t>
  </si>
  <si>
    <t>IDEA - Flow-Through</t>
  </si>
  <si>
    <t>17-4620-00</t>
  </si>
  <si>
    <t>18-4620-00</t>
  </si>
  <si>
    <t>Total U.S. Department of Education - Pass-through programs</t>
  </si>
  <si>
    <t>Federal Emergency Management Agency</t>
  </si>
  <si>
    <t>Illinois Emergency Management Agency</t>
  </si>
  <si>
    <t>Federal Disaster funds - Snow removal</t>
  </si>
  <si>
    <t>07-4999-00</t>
  </si>
  <si>
    <t>Total Federal Emergeny Management Agency - Pass-through programs</t>
  </si>
  <si>
    <t xml:space="preserve">U.S. Department of Health and Human Services - </t>
  </si>
  <si>
    <t>Illinois Department of Healthcare and Family Services</t>
  </si>
  <si>
    <t>Medicaid Administrative Outreach</t>
  </si>
  <si>
    <t>17-4991-00</t>
  </si>
  <si>
    <t>18-4991-00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</si>
  <si>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</si>
  <si>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</si>
  <si>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</si>
  <si>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</si>
  <si>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</si>
  <si>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</si>
  <si>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</si>
  <si>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2018</t>
  </si>
  <si>
    <r>
      <t xml:space="preserve">1 </t>
    </r>
    <r>
      <rPr>
        <sz val="11"/>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</si>
  <si>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</si>
  <si>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11"/>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</si>
  <si>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</si>
  <si>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11"/>
        <rFont val="Arial"/>
        <family val="2"/>
      </rPr>
      <t xml:space="preserve">  When awards are received as a subrecipient, the identifying number assigned by the pass-through entity should be included in the schedule.</t>
    </r>
  </si>
  <si>
    <r>
      <t xml:space="preserve">4  </t>
    </r>
    <r>
      <rPr>
        <sz val="11"/>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</si>
  <si>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</si>
  <si>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</si>
  <si>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</si>
  <si>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NONE</t>
  </si>
  <si>
    <t>Of the federal expenditures presented in the schedule, Dunlap CUSD No. 323 provided federal awards to subrecipients as follows:</t>
  </si>
  <si>
    <r>
      <t xml:space="preserve">The following amounts were expended in the form of non-cash assistance by Dunlap CUSD No. 323 and </t>
    </r>
    <r>
      <rPr>
        <b/>
        <sz val="9"/>
        <rFont val="Calibri"/>
        <family val="2"/>
        <scheme val="minor"/>
      </rPr>
      <t>should be</t>
    </r>
    <r>
      <rPr>
        <sz val="9"/>
        <rFont val="Calibri"/>
        <family val="2"/>
        <scheme val="minor"/>
      </rPr>
      <t xml:space="preserve"> included in the Schedule of Expenditures of Federal Awards:</t>
    </r>
  </si>
  <si>
    <t>Note 6:  Relationship to Basic Financial Statements</t>
  </si>
  <si>
    <t>Unmodified</t>
  </si>
  <si>
    <t>84.173A</t>
  </si>
  <si>
    <t>18-4600-00</t>
  </si>
  <si>
    <t>IDEA - Part B - Pre-School</t>
  </si>
  <si>
    <t>Federal awards received are reflected in the District's financial statements within the Educational Fund as receipts from federal sources. Amounts reported in the accompanying Schedule of Expenditures of Federal Awards agree with amounts reported in the Program Financial Reports for programs which have filed final reports as of June 30, 2018.</t>
  </si>
  <si>
    <t>066-005027</t>
  </si>
  <si>
    <t>General Obligation Refunding Bond, Series 2017</t>
  </si>
  <si>
    <t>Alternate Revenue Bonds, Series 2018</t>
  </si>
  <si>
    <t>Alternative Revenue Bonds</t>
  </si>
  <si>
    <t>ED - Special Education Program K-12 - Tuition</t>
  </si>
  <si>
    <t>Chaddock</t>
  </si>
  <si>
    <t>Lincoln Prairie</t>
  </si>
  <si>
    <t>Value of Commodities</t>
  </si>
  <si>
    <t>Build America Bond Credits</t>
  </si>
  <si>
    <t>Page 10 - Line 74 - Refunds, rebates, and vending income</t>
  </si>
  <si>
    <t>Page 10 - Line 78 - DHS Pool Fees</t>
  </si>
  <si>
    <t>Page 10 - Line 81 - Parking fees, gym suits &amp; locks, activity fees, yearbook fees, and graduation fees</t>
  </si>
  <si>
    <t>Page 11 - Line 107 - Education Fund - Jury duty, refunds, and reimbursements</t>
  </si>
  <si>
    <t>Page 11 - Line 107 - Operations &amp; Maintenance Fund - Reimbursements &amp; rebates</t>
  </si>
  <si>
    <t>Page 11 - Line 107 - Transportation Fund - Bus fees</t>
  </si>
  <si>
    <t>Page 11 - Line 107 - Municipal Retirement/Social Security Fund - FICA, IMRF, and Medicare reimbursements</t>
  </si>
  <si>
    <t>Page 12 - Line 171 - State Library Grants</t>
  </si>
  <si>
    <t>Page 15 - Line 41 - Parking tags, PE uniforms, instruments, and Pepsi resale</t>
  </si>
  <si>
    <t>Page 16 - Line 73 - Technology expenditures</t>
  </si>
  <si>
    <t>Page 18 - Line 171 - Bonds fees</t>
  </si>
  <si>
    <t>Page 20 - Line 278 - Technology FICA and Medicare</t>
  </si>
  <si>
    <t>Page 24 - Line 41 - Capital Lease Purchase Payment</t>
  </si>
  <si>
    <t>Page 24 - Line 42 - Capital Lease Purchase Payment</t>
  </si>
  <si>
    <t>Page 24 - Line 39 - Issuance of bonds used to refund the General Obligation Refunding Bond, Series 2007</t>
  </si>
  <si>
    <t>Page 24 - Line 31 - Amount refunded from the issurance of the General Obligation Refunding Bond, Series 2017</t>
  </si>
  <si>
    <t>Page 18 - Line 183 - Title I Summer School  Transportation</t>
  </si>
  <si>
    <t>Page 11 - Line 107 - Tort Fund - United Heartland Dividends</t>
  </si>
  <si>
    <t>The accompanying Schedule of Expenditures of Federal Awards includes the federal grant activity of Dunlap Community Unit School District No. 323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</si>
  <si>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Child Nutrition Cluster</t>
  </si>
  <si>
    <t>see PDF version</t>
  </si>
  <si>
    <t>Dunlap CUSD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</si>
</sst>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0.0_);\(#,##0.0\)"/>
    <numFmt numFmtId="184" formatCode="#,##0.000_);\(#,##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amily val="3"/>
    </font>
    <font>
      <b/>
      <sz val="12"/>
      <name val="Times New Roman"/>
      <family val="1"/>
    </font>
    <font>
      <sz val="11"/>
      <name val="Times New Roman"/>
      <family val="1"/>
    </font>
    <font>
      <sz val="10"/>
      <name val="Courier"/>
    </font>
    <font>
      <b/>
      <u/>
      <sz val="11"/>
      <name val="Times New Roman"/>
      <family val="1"/>
    </font>
    <font>
      <sz val="11"/>
      <name val="Courier"/>
      <family val="3"/>
    </font>
    <font>
      <u val="singleAccounting"/>
      <sz val="11"/>
      <name val="Times New Roman"/>
      <family val="1"/>
    </font>
    <font>
      <u/>
      <sz val="11"/>
      <name val="Times New Roman"/>
      <family val="1"/>
    </font>
    <font>
      <b/>
      <sz val="11"/>
      <name val="Times New Roman"/>
      <family val="1"/>
    </font>
    <font>
      <sz val="11"/>
      <name val="Arial"/>
      <family val="2"/>
    </font>
    <font>
      <u val="doubleAccounting"/>
      <sz val="11"/>
      <name val="Times New Roman"/>
      <family val="1"/>
    </font>
    <font>
      <vertAlign val="superscript"/>
      <sz val="11"/>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9" fillId="0" borderId="0"/>
    <xf numFmtId="43" fontId="43" fillId="0" borderId="0" applyFont="0" applyFill="0" applyBorder="0" applyAlignment="0" applyProtection="0"/>
  </cellStyleXfs>
  <cellXfs count="26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7" fontId="139" fillId="0" borderId="0" xfId="20" applyAlignment="1">
      <alignment vertical="center"/>
    </xf>
    <xf numFmtId="37" fontId="43" fillId="0" borderId="0" xfId="20" applyFont="1" applyBorder="1" applyAlignment="1">
      <alignment horizontal="centerContinuous" vertical="center"/>
    </xf>
    <xf numFmtId="37" fontId="43" fillId="0" borderId="0" xfId="20" applyFont="1" applyBorder="1" applyAlignment="1">
      <alignment horizontal="left" vertical="center"/>
    </xf>
    <xf numFmtId="37" fontId="43" fillId="0" borderId="0" xfId="20" applyFont="1" applyFill="1" applyBorder="1" applyAlignment="1">
      <alignment horizontal="left" vertical="center"/>
    </xf>
    <xf numFmtId="37" fontId="43" fillId="0" borderId="0" xfId="20" applyFont="1" applyBorder="1" applyAlignment="1">
      <alignment vertical="center"/>
    </xf>
    <xf numFmtId="37" fontId="43" fillId="0" borderId="0" xfId="20" applyFont="1" applyBorder="1" applyAlignment="1">
      <alignment horizontal="center" vertical="center"/>
    </xf>
    <xf numFmtId="37" fontId="138" fillId="0" borderId="0" xfId="20" applyFont="1" applyFill="1" applyBorder="1" applyAlignment="1">
      <alignment horizontal="left" vertical="center"/>
    </xf>
    <xf numFmtId="37" fontId="138" fillId="0" borderId="0" xfId="20" applyFont="1" applyBorder="1" applyAlignment="1">
      <alignment horizontal="centerContinuous" vertical="center"/>
    </xf>
    <xf numFmtId="37" fontId="138" fillId="0" borderId="0" xfId="20" applyFont="1" applyBorder="1" applyAlignment="1">
      <alignment horizontal="left" vertical="center"/>
    </xf>
    <xf numFmtId="37" fontId="138" fillId="0" borderId="0" xfId="20" applyFont="1" applyBorder="1" applyAlignment="1">
      <alignment vertical="center"/>
    </xf>
    <xf numFmtId="37" fontId="138" fillId="0" borderId="0" xfId="20" applyFont="1" applyBorder="1" applyAlignment="1">
      <alignment horizontal="center" vertical="center"/>
    </xf>
    <xf numFmtId="37" fontId="138" fillId="0" borderId="0" xfId="20" applyFont="1" applyAlignment="1">
      <alignment vertical="center"/>
    </xf>
    <xf numFmtId="37" fontId="141" fillId="0" borderId="0" xfId="20" applyFont="1" applyAlignment="1">
      <alignment vertical="center"/>
    </xf>
    <xf numFmtId="37" fontId="138" fillId="0" borderId="0" xfId="20" applyFont="1" applyAlignment="1">
      <alignment horizontal="left" vertical="center"/>
    </xf>
    <xf numFmtId="37" fontId="138" fillId="0" borderId="0" xfId="20" applyFont="1" applyAlignment="1">
      <alignment horizontal="center" vertical="center"/>
    </xf>
    <xf numFmtId="37" fontId="138" fillId="0" borderId="0" xfId="20" quotePrefix="1" applyFont="1" applyAlignment="1">
      <alignment horizontal="center" vertical="center"/>
    </xf>
    <xf numFmtId="14" fontId="138" fillId="0" borderId="0" xfId="20" applyNumberFormat="1" applyFont="1" applyAlignment="1">
      <alignment horizontal="center" vertical="center"/>
    </xf>
    <xf numFmtId="37" fontId="143" fillId="0" borderId="0" xfId="20" quotePrefix="1" applyFont="1" applyAlignment="1">
      <alignment horizontal="left" vertical="center"/>
    </xf>
    <xf numFmtId="37" fontId="142" fillId="0" borderId="0" xfId="20" applyFont="1" applyAlignment="1">
      <alignment horizontal="center" vertical="center"/>
    </xf>
    <xf numFmtId="37" fontId="138" fillId="0" borderId="0" xfId="20" applyNumberFormat="1" applyFont="1" applyAlignment="1" applyProtection="1">
      <alignment horizontal="center" vertical="center"/>
    </xf>
    <xf numFmtId="37" fontId="138" fillId="0" borderId="0" xfId="20" applyFont="1"/>
    <xf numFmtId="37" fontId="143" fillId="0" borderId="0" xfId="20" applyFont="1" applyAlignment="1">
      <alignment horizontal="center"/>
    </xf>
    <xf numFmtId="37" fontId="143" fillId="0" borderId="0" xfId="20" applyNumberFormat="1" applyFont="1" applyAlignment="1" applyProtection="1">
      <alignment horizontal="center"/>
    </xf>
    <xf numFmtId="37" fontId="143" fillId="0" borderId="0" xfId="20" applyNumberFormat="1" applyFont="1" applyFill="1" applyAlignment="1" applyProtection="1">
      <alignment horizontal="center"/>
    </xf>
    <xf numFmtId="37" fontId="138" fillId="0" borderId="0" xfId="20" applyNumberFormat="1" applyFont="1" applyAlignment="1" applyProtection="1">
      <alignment horizontal="center"/>
    </xf>
    <xf numFmtId="37" fontId="138" fillId="0" borderId="0" xfId="20" applyFont="1" applyFill="1"/>
    <xf numFmtId="37" fontId="144" fillId="0" borderId="0" xfId="20" applyFont="1" applyAlignment="1">
      <alignment horizontal="left"/>
    </xf>
    <xf numFmtId="37" fontId="144" fillId="0" borderId="0" xfId="20" applyFont="1" applyAlignment="1">
      <alignment horizontal="left" indent="1"/>
    </xf>
    <xf numFmtId="37" fontId="138" fillId="0" borderId="0" xfId="20" applyFont="1" applyAlignment="1">
      <alignment horizontal="center"/>
    </xf>
    <xf numFmtId="37" fontId="138" fillId="0" borderId="0" xfId="20" applyFont="1" applyAlignment="1">
      <alignment horizontal="right"/>
    </xf>
    <xf numFmtId="37" fontId="138" fillId="0" borderId="0" xfId="20" applyFont="1" applyAlignment="1">
      <alignment horizontal="left" indent="1"/>
    </xf>
    <xf numFmtId="181" fontId="138" fillId="0" borderId="0" xfId="20" applyNumberFormat="1" applyFont="1" applyAlignment="1" applyProtection="1">
      <alignment horizontal="center"/>
    </xf>
    <xf numFmtId="37" fontId="138" fillId="0" borderId="0" xfId="20" applyFont="1" applyFill="1" applyAlignment="1">
      <alignment horizontal="center"/>
    </xf>
    <xf numFmtId="182" fontId="138" fillId="0" borderId="0" xfId="20" applyNumberFormat="1" applyFont="1" applyFill="1"/>
    <xf numFmtId="182" fontId="138" fillId="0" borderId="0" xfId="20" applyNumberFormat="1" applyFont="1" applyFill="1" applyProtection="1"/>
    <xf numFmtId="182" fontId="138" fillId="0" borderId="0" xfId="20" applyNumberFormat="1" applyFont="1" applyFill="1" applyAlignment="1" applyProtection="1">
      <alignment horizontal="right"/>
    </xf>
    <xf numFmtId="182" fontId="138" fillId="0" borderId="0" xfId="20" applyNumberFormat="1" applyFont="1" applyFill="1" applyAlignment="1">
      <alignment horizontal="center"/>
    </xf>
    <xf numFmtId="182" fontId="138" fillId="0" borderId="0" xfId="20" applyNumberFormat="1" applyFont="1" applyFill="1" applyBorder="1"/>
    <xf numFmtId="41" fontId="138" fillId="0" borderId="0" xfId="20" applyNumberFormat="1" applyFont="1" applyFill="1" applyBorder="1"/>
    <xf numFmtId="37" fontId="138" fillId="0" borderId="0" xfId="20" applyFont="1" applyAlignment="1">
      <alignment horizontal="left"/>
    </xf>
    <xf numFmtId="37" fontId="138" fillId="0" borderId="0" xfId="20" applyFont="1" applyAlignment="1">
      <alignment horizontal="left" indent="2"/>
    </xf>
    <xf numFmtId="182" fontId="138" fillId="0" borderId="0" xfId="20" quotePrefix="1" applyNumberFormat="1" applyFont="1" applyFill="1" applyAlignment="1">
      <alignment horizontal="center"/>
    </xf>
    <xf numFmtId="37" fontId="141" fillId="0" borderId="0" xfId="20" applyFont="1" applyFill="1" applyAlignment="1">
      <alignment vertical="center"/>
    </xf>
    <xf numFmtId="37" fontId="138" fillId="0" borderId="0" xfId="20" applyFont="1" applyAlignment="1">
      <alignment horizontal="left" vertical="center" indent="1"/>
    </xf>
    <xf numFmtId="181" fontId="138" fillId="0" borderId="0" xfId="20" applyNumberFormat="1" applyFont="1" applyAlignment="1" applyProtection="1">
      <alignment horizontal="center" vertical="center"/>
    </xf>
    <xf numFmtId="37" fontId="138" fillId="0" borderId="0" xfId="20" applyFont="1" applyFill="1" applyAlignment="1">
      <alignment horizontal="center" vertical="center"/>
    </xf>
    <xf numFmtId="182" fontId="138" fillId="0" borderId="0" xfId="20" applyNumberFormat="1" applyFont="1" applyFill="1" applyAlignment="1">
      <alignment vertical="center"/>
    </xf>
    <xf numFmtId="182" fontId="138" fillId="0" borderId="0" xfId="20" applyNumberFormat="1" applyFont="1" applyFill="1" applyAlignment="1" applyProtection="1">
      <alignment horizontal="right" vertical="center"/>
    </xf>
    <xf numFmtId="182" fontId="142" fillId="0" borderId="0" xfId="20" applyNumberFormat="1" applyFont="1" applyFill="1" applyAlignment="1">
      <alignment vertical="center"/>
    </xf>
    <xf numFmtId="182" fontId="142" fillId="28" borderId="0" xfId="20" applyNumberFormat="1" applyFont="1" applyFill="1" applyAlignment="1">
      <alignment vertical="center"/>
    </xf>
    <xf numFmtId="37" fontId="144" fillId="0" borderId="0" xfId="20" applyFont="1" applyAlignment="1">
      <alignment horizontal="left" vertical="center"/>
    </xf>
    <xf numFmtId="182" fontId="142" fillId="0" borderId="0" xfId="20" applyNumberFormat="1" applyFont="1" applyAlignment="1">
      <alignment vertical="center"/>
    </xf>
    <xf numFmtId="182" fontId="138" fillId="0" borderId="0" xfId="20" applyNumberFormat="1" applyFont="1" applyAlignment="1" applyProtection="1">
      <alignment horizontal="right" vertical="center"/>
    </xf>
    <xf numFmtId="182" fontId="138" fillId="0" borderId="0" xfId="20" applyNumberFormat="1" applyFont="1"/>
    <xf numFmtId="182" fontId="138" fillId="0" borderId="0" xfId="20" applyNumberFormat="1" applyFont="1" applyAlignment="1">
      <alignment horizontal="center"/>
    </xf>
    <xf numFmtId="182" fontId="138" fillId="0" borderId="0" xfId="20" applyNumberFormat="1" applyFont="1" applyProtection="1"/>
    <xf numFmtId="182" fontId="138" fillId="0" borderId="0" xfId="20" applyNumberFormat="1" applyFont="1" applyAlignment="1" applyProtection="1">
      <alignment horizontal="right"/>
    </xf>
    <xf numFmtId="181" fontId="138" fillId="0" borderId="0" xfId="20" applyNumberFormat="1" applyFont="1" applyFill="1" applyAlignment="1" applyProtection="1">
      <alignment horizontal="center"/>
    </xf>
    <xf numFmtId="37" fontId="138" fillId="0" borderId="0" xfId="20" applyFont="1" applyFill="1" applyAlignment="1">
      <alignment horizontal="left" indent="1"/>
    </xf>
    <xf numFmtId="181" fontId="138" fillId="0" borderId="0" xfId="20" applyNumberFormat="1" applyFont="1" applyFill="1" applyAlignment="1" applyProtection="1">
      <alignment horizontal="left"/>
    </xf>
    <xf numFmtId="37" fontId="138" fillId="0" borderId="0" xfId="20" applyFont="1" applyFill="1" applyAlignment="1">
      <alignment horizontal="left"/>
    </xf>
    <xf numFmtId="37" fontId="138" fillId="0" borderId="0" xfId="20" quotePrefix="1" applyFont="1" applyFill="1" applyAlignment="1">
      <alignment horizontal="left" indent="1"/>
    </xf>
    <xf numFmtId="37" fontId="138" fillId="0" borderId="0" xfId="20" quotePrefix="1" applyFont="1" applyFill="1" applyAlignment="1">
      <alignment horizontal="center"/>
    </xf>
    <xf numFmtId="37" fontId="144" fillId="0" borderId="0" xfId="20" applyFont="1" applyFill="1" applyAlignment="1">
      <alignment horizontal="left" vertical="center" indent="1"/>
    </xf>
    <xf numFmtId="182" fontId="143" fillId="0" borderId="0" xfId="20" applyNumberFormat="1" applyFont="1" applyFill="1"/>
    <xf numFmtId="183" fontId="144" fillId="0" borderId="0" xfId="20" applyNumberFormat="1" applyFont="1" applyFill="1" applyAlignment="1">
      <alignment horizontal="left" vertical="center" indent="1"/>
    </xf>
    <xf numFmtId="37" fontId="144" fillId="0" borderId="0" xfId="20" applyFont="1" applyAlignment="1">
      <alignment vertical="center"/>
    </xf>
    <xf numFmtId="184" fontId="138" fillId="0" borderId="0" xfId="20" applyNumberFormat="1" applyFont="1" applyAlignment="1" applyProtection="1">
      <alignment vertical="center"/>
    </xf>
    <xf numFmtId="182" fontId="142" fillId="0" borderId="0" xfId="20" applyNumberFormat="1" applyFont="1" applyFill="1" applyAlignment="1" applyProtection="1">
      <alignment vertical="center"/>
    </xf>
    <xf numFmtId="182" fontId="138" fillId="0" borderId="0" xfId="20" applyNumberFormat="1" applyFont="1" applyFill="1" applyAlignment="1" applyProtection="1">
      <alignment horizontal="left" vertical="center"/>
    </xf>
    <xf numFmtId="182" fontId="138" fillId="0" borderId="0" xfId="20" applyNumberFormat="1" applyFont="1" applyFill="1" applyAlignment="1">
      <alignment horizontal="center" vertical="center"/>
    </xf>
    <xf numFmtId="182" fontId="138" fillId="0" borderId="0" xfId="20" applyNumberFormat="1" applyFont="1" applyFill="1" applyAlignment="1" applyProtection="1">
      <alignment vertical="center"/>
    </xf>
    <xf numFmtId="37" fontId="144" fillId="0" borderId="0" xfId="20" applyFont="1" applyFill="1" applyAlignment="1">
      <alignment horizontal="left" vertical="center"/>
    </xf>
    <xf numFmtId="182" fontId="138" fillId="0" borderId="0" xfId="20" applyNumberFormat="1" applyFont="1" applyFill="1" applyAlignment="1" applyProtection="1">
      <alignment horizontal="center" vertical="center"/>
    </xf>
    <xf numFmtId="182" fontId="142" fillId="0" borderId="0" xfId="20" applyNumberFormat="1" applyFont="1" applyAlignment="1" applyProtection="1">
      <alignment vertical="center"/>
    </xf>
    <xf numFmtId="182" fontId="138" fillId="0" borderId="0" xfId="20" applyNumberFormat="1" applyFont="1" applyAlignment="1">
      <alignment vertical="center"/>
    </xf>
    <xf numFmtId="182" fontId="146" fillId="0" borderId="0" xfId="20" applyNumberFormat="1" applyFont="1" applyAlignment="1">
      <alignment vertical="center"/>
    </xf>
    <xf numFmtId="182" fontId="146" fillId="0" borderId="0" xfId="20" applyNumberFormat="1" applyFont="1"/>
    <xf numFmtId="182" fontId="142" fillId="0" borderId="0" xfId="20" applyNumberFormat="1" applyFont="1"/>
    <xf numFmtId="37" fontId="138" fillId="0" borderId="0" xfId="20" applyFont="1" applyAlignment="1"/>
    <xf numFmtId="181" fontId="138" fillId="0" borderId="0" xfId="20" applyNumberFormat="1" applyFont="1" applyProtection="1"/>
    <xf numFmtId="37" fontId="138" fillId="0" borderId="0" xfId="20" quotePrefix="1" applyFont="1" applyAlignment="1">
      <alignment horizontal="left"/>
    </xf>
    <xf numFmtId="37" fontId="141" fillId="0" borderId="0" xfId="20" applyFont="1"/>
    <xf numFmtId="182" fontId="141" fillId="0" borderId="0" xfId="20" applyNumberFormat="1" applyFont="1" applyAlignment="1">
      <alignment horizontal="left"/>
    </xf>
    <xf numFmtId="182" fontId="141" fillId="0" borderId="0" xfId="20" applyNumberFormat="1" applyFont="1" applyAlignment="1">
      <alignment horizontal="center"/>
    </xf>
    <xf numFmtId="181" fontId="141" fillId="0" borderId="0" xfId="20" applyNumberFormat="1" applyFont="1" applyAlignment="1" applyProtection="1">
      <alignment vertical="center"/>
    </xf>
    <xf numFmtId="182" fontId="141" fillId="0" borderId="0" xfId="20" applyNumberFormat="1" applyFont="1" applyAlignment="1">
      <alignment vertical="center"/>
    </xf>
    <xf numFmtId="182" fontId="141" fillId="0" borderId="0" xfId="20" applyNumberFormat="1" applyFont="1" applyAlignment="1">
      <alignment horizontal="center" vertical="center"/>
    </xf>
    <xf numFmtId="37" fontId="147" fillId="0" borderId="0" xfId="20" applyFont="1" applyAlignment="1" applyProtection="1">
      <alignment horizontal="left"/>
    </xf>
    <xf numFmtId="37" fontId="147" fillId="0" borderId="0" xfId="20" applyFont="1" applyAlignment="1" applyProtection="1">
      <alignment wrapText="1"/>
    </xf>
    <xf numFmtId="37" fontId="141" fillId="0" borderId="0" xfId="20" applyFont="1" applyAlignment="1" applyProtection="1">
      <alignment horizontal="left"/>
    </xf>
    <xf numFmtId="37" fontId="145" fillId="0" borderId="0" xfId="20" applyFont="1" applyAlignment="1" applyProtection="1">
      <alignment horizontal="left" indent="1"/>
    </xf>
    <xf numFmtId="37" fontId="145" fillId="0" borderId="0" xfId="20" applyFont="1" applyAlignment="1" applyProtection="1">
      <alignment wrapText="1"/>
    </xf>
    <xf numFmtId="37" fontId="145" fillId="0" borderId="0" xfId="20" applyFont="1" applyAlignment="1" applyProtection="1"/>
    <xf numFmtId="1" fontId="145" fillId="0" borderId="0" xfId="20" applyNumberFormat="1" applyFont="1" applyAlignment="1" applyProtection="1">
      <alignment horizontal="left"/>
    </xf>
    <xf numFmtId="37" fontId="145" fillId="0" borderId="0" xfId="20" applyFont="1" applyAlignment="1" applyProtection="1">
      <alignment horizontal="left"/>
    </xf>
    <xf numFmtId="1" fontId="141" fillId="0" borderId="0" xfId="20" applyNumberFormat="1" applyFont="1" applyAlignment="1" applyProtection="1">
      <alignment horizontal="left"/>
    </xf>
    <xf numFmtId="169" fontId="141" fillId="0" borderId="0" xfId="20" applyNumberFormat="1" applyFont="1" applyProtection="1">
      <protection locked="0"/>
    </xf>
    <xf numFmtId="1" fontId="141" fillId="0" borderId="0" xfId="20" applyNumberFormat="1" applyFont="1" applyProtection="1">
      <protection locked="0"/>
    </xf>
    <xf numFmtId="37" fontId="141" fillId="0" borderId="0" xfId="20" applyFont="1" applyProtection="1">
      <protection locked="0"/>
    </xf>
    <xf numFmtId="37" fontId="141" fillId="0" borderId="0" xfId="20" applyFont="1" applyAlignment="1" applyProtection="1">
      <alignment horizontal="center"/>
      <protection locked="0"/>
    </xf>
    <xf numFmtId="37" fontId="139" fillId="0" borderId="0" xfId="20" applyAlignment="1">
      <alignment horizontal="center" vertical="center"/>
    </xf>
    <xf numFmtId="0" fontId="53" fillId="0" borderId="0" xfId="3" applyFont="1" applyBorder="1" applyAlignment="1" applyProtection="1">
      <alignment horizontal="left" vertical="top" wrapText="1"/>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Border="1" applyAlignment="1" applyProtection="1">
      <alignment horizontal="left" vertical="center"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37" fontId="137" fillId="0" borderId="0" xfId="19" applyFont="1" applyAlignment="1">
      <alignment horizontal="center" vertical="center"/>
    </xf>
    <xf numFmtId="37" fontId="137" fillId="0" borderId="0" xfId="20" applyFont="1" applyAlignment="1">
      <alignment horizontal="center" vertical="center"/>
    </xf>
    <xf numFmtId="0" fontId="140" fillId="0" borderId="0" xfId="20" applyNumberFormat="1" applyFont="1" applyAlignment="1">
      <alignment horizontal="center" vertical="center"/>
    </xf>
    <xf numFmtId="37" fontId="142" fillId="0" borderId="0" xfId="20" applyFont="1" applyBorder="1" applyAlignment="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19"/>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01" t="s">
        <v>424</v>
      </c>
      <c r="J1" s="2102"/>
      <c r="K1" s="2102"/>
      <c r="L1" s="2102"/>
      <c r="M1" s="2102"/>
      <c r="N1" s="2102"/>
      <c r="O1" s="2102"/>
      <c r="P1" s="2102"/>
      <c r="Q1" s="2102"/>
      <c r="R1" s="2102"/>
      <c r="S1" s="2102"/>
    </row>
    <row r="2" spans="1:28" ht="12" customHeight="1" x14ac:dyDescent="0.2">
      <c r="A2" s="47" t="s">
        <v>1683</v>
      </c>
      <c r="D2" s="48"/>
      <c r="I2" s="2103" t="s">
        <v>1035</v>
      </c>
      <c r="J2" s="2102"/>
      <c r="K2" s="2102"/>
      <c r="L2" s="2102"/>
      <c r="M2" s="2102"/>
      <c r="N2" s="2102"/>
      <c r="O2" s="2102"/>
      <c r="P2" s="2102"/>
      <c r="Q2" s="2102"/>
      <c r="R2" s="2102"/>
      <c r="S2" s="2102"/>
    </row>
    <row r="3" spans="1:28" ht="12" customHeight="1" x14ac:dyDescent="0.2">
      <c r="A3" s="155" t="s">
        <v>1684</v>
      </c>
      <c r="B3" s="156"/>
      <c r="C3" s="156"/>
      <c r="D3" s="157"/>
      <c r="I3" s="2103" t="s">
        <v>54</v>
      </c>
      <c r="J3" s="2102"/>
      <c r="K3" s="2102"/>
      <c r="L3" s="2102"/>
      <c r="M3" s="2102"/>
      <c r="N3" s="2102"/>
      <c r="O3" s="2102"/>
      <c r="P3" s="2102"/>
      <c r="Q3" s="2102"/>
      <c r="R3" s="2102"/>
      <c r="S3" s="2102"/>
    </row>
    <row r="4" spans="1:28" ht="12" customHeight="1" x14ac:dyDescent="0.2">
      <c r="A4" s="37"/>
      <c r="I4" s="2103" t="s">
        <v>544</v>
      </c>
      <c r="J4" s="2102"/>
      <c r="K4" s="2102"/>
      <c r="L4" s="2102"/>
      <c r="M4" s="2102"/>
      <c r="N4" s="2102"/>
      <c r="O4" s="2102"/>
      <c r="P4" s="2102"/>
      <c r="Q4" s="2102"/>
      <c r="R4" s="2102"/>
      <c r="S4" s="2102"/>
    </row>
    <row r="5" spans="1:28" ht="14.1" customHeight="1" x14ac:dyDescent="0.2">
      <c r="B5" s="104" t="s">
        <v>2072</v>
      </c>
      <c r="C5" s="26" t="s">
        <v>965</v>
      </c>
      <c r="D5" s="84"/>
      <c r="E5" s="84"/>
      <c r="H5" s="38"/>
      <c r="I5" s="2111" t="s">
        <v>700</v>
      </c>
      <c r="J5" s="2110"/>
      <c r="K5" s="2110"/>
      <c r="L5" s="2110"/>
      <c r="M5" s="2110"/>
      <c r="N5" s="2110"/>
      <c r="O5" s="2110"/>
      <c r="P5" s="2110"/>
      <c r="Q5" s="2110"/>
      <c r="R5" s="2110"/>
      <c r="S5" s="2110"/>
    </row>
    <row r="6" spans="1:28" ht="14.1" customHeight="1" x14ac:dyDescent="0.2">
      <c r="B6" s="104"/>
      <c r="C6" s="26" t="s">
        <v>966</v>
      </c>
      <c r="D6" s="84"/>
      <c r="E6" s="84"/>
      <c r="I6" s="2109" t="s">
        <v>937</v>
      </c>
      <c r="J6" s="2110"/>
      <c r="K6" s="2110"/>
      <c r="L6" s="2110"/>
      <c r="M6" s="2110"/>
      <c r="N6" s="2110"/>
      <c r="O6" s="2110"/>
      <c r="P6" s="2110"/>
      <c r="Q6" s="2110"/>
      <c r="R6" s="2110"/>
      <c r="S6" s="2110"/>
    </row>
    <row r="7" spans="1:28" ht="12.2" customHeight="1" x14ac:dyDescent="0.2">
      <c r="I7" s="2104">
        <v>43281</v>
      </c>
      <c r="J7" s="2105"/>
      <c r="K7" s="2105"/>
      <c r="L7" s="2105"/>
      <c r="M7" s="2105"/>
      <c r="N7" s="2105"/>
      <c r="O7" s="2105"/>
      <c r="P7" s="2105"/>
      <c r="Q7" s="2105"/>
      <c r="R7" s="2105"/>
      <c r="S7" s="21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6" t="s">
        <v>694</v>
      </c>
      <c r="J9" s="2107"/>
      <c r="K9" s="2107"/>
      <c r="L9" s="2107"/>
      <c r="M9" s="2107"/>
      <c r="N9" s="2107"/>
      <c r="O9" s="2107"/>
      <c r="P9" s="2107"/>
      <c r="Q9" s="2107"/>
      <c r="R9" s="2107"/>
      <c r="S9" s="2108"/>
      <c r="T9" s="2122" t="s">
        <v>553</v>
      </c>
      <c r="U9" s="2123"/>
      <c r="V9" s="2123"/>
      <c r="W9" s="2123"/>
      <c r="X9" s="2123"/>
      <c r="Y9" s="2123"/>
      <c r="Z9" s="2123"/>
      <c r="AA9" s="2124"/>
    </row>
    <row r="10" spans="1:28" ht="13.5" customHeight="1" x14ac:dyDescent="0.2">
      <c r="A10" s="2129" t="s">
        <v>695</v>
      </c>
      <c r="B10" s="2130"/>
      <c r="C10" s="2130"/>
      <c r="D10" s="2130"/>
      <c r="E10" s="2130"/>
      <c r="F10" s="2130"/>
      <c r="G10" s="2130"/>
      <c r="H10" s="2131"/>
      <c r="I10" s="29"/>
      <c r="J10" s="30"/>
      <c r="K10" s="28"/>
      <c r="R10" s="30"/>
      <c r="S10" s="30"/>
      <c r="T10" s="2125"/>
      <c r="U10" s="2110"/>
      <c r="V10" s="2110"/>
      <c r="W10" s="2110"/>
      <c r="X10" s="2110"/>
      <c r="Y10" s="2110"/>
      <c r="Z10" s="2110"/>
      <c r="AA10" s="2116"/>
    </row>
    <row r="11" spans="1:28" ht="14.25" customHeight="1" x14ac:dyDescent="0.2">
      <c r="A11" s="2132" t="s">
        <v>1011</v>
      </c>
      <c r="B11" s="2133"/>
      <c r="C11" s="2133"/>
      <c r="D11" s="2133"/>
      <c r="E11" s="2133"/>
      <c r="F11" s="2133"/>
      <c r="G11" s="2133"/>
      <c r="H11" s="2134"/>
      <c r="I11" s="27"/>
      <c r="J11" s="74"/>
      <c r="K11" s="27"/>
      <c r="O11" s="148" t="s">
        <v>2072</v>
      </c>
      <c r="P11" s="100" t="s">
        <v>210</v>
      </c>
      <c r="Q11" s="30"/>
      <c r="R11" s="28"/>
      <c r="S11" s="27"/>
      <c r="T11" s="2126"/>
      <c r="U11" s="2127"/>
      <c r="V11" s="2127"/>
      <c r="W11" s="2127"/>
      <c r="X11" s="2127"/>
      <c r="Y11" s="2127"/>
      <c r="Z11" s="2127"/>
      <c r="AA11" s="212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136">
        <v>48072323026</v>
      </c>
      <c r="B13" s="2137"/>
      <c r="C13" s="2137"/>
      <c r="D13" s="2137"/>
      <c r="E13" s="2137"/>
      <c r="F13" s="2137"/>
      <c r="G13" s="2137"/>
      <c r="H13" s="2138"/>
      <c r="I13" s="31"/>
      <c r="J13" s="30"/>
      <c r="K13" s="28"/>
      <c r="L13" s="30"/>
      <c r="M13" s="30"/>
      <c r="N13" s="30"/>
      <c r="O13" s="30"/>
      <c r="P13" s="30"/>
      <c r="Q13" s="30"/>
      <c r="R13" s="30"/>
      <c r="S13" s="30"/>
      <c r="T13" s="2141" t="s">
        <v>2073</v>
      </c>
      <c r="U13" s="2142"/>
      <c r="V13" s="2142"/>
      <c r="W13" s="2142"/>
      <c r="X13" s="2142"/>
      <c r="Y13" s="2143"/>
      <c r="Z13" s="2143"/>
      <c r="AA13" s="214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135" t="s">
        <v>2075</v>
      </c>
      <c r="B15" s="2139"/>
      <c r="C15" s="2139"/>
      <c r="D15" s="2139"/>
      <c r="E15" s="2139"/>
      <c r="F15" s="2139"/>
      <c r="G15" s="2139"/>
      <c r="H15" s="2140"/>
      <c r="T15" s="2145" t="s">
        <v>2084</v>
      </c>
      <c r="U15" s="2089"/>
      <c r="V15" s="2089"/>
      <c r="W15" s="2089"/>
      <c r="X15" s="2089"/>
      <c r="Y15" s="2146"/>
      <c r="Z15" s="2146"/>
      <c r="AA15" s="214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95" t="s">
        <v>2234</v>
      </c>
      <c r="B17" s="2096"/>
      <c r="C17" s="2096"/>
      <c r="D17" s="2096"/>
      <c r="E17" s="2096"/>
      <c r="F17" s="2096"/>
      <c r="G17" s="2096"/>
      <c r="H17" s="2121"/>
      <c r="T17" s="2152" t="s">
        <v>2074</v>
      </c>
      <c r="U17" s="2153"/>
      <c r="V17" s="2153"/>
      <c r="W17" s="2153"/>
      <c r="X17" s="2153"/>
      <c r="Y17" s="2153"/>
      <c r="Z17" s="2153"/>
      <c r="AA17" s="2154"/>
    </row>
    <row r="18" spans="1:27" ht="13.5" customHeight="1" x14ac:dyDescent="0.2">
      <c r="A18" s="85" t="s">
        <v>550</v>
      </c>
      <c r="B18" s="76"/>
      <c r="C18" s="72"/>
      <c r="D18" s="76"/>
      <c r="E18" s="76"/>
      <c r="F18" s="76"/>
      <c r="G18" s="76"/>
      <c r="H18" s="56"/>
      <c r="I18" s="2120" t="s">
        <v>696</v>
      </c>
      <c r="J18" s="2071"/>
      <c r="K18" s="2071"/>
      <c r="L18" s="2071"/>
      <c r="M18" s="2071"/>
      <c r="N18" s="2071"/>
      <c r="O18" s="2071"/>
      <c r="P18" s="2071"/>
      <c r="Q18" s="2071"/>
      <c r="R18" s="2071"/>
      <c r="S18" s="2072"/>
      <c r="T18" s="85" t="s">
        <v>734</v>
      </c>
      <c r="U18" s="51"/>
      <c r="V18" s="72"/>
      <c r="W18" s="50"/>
      <c r="X18" s="85" t="s">
        <v>283</v>
      </c>
      <c r="Y18" s="81"/>
      <c r="Z18" s="159" t="s">
        <v>697</v>
      </c>
      <c r="AA18" s="46"/>
    </row>
    <row r="19" spans="1:27" ht="13.5" customHeight="1" x14ac:dyDescent="0.2">
      <c r="A19" s="2135" t="s">
        <v>2105</v>
      </c>
      <c r="B19" s="2081"/>
      <c r="C19" s="2081"/>
      <c r="D19" s="2081"/>
      <c r="E19" s="2081"/>
      <c r="F19" s="2081"/>
      <c r="G19" s="2081"/>
      <c r="H19" s="2061"/>
      <c r="I19" s="30"/>
      <c r="J19" s="99"/>
      <c r="K19" s="40"/>
      <c r="L19" s="38"/>
      <c r="M19" s="112" t="s">
        <v>332</v>
      </c>
      <c r="P19" s="27"/>
      <c r="Q19" s="27"/>
      <c r="R19" s="27"/>
      <c r="S19" s="31"/>
      <c r="T19" s="2135" t="s">
        <v>2075</v>
      </c>
      <c r="U19" s="2060"/>
      <c r="V19" s="2060"/>
      <c r="W19" s="2061"/>
      <c r="X19" s="2150" t="s">
        <v>2076</v>
      </c>
      <c r="Y19" s="2151"/>
      <c r="Z19" s="2148">
        <v>61614</v>
      </c>
      <c r="AA19" s="2149"/>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59" t="s">
        <v>2106</v>
      </c>
      <c r="B21" s="2060"/>
      <c r="C21" s="2060"/>
      <c r="D21" s="2060"/>
      <c r="E21" s="2060"/>
      <c r="F21" s="2060"/>
      <c r="G21" s="2060"/>
      <c r="H21" s="2061"/>
      <c r="I21" s="2115" t="s">
        <v>698</v>
      </c>
      <c r="J21" s="2110"/>
      <c r="K21" s="2110"/>
      <c r="L21" s="2110"/>
      <c r="M21" s="2110"/>
      <c r="N21" s="2110"/>
      <c r="O21" s="2110"/>
      <c r="P21" s="2110"/>
      <c r="Q21" s="2110"/>
      <c r="R21" s="2110"/>
      <c r="S21" s="2116"/>
      <c r="T21" s="2159" t="s">
        <v>2077</v>
      </c>
      <c r="U21" s="2160"/>
      <c r="V21" s="2160"/>
      <c r="W21" s="2160"/>
      <c r="X21" s="2165" t="s">
        <v>2078</v>
      </c>
      <c r="Y21" s="2166"/>
      <c r="Z21" s="2166"/>
      <c r="AA21" s="2167"/>
    </row>
    <row r="22" spans="1:27" ht="13.5" customHeight="1" x14ac:dyDescent="0.2">
      <c r="A22" s="87" t="s">
        <v>551</v>
      </c>
      <c r="B22" s="59"/>
      <c r="C22" s="59"/>
      <c r="D22" s="59"/>
      <c r="E22" s="59"/>
      <c r="F22" s="59"/>
      <c r="G22" s="59"/>
      <c r="H22" s="60"/>
      <c r="I22" s="2117" t="s">
        <v>1503</v>
      </c>
      <c r="J22" s="2118"/>
      <c r="K22" s="2118"/>
      <c r="L22" s="2118"/>
      <c r="M22" s="2118"/>
      <c r="N22" s="2118"/>
      <c r="O22" s="2118"/>
      <c r="P22" s="2118"/>
      <c r="Q22" s="2118"/>
      <c r="R22" s="2118"/>
      <c r="S22" s="2119"/>
      <c r="T22" s="85" t="s">
        <v>1595</v>
      </c>
      <c r="U22" s="51"/>
      <c r="V22" s="72"/>
      <c r="W22" s="51"/>
      <c r="X22" s="160" t="s">
        <v>1384</v>
      </c>
      <c r="Z22" s="45"/>
      <c r="AA22" s="46"/>
    </row>
    <row r="23" spans="1:27" ht="13.5" customHeight="1" x14ac:dyDescent="0.2">
      <c r="A23" s="2112" t="s">
        <v>2102</v>
      </c>
      <c r="B23" s="2113"/>
      <c r="C23" s="2113"/>
      <c r="D23" s="2113"/>
      <c r="E23" s="2113"/>
      <c r="F23" s="2113"/>
      <c r="G23" s="2113"/>
      <c r="H23" s="2114"/>
      <c r="T23" s="2095" t="s">
        <v>2204</v>
      </c>
      <c r="U23" s="2158"/>
      <c r="V23" s="2158"/>
      <c r="W23" s="2158"/>
      <c r="X23" s="2162">
        <v>44530</v>
      </c>
      <c r="Y23" s="2163"/>
      <c r="Z23" s="2163"/>
      <c r="AA23" s="2164"/>
    </row>
    <row r="24" spans="1:27" ht="14.1" customHeight="1" x14ac:dyDescent="0.2">
      <c r="A24" s="88" t="s">
        <v>697</v>
      </c>
      <c r="B24" s="49"/>
      <c r="C24" s="49"/>
      <c r="D24" s="49"/>
      <c r="E24" s="49"/>
      <c r="F24" s="49"/>
      <c r="G24" s="49"/>
      <c r="H24" s="61"/>
      <c r="J24" s="2082">
        <f>IF(B5="x",IF(AUDITCHECK!D29="AFR form Incomplete.","",IF(AUDITCHECK!D29="Deficit reduction plan is required.","School District must complete a deficit reduction plan in the 2018-2019 Budget",)),"")</f>
        <v>0</v>
      </c>
      <c r="K24" s="2082"/>
      <c r="L24" s="2082"/>
      <c r="M24" s="2082"/>
      <c r="N24" s="2082"/>
      <c r="O24" s="2082"/>
      <c r="P24" s="2082"/>
      <c r="Q24" s="2082"/>
      <c r="R24" s="2082"/>
      <c r="S24" s="2083"/>
      <c r="T24" s="105" t="s">
        <v>551</v>
      </c>
      <c r="U24" s="106"/>
      <c r="V24" s="106"/>
      <c r="W24" s="106"/>
      <c r="X24" s="107"/>
      <c r="Y24" s="107"/>
      <c r="Z24" s="107"/>
      <c r="AA24" s="108"/>
    </row>
    <row r="25" spans="1:27" ht="14.1" customHeight="1" x14ac:dyDescent="0.2">
      <c r="A25" s="2059">
        <v>61614</v>
      </c>
      <c r="B25" s="2060"/>
      <c r="C25" s="2060"/>
      <c r="D25" s="2060"/>
      <c r="E25" s="2060"/>
      <c r="F25" s="2060"/>
      <c r="G25" s="2060"/>
      <c r="H25" s="2061"/>
      <c r="I25" s="113"/>
      <c r="J25" s="2084"/>
      <c r="K25" s="2084"/>
      <c r="L25" s="2084"/>
      <c r="M25" s="2084"/>
      <c r="N25" s="2084"/>
      <c r="O25" s="2084"/>
      <c r="P25" s="2084"/>
      <c r="Q25" s="2084"/>
      <c r="R25" s="2084"/>
      <c r="S25" s="2085"/>
      <c r="T25" s="2155" t="s">
        <v>2085</v>
      </c>
      <c r="U25" s="2156"/>
      <c r="V25" s="2156"/>
      <c r="W25" s="2156"/>
      <c r="X25" s="2156"/>
      <c r="Y25" s="2156"/>
      <c r="Z25" s="2156"/>
      <c r="AA25" s="21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70" t="s">
        <v>1590</v>
      </c>
      <c r="J27" s="2071"/>
      <c r="K27" s="2071"/>
      <c r="L27" s="2071"/>
      <c r="M27" s="2071"/>
      <c r="N27" s="2071"/>
      <c r="O27" s="2071"/>
      <c r="P27" s="2071"/>
      <c r="Q27" s="2071"/>
      <c r="R27" s="2071"/>
      <c r="S27" s="207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2072</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2072</v>
      </c>
      <c r="C30" s="124" t="s">
        <v>1225</v>
      </c>
      <c r="D30" s="28"/>
      <c r="E30" s="28"/>
      <c r="F30" s="140"/>
      <c r="G30" s="114"/>
      <c r="H30" s="114"/>
      <c r="I30" s="54"/>
      <c r="J30" s="148" t="s">
        <v>2072</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2072</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81"/>
      <c r="Q35" s="2060"/>
      <c r="R35" s="20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95" t="s">
        <v>2101</v>
      </c>
      <c r="B38" s="2096"/>
      <c r="C38" s="2096"/>
      <c r="D38" s="2096"/>
      <c r="E38" s="2096"/>
      <c r="F38" s="2060"/>
      <c r="G38" s="2060"/>
      <c r="H38" s="2061"/>
      <c r="I38" s="2088"/>
      <c r="J38" s="2089"/>
      <c r="K38" s="2089"/>
      <c r="L38" s="2089"/>
      <c r="M38" s="2089"/>
      <c r="N38" s="2089"/>
      <c r="O38" s="2089"/>
      <c r="P38" s="2090"/>
      <c r="Q38" s="2090"/>
      <c r="R38" s="2090"/>
      <c r="S38" s="2091"/>
      <c r="T38" s="2145"/>
      <c r="U38" s="2089"/>
      <c r="V38" s="2089"/>
      <c r="W38" s="2089"/>
      <c r="X38" s="2090"/>
      <c r="Y38" s="2090"/>
      <c r="Z38" s="2090"/>
      <c r="AA38" s="2091"/>
    </row>
    <row r="39" spans="1:27" ht="12" customHeight="1" x14ac:dyDescent="0.2">
      <c r="A39" s="2065" t="s">
        <v>551</v>
      </c>
      <c r="B39" s="2066"/>
      <c r="C39" s="72"/>
      <c r="D39" s="69"/>
      <c r="E39" s="69"/>
      <c r="F39" s="79"/>
      <c r="G39" s="69"/>
      <c r="H39" s="56"/>
      <c r="I39" s="2065" t="s">
        <v>551</v>
      </c>
      <c r="J39" s="2066"/>
      <c r="K39" s="2066"/>
      <c r="L39" s="2066"/>
      <c r="M39" s="2066"/>
      <c r="N39" s="67"/>
      <c r="O39" s="72"/>
      <c r="P39" s="72"/>
      <c r="Q39" s="78"/>
      <c r="R39" s="72"/>
      <c r="S39" s="56"/>
      <c r="T39" s="72" t="s">
        <v>551</v>
      </c>
      <c r="U39" s="51"/>
      <c r="V39" s="72"/>
      <c r="W39" s="50"/>
      <c r="X39" s="78"/>
      <c r="Y39" s="45"/>
      <c r="Z39" s="45"/>
      <c r="AA39" s="46"/>
    </row>
    <row r="40" spans="1:27" ht="13.5" customHeight="1" x14ac:dyDescent="0.2">
      <c r="A40" s="2073" t="s">
        <v>2102</v>
      </c>
      <c r="B40" s="2074"/>
      <c r="C40" s="2075"/>
      <c r="D40" s="2075"/>
      <c r="E40" s="2075"/>
      <c r="F40" s="2076"/>
      <c r="G40" s="2076"/>
      <c r="H40" s="2077"/>
      <c r="I40" s="2098"/>
      <c r="J40" s="2099"/>
      <c r="K40" s="2099"/>
      <c r="L40" s="2099"/>
      <c r="M40" s="2099"/>
      <c r="N40" s="2099"/>
      <c r="O40" s="2099"/>
      <c r="P40" s="2099"/>
      <c r="Q40" s="2099"/>
      <c r="R40" s="2099"/>
      <c r="S40" s="2100"/>
      <c r="T40" s="2098"/>
      <c r="U40" s="2161"/>
      <c r="V40" s="2099"/>
      <c r="W40" s="2099"/>
      <c r="X40" s="2099"/>
      <c r="Y40" s="2099"/>
      <c r="Z40" s="2099"/>
      <c r="AA40" s="210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7" t="s">
        <v>2082</v>
      </c>
      <c r="B42" s="2079"/>
      <c r="C42" s="2080"/>
      <c r="D42" s="2078" t="s">
        <v>2083</v>
      </c>
      <c r="E42" s="2079"/>
      <c r="F42" s="2079"/>
      <c r="G42" s="2079"/>
      <c r="H42" s="2080"/>
      <c r="I42" s="2062"/>
      <c r="J42" s="2063"/>
      <c r="K42" s="2063"/>
      <c r="L42" s="2063"/>
      <c r="M42" s="2063"/>
      <c r="N42" s="2063"/>
      <c r="O42" s="2064"/>
      <c r="P42" s="2097"/>
      <c r="Q42" s="2063"/>
      <c r="R42" s="2063"/>
      <c r="S42" s="2064"/>
      <c r="T42" s="2062"/>
      <c r="U42" s="2063"/>
      <c r="V42" s="2063"/>
      <c r="W42" s="2064"/>
      <c r="X42" s="2097"/>
      <c r="Y42" s="2063"/>
      <c r="Z42" s="2063"/>
      <c r="AA42" s="206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92"/>
      <c r="B44" s="2093"/>
      <c r="C44" s="2093"/>
      <c r="D44" s="2093"/>
      <c r="E44" s="2093"/>
      <c r="F44" s="2093"/>
      <c r="G44" s="2093"/>
      <c r="H44" s="2094"/>
      <c r="I44" s="2067"/>
      <c r="J44" s="2068"/>
      <c r="K44" s="2068"/>
      <c r="L44" s="2068"/>
      <c r="M44" s="2068"/>
      <c r="N44" s="2068"/>
      <c r="O44" s="2068"/>
      <c r="P44" s="2068"/>
      <c r="Q44" s="2068"/>
      <c r="R44" s="2068"/>
      <c r="S44" s="2069"/>
      <c r="T44" s="2067"/>
      <c r="U44" s="2086"/>
      <c r="V44" s="2086"/>
      <c r="W44" s="2086"/>
      <c r="X44" s="2086"/>
      <c r="Y44" s="2086"/>
      <c r="Z44" s="2068"/>
      <c r="AA44" s="206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6" t="s">
        <v>1708</v>
      </c>
    </row>
    <row r="23" spans="1:5" x14ac:dyDescent="0.2">
      <c r="A23" s="168"/>
      <c r="B23" s="162" t="s">
        <v>1964</v>
      </c>
      <c r="D23" s="167" t="s">
        <v>657</v>
      </c>
      <c r="E23" s="1856"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71" t="s">
        <v>1124</v>
      </c>
      <c r="B35" s="2171"/>
      <c r="C35" s="2171"/>
      <c r="D35" s="2171"/>
      <c r="E35" s="21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68" t="s">
        <v>714</v>
      </c>
      <c r="B40" s="2168"/>
      <c r="C40" s="2168"/>
      <c r="D40" s="2168"/>
      <c r="E40" s="2168"/>
    </row>
    <row r="41" spans="1:5" x14ac:dyDescent="0.2">
      <c r="A41" s="2169" t="s">
        <v>1705</v>
      </c>
      <c r="B41" s="2169"/>
      <c r="C41" s="2169"/>
      <c r="D41" s="2169"/>
      <c r="E41" s="2169"/>
    </row>
    <row r="42" spans="1:5" ht="12.75" customHeight="1" x14ac:dyDescent="0.2">
      <c r="A42" s="2170" t="s">
        <v>1079</v>
      </c>
      <c r="B42" s="2170"/>
      <c r="C42" s="2170"/>
      <c r="D42" s="2170"/>
      <c r="E42" s="2170"/>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4" t="s">
        <v>1874</v>
      </c>
    </row>
    <row r="60" spans="1:3" x14ac:dyDescent="0.2">
      <c r="A60" s="196"/>
      <c r="B60" s="1504" t="s">
        <v>1875</v>
      </c>
    </row>
    <row r="61" spans="1:3" ht="6" customHeight="1" x14ac:dyDescent="0.2">
      <c r="A61" s="197"/>
      <c r="B61" s="189"/>
    </row>
    <row r="62" spans="1:3" x14ac:dyDescent="0.2">
      <c r="A62" s="169" t="s">
        <v>1713</v>
      </c>
      <c r="B62" s="198" t="s">
        <v>1871</v>
      </c>
    </row>
    <row r="63" spans="1:3" x14ac:dyDescent="0.2">
      <c r="A63" s="188"/>
      <c r="B63" s="169" t="s">
        <v>1886</v>
      </c>
    </row>
    <row r="64" spans="1:3" x14ac:dyDescent="0.2">
      <c r="A64" s="195"/>
      <c r="B64" s="1506"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5" t="s">
        <v>1716</v>
      </c>
    </row>
    <row r="72" spans="1:9" ht="9" customHeight="1" x14ac:dyDescent="0.2">
      <c r="A72" s="192"/>
      <c r="B72" s="199"/>
    </row>
    <row r="73" spans="1:9" x14ac:dyDescent="0.2">
      <c r="A73" s="189" t="s">
        <v>1717</v>
      </c>
      <c r="B73" s="169" t="s">
        <v>1882</v>
      </c>
    </row>
    <row r="74" spans="1:9" x14ac:dyDescent="0.2">
      <c r="A74" s="189"/>
      <c r="B74" s="169" t="s">
        <v>1881</v>
      </c>
    </row>
    <row r="75" spans="1:9" ht="8.25" customHeight="1" x14ac:dyDescent="0.2">
      <c r="A75" s="189"/>
      <c r="B75" s="189"/>
    </row>
    <row r="76" spans="1:9" ht="12.2" customHeight="1" x14ac:dyDescent="0.2">
      <c r="A76" s="189" t="s">
        <v>1718</v>
      </c>
      <c r="B76" s="198" t="s">
        <v>1883</v>
      </c>
    </row>
    <row r="77" spans="1:9" ht="12.2" customHeight="1" x14ac:dyDescent="0.2">
      <c r="A77" s="190"/>
      <c r="B77" s="169" t="s">
        <v>1719</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72" t="s">
        <v>1229</v>
      </c>
      <c r="B2" s="2172"/>
      <c r="C2" s="2172"/>
      <c r="D2" s="2172"/>
      <c r="E2" s="2172"/>
      <c r="F2" s="2172"/>
      <c r="G2" s="2172"/>
      <c r="H2" s="2172"/>
      <c r="I2" s="2172"/>
      <c r="J2" s="217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1891</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86" t="s">
        <v>1730</v>
      </c>
      <c r="B35" s="2187"/>
      <c r="C35" s="2187"/>
      <c r="D35" s="2187"/>
      <c r="E35" s="2188"/>
      <c r="F35" s="2188"/>
      <c r="G35" s="2188"/>
      <c r="H35" s="2188"/>
      <c r="I35" s="218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86" t="s">
        <v>330</v>
      </c>
      <c r="B47" s="2189"/>
      <c r="C47" s="2189"/>
      <c r="D47" s="2189"/>
      <c r="E47" s="2190"/>
      <c r="F47" s="2190"/>
      <c r="G47" s="2190"/>
      <c r="H47" s="2190"/>
      <c r="I47" s="219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2072</v>
      </c>
      <c r="C54" s="179">
        <v>23</v>
      </c>
      <c r="D54" s="243" t="s">
        <v>1428</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93" t="s">
        <v>2104</v>
      </c>
      <c r="C57" s="2194"/>
      <c r="D57" s="2194"/>
      <c r="E57" s="2194"/>
      <c r="F57" s="2194"/>
      <c r="G57" s="2194"/>
      <c r="H57" s="2194"/>
      <c r="I57" s="2194"/>
      <c r="J57" s="2195"/>
    </row>
    <row r="58" spans="1:10" s="181" customFormat="1" x14ac:dyDescent="0.2">
      <c r="A58" s="253"/>
      <c r="B58" s="2196"/>
      <c r="C58" s="2197"/>
      <c r="D58" s="2197"/>
      <c r="E58" s="2197"/>
      <c r="F58" s="2197"/>
      <c r="G58" s="2197"/>
      <c r="H58" s="2197"/>
      <c r="I58" s="2197"/>
      <c r="J58" s="2198"/>
    </row>
    <row r="59" spans="1:10" s="181" customFormat="1" x14ac:dyDescent="0.2">
      <c r="A59" s="253"/>
      <c r="B59" s="2196"/>
      <c r="C59" s="2197"/>
      <c r="D59" s="2197"/>
      <c r="E59" s="2197"/>
      <c r="F59" s="2197"/>
      <c r="G59" s="2197"/>
      <c r="H59" s="2197"/>
      <c r="I59" s="2197"/>
      <c r="J59" s="2198"/>
    </row>
    <row r="60" spans="1:10" s="181" customFormat="1" x14ac:dyDescent="0.2">
      <c r="A60" s="253"/>
      <c r="B60" s="2196"/>
      <c r="C60" s="2197"/>
      <c r="D60" s="2197"/>
      <c r="E60" s="2197"/>
      <c r="F60" s="2197"/>
      <c r="G60" s="2197"/>
      <c r="H60" s="2197"/>
      <c r="I60" s="2197"/>
      <c r="J60" s="2198"/>
    </row>
    <row r="61" spans="1:10" s="181" customFormat="1" x14ac:dyDescent="0.2">
      <c r="A61" s="253"/>
      <c r="B61" s="2196"/>
      <c r="C61" s="2197"/>
      <c r="D61" s="2197"/>
      <c r="E61" s="2197"/>
      <c r="F61" s="2197"/>
      <c r="G61" s="2197"/>
      <c r="H61" s="2197"/>
      <c r="I61" s="2197"/>
      <c r="J61" s="2198"/>
    </row>
    <row r="62" spans="1:10" s="181" customFormat="1" x14ac:dyDescent="0.2">
      <c r="A62" s="253"/>
      <c r="B62" s="2196"/>
      <c r="C62" s="2197"/>
      <c r="D62" s="2197"/>
      <c r="E62" s="2197"/>
      <c r="F62" s="2197"/>
      <c r="G62" s="2197"/>
      <c r="H62" s="2197"/>
      <c r="I62" s="2197"/>
      <c r="J62" s="2198"/>
    </row>
    <row r="63" spans="1:10" s="181" customFormat="1" x14ac:dyDescent="0.2">
      <c r="A63" s="253"/>
      <c r="B63" s="2196"/>
      <c r="C63" s="2197"/>
      <c r="D63" s="2197"/>
      <c r="E63" s="2197"/>
      <c r="F63" s="2197"/>
      <c r="G63" s="2197"/>
      <c r="H63" s="2197"/>
      <c r="I63" s="2197"/>
      <c r="J63" s="2198"/>
    </row>
    <row r="64" spans="1:10" s="181" customFormat="1" x14ac:dyDescent="0.2">
      <c r="A64" s="253"/>
      <c r="B64" s="2196"/>
      <c r="C64" s="2197"/>
      <c r="D64" s="2197"/>
      <c r="E64" s="2197"/>
      <c r="F64" s="2197"/>
      <c r="G64" s="2197"/>
      <c r="H64" s="2197"/>
      <c r="I64" s="2197"/>
      <c r="J64" s="2198"/>
    </row>
    <row r="65" spans="1:10" s="181" customFormat="1" x14ac:dyDescent="0.2">
      <c r="A65" s="253"/>
      <c r="B65" s="2196"/>
      <c r="C65" s="2197"/>
      <c r="D65" s="2197"/>
      <c r="E65" s="2197"/>
      <c r="F65" s="2197"/>
      <c r="G65" s="2197"/>
      <c r="H65" s="2197"/>
      <c r="I65" s="2197"/>
      <c r="J65" s="2198"/>
    </row>
    <row r="66" spans="1:10" s="181" customFormat="1" x14ac:dyDescent="0.2">
      <c r="A66" s="253"/>
      <c r="B66" s="2196"/>
      <c r="C66" s="2197"/>
      <c r="D66" s="2197"/>
      <c r="E66" s="2197"/>
      <c r="F66" s="2197"/>
      <c r="G66" s="2197"/>
      <c r="H66" s="2197"/>
      <c r="I66" s="2197"/>
      <c r="J66" s="2198"/>
    </row>
    <row r="67" spans="1:10" s="181" customFormat="1" ht="9" customHeight="1" x14ac:dyDescent="0.2">
      <c r="A67" s="254"/>
      <c r="B67" s="2199"/>
      <c r="C67" s="2200"/>
      <c r="D67" s="2200"/>
      <c r="E67" s="2200"/>
      <c r="F67" s="2200"/>
      <c r="G67" s="2200"/>
      <c r="H67" s="2200"/>
      <c r="I67" s="2200"/>
      <c r="J67" s="22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86" t="s">
        <v>1389</v>
      </c>
      <c r="B70" s="2189"/>
      <c r="C70" s="2189"/>
      <c r="D70" s="2189"/>
      <c r="E70" s="2190"/>
      <c r="F70" s="2190"/>
      <c r="G70" s="2190"/>
      <c r="H70" s="2190"/>
      <c r="I70" s="219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91" t="s">
        <v>1386</v>
      </c>
      <c r="B83" s="2191"/>
      <c r="C83" s="2191"/>
      <c r="D83" s="219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73"/>
      <c r="C102" s="2174"/>
      <c r="D102" s="2174"/>
      <c r="E102" s="2174"/>
      <c r="F102" s="2174"/>
      <c r="G102" s="2174"/>
      <c r="H102" s="2174"/>
      <c r="I102" s="2175"/>
    </row>
    <row r="103" spans="1:9" s="181" customFormat="1" ht="11.25" customHeight="1" x14ac:dyDescent="0.2">
      <c r="A103" s="316"/>
      <c r="B103" s="2176"/>
      <c r="C103" s="2177"/>
      <c r="D103" s="2177"/>
      <c r="E103" s="2177"/>
      <c r="F103" s="2177"/>
      <c r="G103" s="2177"/>
      <c r="H103" s="2177"/>
      <c r="I103" s="2178"/>
    </row>
    <row r="104" spans="1:9" s="181" customFormat="1" ht="11.25" customHeight="1" x14ac:dyDescent="0.2">
      <c r="A104" s="316"/>
      <c r="B104" s="2176"/>
      <c r="C104" s="2177"/>
      <c r="D104" s="2177"/>
      <c r="E104" s="2177"/>
      <c r="F104" s="2177"/>
      <c r="G104" s="2177"/>
      <c r="H104" s="2177"/>
      <c r="I104" s="2178"/>
    </row>
    <row r="105" spans="1:9" s="181" customFormat="1" x14ac:dyDescent="0.2">
      <c r="A105" s="316"/>
      <c r="B105" s="2176"/>
      <c r="C105" s="2177"/>
      <c r="D105" s="2177"/>
      <c r="E105" s="2177"/>
      <c r="F105" s="2177"/>
      <c r="G105" s="2177"/>
      <c r="H105" s="2177"/>
      <c r="I105" s="2178"/>
    </row>
    <row r="106" spans="1:9" s="181" customFormat="1" ht="11.25" customHeight="1" x14ac:dyDescent="0.2">
      <c r="A106" s="316"/>
      <c r="B106" s="2176"/>
      <c r="C106" s="2177"/>
      <c r="D106" s="2177"/>
      <c r="E106" s="2177"/>
      <c r="F106" s="2177"/>
      <c r="G106" s="2177"/>
      <c r="H106" s="2177"/>
      <c r="I106" s="2178"/>
    </row>
    <row r="107" spans="1:9" s="181" customFormat="1" ht="11.25" customHeight="1" x14ac:dyDescent="0.2">
      <c r="A107" s="316"/>
      <c r="B107" s="2176"/>
      <c r="C107" s="2177"/>
      <c r="D107" s="2177"/>
      <c r="E107" s="2177"/>
      <c r="F107" s="2177"/>
      <c r="G107" s="2177"/>
      <c r="H107" s="2177"/>
      <c r="I107" s="2178"/>
    </row>
    <row r="108" spans="1:9" s="181" customFormat="1" ht="11.25" customHeight="1" x14ac:dyDescent="0.2">
      <c r="A108" s="316"/>
      <c r="B108" s="2176"/>
      <c r="C108" s="2177"/>
      <c r="D108" s="2177"/>
      <c r="E108" s="2177"/>
      <c r="F108" s="2177"/>
      <c r="G108" s="2177"/>
      <c r="H108" s="2177"/>
      <c r="I108" s="2178"/>
    </row>
    <row r="109" spans="1:9" s="181" customFormat="1" ht="11.25" customHeight="1" x14ac:dyDescent="0.2">
      <c r="A109" s="316"/>
      <c r="B109" s="2176"/>
      <c r="C109" s="2177"/>
      <c r="D109" s="2177"/>
      <c r="E109" s="2177"/>
      <c r="F109" s="2177"/>
      <c r="G109" s="2177"/>
      <c r="H109" s="2177"/>
      <c r="I109" s="2178"/>
    </row>
    <row r="110" spans="1:9" s="181" customFormat="1" ht="11.25" customHeight="1" x14ac:dyDescent="0.2">
      <c r="A110" s="316"/>
      <c r="B110" s="2176"/>
      <c r="C110" s="2177"/>
      <c r="D110" s="2177"/>
      <c r="E110" s="2177"/>
      <c r="F110" s="2177"/>
      <c r="G110" s="2177"/>
      <c r="H110" s="2177"/>
      <c r="I110" s="2178"/>
    </row>
    <row r="111" spans="1:9" s="181" customFormat="1" ht="11.25" customHeight="1" x14ac:dyDescent="0.2">
      <c r="A111" s="316"/>
      <c r="B111" s="2176"/>
      <c r="C111" s="2177"/>
      <c r="D111" s="2177"/>
      <c r="E111" s="2177"/>
      <c r="F111" s="2177"/>
      <c r="G111" s="2177"/>
      <c r="H111" s="2177"/>
      <c r="I111" s="2178"/>
    </row>
    <row r="112" spans="1:9" s="181" customFormat="1" ht="11.25" customHeight="1" x14ac:dyDescent="0.2">
      <c r="A112" s="316"/>
      <c r="B112" s="2179"/>
      <c r="C112" s="2180"/>
      <c r="D112" s="2180"/>
      <c r="E112" s="2180"/>
      <c r="F112" s="2180"/>
      <c r="G112" s="2180"/>
      <c r="H112" s="2180"/>
      <c r="I112" s="21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82" t="s">
        <v>2079</v>
      </c>
      <c r="D114" s="218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83" t="s">
        <v>1396</v>
      </c>
      <c r="D117" s="2184"/>
      <c r="E117" s="2185"/>
      <c r="F117" s="2185"/>
      <c r="G117" s="2185"/>
      <c r="H117" s="2185"/>
      <c r="I117" s="304"/>
    </row>
    <row r="118" spans="1:9" s="181" customFormat="1" ht="24" customHeight="1" x14ac:dyDescent="0.2">
      <c r="A118" s="316"/>
      <c r="B118" s="316"/>
      <c r="C118" s="316"/>
      <c r="D118" s="323" t="s">
        <v>2233</v>
      </c>
      <c r="E118" s="322"/>
      <c r="F118" s="324"/>
      <c r="G118" s="1860"/>
      <c r="H118" s="322"/>
      <c r="I118" s="304"/>
    </row>
    <row r="119" spans="1:9" s="181" customFormat="1" ht="11.25" customHeight="1" x14ac:dyDescent="0.2">
      <c r="A119" s="325"/>
      <c r="B119" s="325"/>
      <c r="C119" s="326"/>
      <c r="D119" s="327" t="s">
        <v>378</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02" t="s">
        <v>403</v>
      </c>
      <c r="B1" s="2202"/>
      <c r="C1" s="2202"/>
      <c r="D1" s="2202"/>
      <c r="E1" s="2202"/>
      <c r="F1" s="2202"/>
      <c r="G1" s="2202"/>
      <c r="H1" s="2202"/>
      <c r="I1" s="2202"/>
      <c r="J1" s="2202"/>
      <c r="K1" s="2202"/>
      <c r="L1" s="2202"/>
      <c r="M1" s="220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929139125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2.7E-2</v>
      </c>
      <c r="E10" s="356" t="s">
        <v>1061</v>
      </c>
      <c r="F10" s="355">
        <v>4.7499999999999999E-3</v>
      </c>
      <c r="G10" s="356" t="s">
        <v>1061</v>
      </c>
      <c r="H10" s="355">
        <v>2E-3</v>
      </c>
      <c r="I10" s="356" t="s">
        <v>1062</v>
      </c>
      <c r="J10" s="1751">
        <f>ROUND(D10+F10+H10,5)</f>
        <v>3.3750000000000002E-2</v>
      </c>
      <c r="K10" s="222"/>
      <c r="L10" s="355">
        <v>5.0000000000000001E-4</v>
      </c>
      <c r="M10" s="222"/>
    </row>
    <row r="11" spans="1:14" ht="7.5" customHeight="1" x14ac:dyDescent="0.2">
      <c r="B11" s="222"/>
      <c r="C11" s="222"/>
      <c r="D11" s="2212" t="str">
        <f>IF(SUM(J10)&lt;=0.0999999,"","Enter the Tax Rates by moving the decimal two places to the left.")</f>
        <v/>
      </c>
      <c r="E11" s="2213"/>
      <c r="F11" s="2213"/>
      <c r="G11" s="2213"/>
      <c r="H11" s="2213"/>
      <c r="I11" s="2213"/>
      <c r="J11" s="22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2">
        <f>SUM('Acct Summary 7-8'!C8,'Acct Summary 7-8'!D8,'Acct Summary 7-8'!F8,'Acct Summary 7-8'!I8)</f>
        <v>42098156</v>
      </c>
      <c r="E16" s="356"/>
      <c r="F16" s="1752">
        <f>SUM('Acct Summary 7-8'!C17,'Acct Summary 7-8'!D17,'Acct Summary 7-8'!F17)</f>
        <v>36641541</v>
      </c>
      <c r="G16" s="356"/>
      <c r="H16" s="1752">
        <f>SUM(D16-F16)</f>
        <v>5456615</v>
      </c>
      <c r="I16" s="222"/>
      <c r="J16" s="1752">
        <f>SUM('Acct Summary 7-8'!C81,'Acct Summary 7-8'!D81,'Acct Summary 7-8'!F81,'Acct Summary 7-8'!I81)</f>
        <v>46902467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2">
        <f>'Short-Term Long-Term Debt 24'!F4</f>
        <v>0</v>
      </c>
      <c r="E22" s="356" t="s">
        <v>1061</v>
      </c>
      <c r="F22" s="1752">
        <f>'Short-Term Long-Term Debt 24'!F15</f>
        <v>0</v>
      </c>
      <c r="G22" s="356" t="s">
        <v>1061</v>
      </c>
      <c r="H22" s="1752">
        <f>'Short-Term Long-Term Debt 24'!F21</f>
        <v>0</v>
      </c>
      <c r="I22" s="356" t="s">
        <v>1061</v>
      </c>
      <c r="J22" s="1752">
        <f>'Short-Term Long-Term Debt 24'!F23</f>
        <v>0</v>
      </c>
      <c r="K22" s="356" t="s">
        <v>1061</v>
      </c>
      <c r="L22" s="175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1062</v>
      </c>
      <c r="F24" s="175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4">
        <f>IF(B31="X",(J7*0.069),IF(B32="X",(J7*0.138),"Enter x in a.or b."))</f>
        <v>128221199.25000001</v>
      </c>
      <c r="I31" s="368"/>
      <c r="J31" s="222"/>
      <c r="K31" s="222"/>
      <c r="L31" s="222"/>
      <c r="M31" s="222"/>
    </row>
    <row r="32" spans="1:13" ht="13.35" customHeight="1" x14ac:dyDescent="0.2">
      <c r="B32" s="369" t="s">
        <v>2072</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3">
        <f>'Assets-Liab 5-6'!N36</f>
        <v>58203061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203"/>
      <c r="C54" s="2204"/>
      <c r="D54" s="2204"/>
      <c r="E54" s="2204"/>
      <c r="F54" s="2204"/>
      <c r="G54" s="2204"/>
      <c r="H54" s="2204"/>
      <c r="I54" s="2204"/>
      <c r="J54" s="2204"/>
      <c r="K54" s="2204"/>
      <c r="L54" s="2205"/>
      <c r="M54" s="380"/>
    </row>
    <row r="55" spans="1:13" ht="12.75" customHeight="1" x14ac:dyDescent="0.2">
      <c r="B55" s="2206"/>
      <c r="C55" s="2207"/>
      <c r="D55" s="2207"/>
      <c r="E55" s="2207"/>
      <c r="F55" s="2207"/>
      <c r="G55" s="2207"/>
      <c r="H55" s="2207"/>
      <c r="I55" s="2207"/>
      <c r="J55" s="2207"/>
      <c r="K55" s="2207"/>
      <c r="L55" s="2208"/>
      <c r="M55" s="380"/>
    </row>
    <row r="56" spans="1:13" ht="12.75" customHeight="1" x14ac:dyDescent="0.2">
      <c r="B56" s="2206"/>
      <c r="C56" s="2207"/>
      <c r="D56" s="2207"/>
      <c r="E56" s="2207"/>
      <c r="F56" s="2207"/>
      <c r="G56" s="2207"/>
      <c r="H56" s="2207"/>
      <c r="I56" s="2207"/>
      <c r="J56" s="2207"/>
      <c r="K56" s="2207"/>
      <c r="L56" s="2208"/>
      <c r="M56" s="222"/>
    </row>
    <row r="57" spans="1:13" ht="12.75" customHeight="1" x14ac:dyDescent="0.2">
      <c r="B57" s="2206"/>
      <c r="C57" s="2207"/>
      <c r="D57" s="2207"/>
      <c r="E57" s="2207"/>
      <c r="F57" s="2207"/>
      <c r="G57" s="2207"/>
      <c r="H57" s="2207"/>
      <c r="I57" s="2207"/>
      <c r="J57" s="2207"/>
      <c r="K57" s="2207"/>
      <c r="L57" s="2208"/>
      <c r="M57" s="222"/>
    </row>
    <row r="58" spans="1:13" x14ac:dyDescent="0.2">
      <c r="B58" s="2209"/>
      <c r="C58" s="2210"/>
      <c r="D58" s="2210"/>
      <c r="E58" s="2210"/>
      <c r="F58" s="2210"/>
      <c r="G58" s="2210"/>
      <c r="H58" s="2210"/>
      <c r="I58" s="2210"/>
      <c r="J58" s="2210"/>
      <c r="K58" s="2210"/>
      <c r="L58" s="22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14"/>
      <c r="D61" s="22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17"/>
      <c r="B1" s="2218"/>
      <c r="C1" s="2218"/>
      <c r="D1" s="384"/>
      <c r="E1" s="384"/>
      <c r="F1" s="384"/>
      <c r="G1" s="384"/>
      <c r="H1" s="384"/>
      <c r="I1" s="384"/>
      <c r="J1" s="384"/>
      <c r="K1" s="384"/>
      <c r="L1" s="384"/>
      <c r="M1" s="384"/>
      <c r="N1" s="384"/>
      <c r="O1" s="2217"/>
      <c r="P1" s="2218"/>
      <c r="Q1" s="2218"/>
    </row>
    <row r="2" spans="1:18" ht="15" x14ac:dyDescent="0.2">
      <c r="A2" s="2221" t="s">
        <v>576</v>
      </c>
      <c r="B2" s="2221"/>
      <c r="C2" s="2221"/>
      <c r="D2" s="2221"/>
      <c r="E2" s="2221"/>
      <c r="F2" s="2221"/>
      <c r="G2" s="2221"/>
      <c r="H2" s="2221"/>
      <c r="I2" s="2221"/>
      <c r="J2" s="2221"/>
      <c r="K2" s="2221"/>
      <c r="L2" s="2221"/>
      <c r="M2" s="2221"/>
      <c r="N2" s="2221"/>
      <c r="O2" s="2221"/>
      <c r="P2" s="2221"/>
      <c r="Q2" s="2221"/>
      <c r="R2" s="2221"/>
    </row>
    <row r="3" spans="1:18" ht="12.75" x14ac:dyDescent="0.2">
      <c r="A3" s="2222" t="s">
        <v>1479</v>
      </c>
      <c r="B3" s="2222"/>
      <c r="C3" s="2222"/>
      <c r="D3" s="2222"/>
      <c r="E3" s="2222"/>
      <c r="F3" s="2222"/>
      <c r="G3" s="2222"/>
      <c r="H3" s="2222"/>
      <c r="I3" s="2222"/>
      <c r="J3" s="2222"/>
      <c r="K3" s="2222"/>
      <c r="L3" s="2222"/>
      <c r="M3" s="2222"/>
      <c r="N3" s="2222"/>
      <c r="O3" s="2222"/>
      <c r="P3" s="2222"/>
      <c r="Q3" s="2222"/>
      <c r="R3" s="2222"/>
    </row>
    <row r="4" spans="1:18" x14ac:dyDescent="0.2">
      <c r="A4" s="2223" t="s">
        <v>1634</v>
      </c>
      <c r="B4" s="2223"/>
      <c r="C4" s="2223"/>
      <c r="D4" s="2223"/>
      <c r="E4" s="2223"/>
      <c r="F4" s="2223"/>
      <c r="G4" s="2223"/>
      <c r="H4" s="2223"/>
      <c r="I4" s="2223"/>
      <c r="J4" s="2223"/>
      <c r="K4" s="2223"/>
      <c r="L4" s="2223"/>
      <c r="M4" s="2223"/>
      <c r="N4" s="2223"/>
      <c r="O4" s="2223"/>
      <c r="P4" s="2223"/>
      <c r="Q4" s="2223"/>
      <c r="R4" s="22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Dunlap CUSD 323</v>
      </c>
      <c r="E7" s="391"/>
      <c r="G7" s="252"/>
      <c r="H7" s="387"/>
      <c r="I7" s="387"/>
      <c r="J7" s="387"/>
      <c r="K7" s="387"/>
      <c r="L7" s="329"/>
      <c r="M7" s="329"/>
      <c r="N7" s="329"/>
      <c r="O7" s="329"/>
      <c r="P7" s="329"/>
    </row>
    <row r="8" spans="1:18" ht="12.75" x14ac:dyDescent="0.2">
      <c r="A8" s="329"/>
      <c r="B8" s="329"/>
      <c r="C8" s="389" t="s">
        <v>1186</v>
      </c>
      <c r="D8" s="392">
        <f>COVER!A13</f>
        <v>48072323026</v>
      </c>
      <c r="E8" s="393"/>
      <c r="G8" s="329"/>
      <c r="H8" s="329"/>
      <c r="I8" s="329"/>
      <c r="J8" s="329"/>
      <c r="K8" s="329"/>
      <c r="L8" s="329"/>
      <c r="M8" s="329"/>
      <c r="N8" s="329"/>
      <c r="O8" s="329"/>
      <c r="P8" s="329"/>
    </row>
    <row r="9" spans="1:18" ht="12.75" x14ac:dyDescent="0.2">
      <c r="A9" s="329"/>
      <c r="B9" s="329"/>
      <c r="C9" s="389" t="s">
        <v>736</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46902467</v>
      </c>
      <c r="I12" s="404"/>
      <c r="J12" s="404"/>
      <c r="K12" s="405">
        <f>TRUNC((H12/H13*100000),5)/100000</f>
        <v>1.1141216493999999</v>
      </c>
      <c r="L12" s="406"/>
      <c r="M12" s="360" t="s">
        <v>1205</v>
      </c>
      <c r="N12" s="360"/>
      <c r="O12" s="407">
        <v>0.35</v>
      </c>
      <c r="P12" s="218"/>
      <c r="Q12" s="218"/>
    </row>
    <row r="13" spans="1:18" s="408" customFormat="1" ht="12.75" x14ac:dyDescent="0.2">
      <c r="A13" s="218"/>
      <c r="B13" s="401"/>
      <c r="C13" s="2219" t="s">
        <v>1390</v>
      </c>
      <c r="D13" s="2220"/>
      <c r="E13" s="218"/>
      <c r="F13" s="409" t="s">
        <v>825</v>
      </c>
      <c r="G13" s="402"/>
      <c r="H13" s="403">
        <f>SUM('Acct Summary 7-8'!C8+'Acct Summary 7-8'!D8+'Acct Summary 7-8'!F8+'Acct Summary 7-8'!I8)+H14</f>
        <v>42098156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36641541</v>
      </c>
      <c r="I17" s="404"/>
      <c r="J17" s="416"/>
      <c r="K17" s="405">
        <f>TRUNC((H17/H18*100000),5)/100000</f>
        <v>0.87038351509999989</v>
      </c>
      <c r="L17" s="406"/>
      <c r="M17" s="417" t="s">
        <v>1232</v>
      </c>
      <c r="O17" s="418" t="str">
        <f>IF(AND(O16="2", J20 &gt; 2),"1",IF(AND(O16 = "1", J20 &gt; 2),"2",IF(AND(O16="1", J20 &gt;1),"1","0")))</f>
        <v>0</v>
      </c>
      <c r="P17" s="218"/>
    </row>
    <row r="18" spans="1:18" s="408" customFormat="1" ht="11.25" x14ac:dyDescent="0.2">
      <c r="A18" s="218"/>
      <c r="B18" s="401"/>
      <c r="C18" s="2219" t="s">
        <v>1383</v>
      </c>
      <c r="D18" s="2220"/>
      <c r="E18" s="218"/>
      <c r="F18" s="419" t="s">
        <v>826</v>
      </c>
      <c r="G18" s="402"/>
      <c r="H18" s="403">
        <f>SUM('Acct Summary 7-8'!C8+'Acct Summary 7-8'!D8+'Acct Summary 7-8'!F8+'Acct Summary 7-8'!I8)+H19</f>
        <v>42098156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216" t="s">
        <v>1478</v>
      </c>
      <c r="D24" s="2216"/>
      <c r="E24" s="218"/>
      <c r="F24" s="218" t="s">
        <v>464</v>
      </c>
      <c r="G24" s="402"/>
      <c r="H24" s="403">
        <f>SUM('Assets-Liab 5-6'!C4+'Assets-Liab 5-6'!D4+'Assets-Liab 5-6'!F4+'Assets-Liab 5-6'!I4+'Assets-Liab 5-6'!C5+'Assets-Liab 5-6'!D5+'Assets-Liab 5-6'!F5+'Assets-Liab 5-6'!I5)</f>
        <v>46904170</v>
      </c>
      <c r="I24" s="422"/>
      <c r="J24" s="422"/>
      <c r="K24" s="423">
        <f>TRUNC(((H24/H25*100000)/100000),2)</f>
        <v>460.82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101782.05833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26654678.64844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58203061</v>
      </c>
      <c r="I32" s="420"/>
      <c r="J32" s="420"/>
      <c r="K32" s="423">
        <f>TRUNC(100-((((H32/H33*100))*100)/100),2)</f>
        <v>54.6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128221199.25000001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2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22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226" t="s">
        <v>1029</v>
      </c>
      <c r="B3" s="2227"/>
      <c r="C3" s="1578"/>
      <c r="D3" s="1579"/>
      <c r="E3" s="1579"/>
      <c r="F3" s="1579"/>
      <c r="G3" s="1579"/>
      <c r="H3" s="1579"/>
      <c r="I3" s="1579"/>
      <c r="J3" s="1579"/>
      <c r="K3" s="1579"/>
      <c r="L3" s="1579"/>
      <c r="M3" s="1580"/>
      <c r="N3" s="1581"/>
    </row>
    <row r="4" spans="1:14" ht="13.5" customHeight="1" x14ac:dyDescent="0.2">
      <c r="A4" s="463" t="s">
        <v>1749</v>
      </c>
      <c r="B4" s="464"/>
      <c r="C4" s="465">
        <v>18103575</v>
      </c>
      <c r="D4" s="465">
        <v>4084240</v>
      </c>
      <c r="E4" s="466">
        <v>3633234</v>
      </c>
      <c r="F4" s="466">
        <v>6124392</v>
      </c>
      <c r="G4" s="466">
        <v>3404147</v>
      </c>
      <c r="H4" s="466">
        <v>8041344</v>
      </c>
      <c r="I4" s="466">
        <v>1665626</v>
      </c>
      <c r="J4" s="467">
        <v>2159129</v>
      </c>
      <c r="K4" s="466">
        <v>803977</v>
      </c>
      <c r="L4" s="466">
        <v>1048337</v>
      </c>
      <c r="M4" s="468"/>
      <c r="N4" s="469"/>
    </row>
    <row r="5" spans="1:14" x14ac:dyDescent="0.2">
      <c r="A5" s="463" t="s">
        <v>1048</v>
      </c>
      <c r="B5" s="470">
        <v>120</v>
      </c>
      <c r="C5" s="465">
        <v>16926337</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0</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664</v>
      </c>
      <c r="B13" s="1728"/>
      <c r="C13" s="1756">
        <f>SUM(C4:C12)</f>
        <v>35029912</v>
      </c>
      <c r="D13" s="1756">
        <f t="shared" ref="D13:L13" si="0">SUM(D4:D12)</f>
        <v>4084240</v>
      </c>
      <c r="E13" s="1756">
        <f t="shared" si="0"/>
        <v>3633234</v>
      </c>
      <c r="F13" s="1756">
        <f t="shared" si="0"/>
        <v>6124392</v>
      </c>
      <c r="G13" s="1756">
        <f t="shared" si="0"/>
        <v>3404147</v>
      </c>
      <c r="H13" s="1756">
        <f t="shared" si="0"/>
        <v>8041344</v>
      </c>
      <c r="I13" s="1756">
        <f t="shared" si="0"/>
        <v>1665626</v>
      </c>
      <c r="J13" s="1756">
        <f t="shared" si="0"/>
        <v>2159129</v>
      </c>
      <c r="K13" s="1756">
        <f t="shared" si="0"/>
        <v>803977</v>
      </c>
      <c r="L13" s="1756">
        <f t="shared" si="0"/>
        <v>1048337</v>
      </c>
      <c r="M13" s="468"/>
      <c r="N13" s="469"/>
    </row>
    <row r="14" spans="1:14" ht="18" customHeight="1" thickTop="1" x14ac:dyDescent="0.2">
      <c r="A14" s="2228" t="s">
        <v>149</v>
      </c>
      <c r="B14" s="2229"/>
      <c r="C14" s="1582"/>
      <c r="D14" s="1583"/>
      <c r="E14" s="1583"/>
      <c r="F14" s="1583"/>
      <c r="G14" s="1583"/>
      <c r="H14" s="1583"/>
      <c r="I14" s="1583"/>
      <c r="J14" s="1583"/>
      <c r="K14" s="1583"/>
      <c r="L14" s="1583"/>
      <c r="M14" s="1584"/>
      <c r="N14" s="1585"/>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2812408</v>
      </c>
      <c r="N16" s="483"/>
    </row>
    <row r="17" spans="1:14" s="484" customFormat="1" ht="12.75" customHeight="1" x14ac:dyDescent="0.2">
      <c r="A17" s="481" t="s">
        <v>1469</v>
      </c>
      <c r="B17" s="482">
        <v>230</v>
      </c>
      <c r="C17" s="476"/>
      <c r="D17" s="476"/>
      <c r="E17" s="476"/>
      <c r="F17" s="476"/>
      <c r="G17" s="476"/>
      <c r="H17" s="476"/>
      <c r="I17" s="476"/>
      <c r="J17" s="476"/>
      <c r="K17" s="476"/>
      <c r="L17" s="476"/>
      <c r="M17" s="467">
        <v>106156261</v>
      </c>
      <c r="N17" s="483"/>
    </row>
    <row r="18" spans="1:14" s="484" customFormat="1" ht="12.75" customHeight="1" x14ac:dyDescent="0.2">
      <c r="A18" s="481" t="s">
        <v>1470</v>
      </c>
      <c r="B18" s="482">
        <v>240</v>
      </c>
      <c r="C18" s="476"/>
      <c r="D18" s="476"/>
      <c r="E18" s="476"/>
      <c r="F18" s="476"/>
      <c r="G18" s="476"/>
      <c r="H18" s="476"/>
      <c r="I18" s="476"/>
      <c r="J18" s="476"/>
      <c r="K18" s="476"/>
      <c r="L18" s="476"/>
      <c r="M18" s="467">
        <v>11142699</v>
      </c>
      <c r="N18" s="483"/>
    </row>
    <row r="19" spans="1:14" s="484" customFormat="1" ht="12.75" customHeight="1" x14ac:dyDescent="0.2">
      <c r="A19" s="481" t="s">
        <v>1471</v>
      </c>
      <c r="B19" s="482">
        <v>250</v>
      </c>
      <c r="C19" s="476"/>
      <c r="D19" s="476"/>
      <c r="E19" s="476"/>
      <c r="F19" s="476"/>
      <c r="G19" s="476"/>
      <c r="H19" s="476"/>
      <c r="I19" s="476"/>
      <c r="J19" s="476"/>
      <c r="K19" s="476"/>
      <c r="L19" s="476"/>
      <c r="M19" s="467">
        <v>12782838</v>
      </c>
      <c r="N19" s="483"/>
    </row>
    <row r="20" spans="1:14" s="484" customFormat="1" ht="12.75" customHeight="1" x14ac:dyDescent="0.2">
      <c r="A20" s="481" t="s">
        <v>1472</v>
      </c>
      <c r="B20" s="482">
        <v>260</v>
      </c>
      <c r="C20" s="476"/>
      <c r="D20" s="476"/>
      <c r="E20" s="476"/>
      <c r="F20" s="476"/>
      <c r="G20" s="476"/>
      <c r="H20" s="476"/>
      <c r="I20" s="476"/>
      <c r="J20" s="476"/>
      <c r="K20" s="476"/>
      <c r="L20" s="476"/>
      <c r="M20" s="467">
        <v>481056</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3633234</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54569827</v>
      </c>
    </row>
    <row r="23" spans="1:14" ht="13.5" customHeight="1" thickBot="1" x14ac:dyDescent="0.25">
      <c r="A23" s="1755" t="s">
        <v>663</v>
      </c>
      <c r="B23" s="1760"/>
      <c r="C23" s="468"/>
      <c r="D23" s="468"/>
      <c r="E23" s="468"/>
      <c r="F23" s="468"/>
      <c r="G23" s="468"/>
      <c r="H23" s="468"/>
      <c r="I23" s="468"/>
      <c r="J23" s="468"/>
      <c r="K23" s="468"/>
      <c r="L23" s="468"/>
      <c r="M23" s="1707">
        <f>SUM(M15:M22)</f>
        <v>133375262</v>
      </c>
      <c r="N23" s="1707">
        <f>SUM(N21:N22)</f>
        <v>58203061</v>
      </c>
    </row>
    <row r="24" spans="1:14" ht="18" customHeight="1" thickTop="1" x14ac:dyDescent="0.2">
      <c r="A24" s="2230" t="s">
        <v>618</v>
      </c>
      <c r="B24" s="2231"/>
      <c r="C24" s="1587"/>
      <c r="D24" s="1584"/>
      <c r="E24" s="1584"/>
      <c r="F24" s="1584"/>
      <c r="G24" s="1584"/>
      <c r="H24" s="1584"/>
      <c r="I24" s="1584"/>
      <c r="J24" s="1584"/>
      <c r="K24" s="1584"/>
      <c r="L24" s="1584"/>
      <c r="M24" s="1583"/>
      <c r="N24" s="1588"/>
    </row>
    <row r="25" spans="1:14" x14ac:dyDescent="0.2">
      <c r="A25" s="473" t="s">
        <v>665</v>
      </c>
      <c r="B25" s="470">
        <v>410</v>
      </c>
      <c r="C25" s="465">
        <v>0</v>
      </c>
      <c r="D25" s="477">
        <v>0</v>
      </c>
      <c r="E25" s="477">
        <v>0</v>
      </c>
      <c r="F25" s="477">
        <v>0</v>
      </c>
      <c r="G25" s="477">
        <v>0</v>
      </c>
      <c r="H25" s="478">
        <v>0</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1703</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448849</v>
      </c>
      <c r="M33" s="468"/>
      <c r="N33" s="469"/>
    </row>
    <row r="34" spans="1:14" ht="13.5" customHeight="1" thickBot="1" x14ac:dyDescent="0.25">
      <c r="A34" s="1757" t="s">
        <v>674</v>
      </c>
      <c r="B34" s="1758"/>
      <c r="C34" s="1759">
        <f>SUM(C25:C33)</f>
        <v>1703</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448849</v>
      </c>
      <c r="M34" s="468"/>
      <c r="N34" s="479"/>
    </row>
    <row r="35" spans="1:14" ht="18" customHeight="1" thickTop="1" x14ac:dyDescent="0.2">
      <c r="A35" s="2232" t="s">
        <v>549</v>
      </c>
      <c r="B35" s="2233"/>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58203061</v>
      </c>
    </row>
    <row r="37" spans="1:14" ht="13.5" thickBot="1" x14ac:dyDescent="0.25">
      <c r="A37" s="1755" t="s">
        <v>673</v>
      </c>
      <c r="B37" s="1760"/>
      <c r="C37" s="476"/>
      <c r="D37" s="476"/>
      <c r="E37" s="476"/>
      <c r="F37" s="476"/>
      <c r="G37" s="476"/>
      <c r="H37" s="476"/>
      <c r="I37" s="476"/>
      <c r="J37" s="476"/>
      <c r="K37" s="476"/>
      <c r="L37" s="479"/>
      <c r="M37" s="468"/>
      <c r="N37" s="1707">
        <f>SUM(N36:N36)</f>
        <v>58203061</v>
      </c>
    </row>
    <row r="38" spans="1:14" s="329" customFormat="1" ht="13.5" customHeight="1" thickTop="1" x14ac:dyDescent="0.2">
      <c r="A38" s="494" t="s">
        <v>439</v>
      </c>
      <c r="B38" s="482">
        <v>714</v>
      </c>
      <c r="C38" s="465">
        <v>0</v>
      </c>
      <c r="D38" s="465">
        <v>0</v>
      </c>
      <c r="E38" s="465">
        <v>720000</v>
      </c>
      <c r="F38" s="465">
        <v>0</v>
      </c>
      <c r="G38" s="465">
        <v>1632903</v>
      </c>
      <c r="H38" s="465">
        <v>214394</v>
      </c>
      <c r="I38" s="465">
        <v>0</v>
      </c>
      <c r="J38" s="465">
        <v>0</v>
      </c>
      <c r="K38" s="465">
        <v>0</v>
      </c>
      <c r="L38" s="465">
        <v>599488</v>
      </c>
      <c r="M38" s="495"/>
      <c r="N38" s="495"/>
    </row>
    <row r="39" spans="1:14" s="329" customFormat="1" ht="13.5" customHeight="1" x14ac:dyDescent="0.2">
      <c r="A39" s="494" t="s">
        <v>359</v>
      </c>
      <c r="B39" s="482">
        <v>730</v>
      </c>
      <c r="C39" s="465">
        <v>35028209</v>
      </c>
      <c r="D39" s="465">
        <v>4084240</v>
      </c>
      <c r="E39" s="465">
        <v>2913234</v>
      </c>
      <c r="F39" s="465">
        <v>6124392</v>
      </c>
      <c r="G39" s="465">
        <v>1771244</v>
      </c>
      <c r="H39" s="465">
        <v>7826950</v>
      </c>
      <c r="I39" s="465">
        <v>1665626</v>
      </c>
      <c r="J39" s="465">
        <v>2159129</v>
      </c>
      <c r="K39" s="465">
        <v>803977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133375262</v>
      </c>
      <c r="N40" s="495"/>
    </row>
    <row r="41" spans="1:14" ht="13.5" customHeight="1" thickBot="1" x14ac:dyDescent="0.25">
      <c r="A41" s="1755" t="s">
        <v>675</v>
      </c>
      <c r="B41" s="1725"/>
      <c r="C41" s="1707">
        <f>(SUM(C34,C37,C38,C39))</f>
        <v>35029912</v>
      </c>
      <c r="D41" s="1707">
        <f t="shared" ref="D41:L41" si="2">SUM(D34,D37,D38:D39)</f>
        <v>4084240</v>
      </c>
      <c r="E41" s="1707">
        <f t="shared" si="2"/>
        <v>3633234</v>
      </c>
      <c r="F41" s="1707">
        <f t="shared" si="2"/>
        <v>6124392</v>
      </c>
      <c r="G41" s="1707">
        <f t="shared" si="2"/>
        <v>3404147</v>
      </c>
      <c r="H41" s="1707">
        <f t="shared" si="2"/>
        <v>8041344</v>
      </c>
      <c r="I41" s="1707">
        <f t="shared" si="2"/>
        <v>1665626</v>
      </c>
      <c r="J41" s="1707">
        <f t="shared" si="2"/>
        <v>2159129</v>
      </c>
      <c r="K41" s="1707">
        <f t="shared" si="2"/>
        <v>803977</v>
      </c>
      <c r="L41" s="1707">
        <f t="shared" si="2"/>
        <v>1048337</v>
      </c>
      <c r="M41" s="1707">
        <f>SUM(M40)</f>
        <v>133375262</v>
      </c>
      <c r="N41" s="1707">
        <f>SUM(N37)</f>
        <v>58203061</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if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D23" sqref="AD23"/>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42" t="s">
        <v>1750</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243"/>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254" t="s">
        <v>1236</v>
      </c>
      <c r="B3" s="2255"/>
      <c r="C3" s="1592"/>
      <c r="D3" s="1593"/>
      <c r="E3" s="1593"/>
      <c r="F3" s="1593"/>
      <c r="G3" s="1593"/>
      <c r="H3" s="1593"/>
      <c r="I3" s="1593"/>
      <c r="J3" s="1593"/>
      <c r="K3" s="1594"/>
      <c r="L3" s="504"/>
    </row>
    <row r="4" spans="1:13" ht="15.75" customHeight="1" x14ac:dyDescent="0.2">
      <c r="A4" s="1951" t="s">
        <v>1578</v>
      </c>
      <c r="B4" s="1952">
        <v>1000</v>
      </c>
      <c r="C4" s="1761">
        <f>'Revenues 9-14'!C109</f>
        <v>28547982</v>
      </c>
      <c r="D4" s="1761">
        <f>'Revenues 9-14'!D109</f>
        <v>4512501</v>
      </c>
      <c r="E4" s="1761">
        <f>'Revenues 9-14'!E109</f>
        <v>6388752</v>
      </c>
      <c r="F4" s="1761">
        <f>'Revenues 9-14'!F109</f>
        <v>1903063</v>
      </c>
      <c r="G4" s="1761">
        <f>'Revenues 9-14'!G109</f>
        <v>2114636</v>
      </c>
      <c r="H4" s="1761">
        <f>'Revenues 9-14'!H109</f>
        <v>328653</v>
      </c>
      <c r="I4" s="1761">
        <f>'Revenues 9-14'!I109</f>
        <v>465514</v>
      </c>
      <c r="J4" s="1761">
        <f>'Revenues 9-14'!J109</f>
        <v>1587953</v>
      </c>
      <c r="K4" s="1761">
        <f>'Revenues 9-14'!K109</f>
        <v>462114</v>
      </c>
      <c r="L4" s="347"/>
    </row>
    <row r="5" spans="1:13" ht="15.75" customHeight="1" x14ac:dyDescent="0.2">
      <c r="A5" s="1595" t="s">
        <v>1579</v>
      </c>
      <c r="B5" s="1596">
        <v>2000</v>
      </c>
      <c r="C5" s="1762">
        <f>'Revenues 9-14'!C114</f>
        <v>0</v>
      </c>
      <c r="D5" s="1762">
        <f>'Revenues 9-14'!D114</f>
        <v>0</v>
      </c>
      <c r="E5" s="506"/>
      <c r="F5" s="1762">
        <f>'Revenues 9-14'!F114</f>
        <v>0</v>
      </c>
      <c r="G5" s="1762">
        <f>'Revenues 9-14'!G114</f>
        <v>0</v>
      </c>
      <c r="H5" s="507" t="s">
        <v>1230</v>
      </c>
      <c r="I5" s="508" t="s">
        <v>1230</v>
      </c>
      <c r="J5" s="509" t="s">
        <v>1230</v>
      </c>
      <c r="K5" s="510" t="s">
        <v>1230</v>
      </c>
      <c r="L5" s="347"/>
    </row>
    <row r="6" spans="1:13" ht="15.75" customHeight="1" x14ac:dyDescent="0.2">
      <c r="A6" s="1595" t="s">
        <v>1580</v>
      </c>
      <c r="B6" s="1597">
        <v>3000</v>
      </c>
      <c r="C6" s="1762">
        <f>'Revenues 9-14'!C173</f>
        <v>4201434</v>
      </c>
      <c r="D6" s="1762">
        <f>'Revenues 9-14'!D173</f>
        <v>0</v>
      </c>
      <c r="E6" s="1762">
        <f>'Revenues 9-14'!E173</f>
        <v>0</v>
      </c>
      <c r="F6" s="1762">
        <f>'Revenues 9-14'!F173</f>
        <v>1452310</v>
      </c>
      <c r="G6" s="1762">
        <f>'Revenues 9-14'!G173</f>
        <v>0</v>
      </c>
      <c r="H6" s="1762">
        <f>'Revenues 9-14'!H173</f>
        <v>0</v>
      </c>
      <c r="I6" s="1762">
        <f>'Revenues 9-14'!I173</f>
        <v>0</v>
      </c>
      <c r="J6" s="1762">
        <f>'Revenues 9-14'!J173</f>
        <v>0</v>
      </c>
      <c r="K6" s="1762">
        <f>'Revenues 9-14'!K173</f>
        <v>0</v>
      </c>
      <c r="L6" s="347"/>
      <c r="M6" s="511"/>
    </row>
    <row r="7" spans="1:13" ht="15.75" customHeight="1" x14ac:dyDescent="0.2">
      <c r="A7" s="1595" t="s">
        <v>1581</v>
      </c>
      <c r="B7" s="1597">
        <v>4000</v>
      </c>
      <c r="C7" s="1762">
        <f>'Revenues 9-14'!C274</f>
        <v>1015352</v>
      </c>
      <c r="D7" s="1762">
        <f>'Revenues 9-14'!D274</f>
        <v>0</v>
      </c>
      <c r="E7" s="1762">
        <f>'Revenues 9-14'!E274</f>
        <v>197371</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1233</v>
      </c>
      <c r="B8" s="1728"/>
      <c r="C8" s="1707">
        <f>SUM(C4:C7)</f>
        <v>33764768</v>
      </c>
      <c r="D8" s="1707">
        <f t="shared" ref="D8:K8" si="0">SUM(D4:D7)</f>
        <v>4512501</v>
      </c>
      <c r="E8" s="1707">
        <f t="shared" si="0"/>
        <v>6586123</v>
      </c>
      <c r="F8" s="1707">
        <f t="shared" si="0"/>
        <v>3355373</v>
      </c>
      <c r="G8" s="1707">
        <f t="shared" si="0"/>
        <v>2114636</v>
      </c>
      <c r="H8" s="1707">
        <f t="shared" si="0"/>
        <v>328653</v>
      </c>
      <c r="I8" s="1707">
        <f t="shared" si="0"/>
        <v>465514</v>
      </c>
      <c r="J8" s="1707">
        <f t="shared" si="0"/>
        <v>1587953</v>
      </c>
      <c r="K8" s="1707">
        <f t="shared" si="0"/>
        <v>462114</v>
      </c>
      <c r="L8" s="347"/>
    </row>
    <row r="9" spans="1:13" ht="15.75" thickTop="1" x14ac:dyDescent="0.2">
      <c r="A9" s="512" t="s">
        <v>1751</v>
      </c>
      <c r="B9" s="513">
        <v>3998</v>
      </c>
      <c r="C9" s="465">
        <v>14081811</v>
      </c>
      <c r="D9" s="514"/>
      <c r="E9" s="480"/>
      <c r="F9" s="480"/>
      <c r="G9" s="515"/>
      <c r="H9" s="480"/>
      <c r="I9" s="507" t="s">
        <v>1230</v>
      </c>
      <c r="J9" s="477"/>
      <c r="K9" s="480"/>
      <c r="L9" s="347"/>
    </row>
    <row r="10" spans="1:13" s="517" customFormat="1" ht="13.5" thickBot="1" x14ac:dyDescent="0.25">
      <c r="A10" s="1755" t="s">
        <v>1234</v>
      </c>
      <c r="B10" s="1728"/>
      <c r="C10" s="1707">
        <f>SUM(C8:C9)</f>
        <v>47846579</v>
      </c>
      <c r="D10" s="1707">
        <f t="shared" ref="D10:K10" si="1">SUM(D8:D9)</f>
        <v>4512501</v>
      </c>
      <c r="E10" s="1707">
        <f t="shared" si="1"/>
        <v>6586123</v>
      </c>
      <c r="F10" s="1707">
        <f t="shared" si="1"/>
        <v>3355373</v>
      </c>
      <c r="G10" s="1707">
        <f t="shared" si="1"/>
        <v>2114636</v>
      </c>
      <c r="H10" s="1707">
        <f t="shared" si="1"/>
        <v>328653</v>
      </c>
      <c r="I10" s="1707">
        <f t="shared" si="1"/>
        <v>465514</v>
      </c>
      <c r="J10" s="1707">
        <f t="shared" si="1"/>
        <v>1587953</v>
      </c>
      <c r="K10" s="1707">
        <f t="shared" si="1"/>
        <v>462114</v>
      </c>
      <c r="L10" s="516"/>
    </row>
    <row r="11" spans="1:13" s="517" customFormat="1" ht="16.7" customHeight="1" thickTop="1" x14ac:dyDescent="0.2">
      <c r="A11" s="2228" t="s">
        <v>1237</v>
      </c>
      <c r="B11" s="2229"/>
      <c r="C11" s="1589"/>
      <c r="D11" s="1590"/>
      <c r="E11" s="1590"/>
      <c r="F11" s="1590"/>
      <c r="G11" s="1590"/>
      <c r="H11" s="1590"/>
      <c r="I11" s="1590"/>
      <c r="J11" s="1590"/>
      <c r="K11" s="1591"/>
      <c r="L11" s="516"/>
    </row>
    <row r="12" spans="1:13" ht="15.75" customHeight="1" x14ac:dyDescent="0.2">
      <c r="A12" s="1595" t="s">
        <v>475</v>
      </c>
      <c r="B12" s="1597">
        <v>1000</v>
      </c>
      <c r="C12" s="1761">
        <f>'Expenditures 15-22'!K33</f>
        <v>21381409</v>
      </c>
      <c r="D12" s="518" t="s">
        <v>1230</v>
      </c>
      <c r="E12" s="468" t="s">
        <v>1230</v>
      </c>
      <c r="F12" s="468" t="s">
        <v>1230</v>
      </c>
      <c r="G12" s="1761">
        <f>'Expenditures 15-22'!K229</f>
        <v>554857</v>
      </c>
      <c r="H12" s="519"/>
      <c r="I12" s="468" t="s">
        <v>1230</v>
      </c>
      <c r="J12" s="468" t="s">
        <v>1230</v>
      </c>
      <c r="K12" s="519" t="s">
        <v>1230</v>
      </c>
      <c r="L12" s="347"/>
    </row>
    <row r="13" spans="1:13" ht="15.75" customHeight="1" x14ac:dyDescent="0.2">
      <c r="A13" s="1595" t="s">
        <v>476</v>
      </c>
      <c r="B13" s="1597">
        <v>2000</v>
      </c>
      <c r="C13" s="1762">
        <f>'Expenditures 15-22'!K74</f>
        <v>8102888</v>
      </c>
      <c r="D13" s="1762">
        <f>'Expenditures 15-22'!K129</f>
        <v>3823963</v>
      </c>
      <c r="E13" s="469" t="s">
        <v>1230</v>
      </c>
      <c r="F13" s="1762">
        <f>'Expenditures 15-22'!K184</f>
        <v>2049656</v>
      </c>
      <c r="G13" s="1762">
        <f>'Expenditures 15-22'!K279</f>
        <v>744077</v>
      </c>
      <c r="H13" s="1762">
        <f>'Expenditures 15-22'!K303</f>
        <v>879774</v>
      </c>
      <c r="I13" s="468" t="s">
        <v>1230</v>
      </c>
      <c r="J13" s="1762">
        <f>'Expenditures 15-22'!K330</f>
        <v>834811</v>
      </c>
      <c r="K13" s="1766">
        <f>'Expenditures 15-22'!K352</f>
        <v>107663</v>
      </c>
      <c r="L13" s="347"/>
    </row>
    <row r="14" spans="1:13" ht="15.75" customHeight="1" x14ac:dyDescent="0.2">
      <c r="A14" s="1595" t="s">
        <v>468</v>
      </c>
      <c r="B14" s="1597">
        <v>3000</v>
      </c>
      <c r="C14" s="1762">
        <f>'Expenditures 15-22'!K75</f>
        <v>17700</v>
      </c>
      <c r="D14" s="1762">
        <f>'Expenditures 15-22'!K130</f>
        <v>0</v>
      </c>
      <c r="E14" s="518" t="s">
        <v>1230</v>
      </c>
      <c r="F14" s="1762">
        <f>'Expenditures 15-22'!K185</f>
        <v>0</v>
      </c>
      <c r="G14" s="1762">
        <f>'Expenditures 15-22'!K280</f>
        <v>0</v>
      </c>
      <c r="H14" s="510"/>
      <c r="I14" s="468" t="s">
        <v>1230</v>
      </c>
      <c r="J14" s="468" t="s">
        <v>1230</v>
      </c>
      <c r="K14" s="510" t="s">
        <v>1230</v>
      </c>
      <c r="L14" s="347"/>
    </row>
    <row r="15" spans="1:13" ht="15.75" customHeight="1" x14ac:dyDescent="0.2">
      <c r="A15" s="1595" t="s">
        <v>109</v>
      </c>
      <c r="B15" s="1597">
        <v>4000</v>
      </c>
      <c r="C15" s="1762">
        <f>'Expenditures 15-22'!K102</f>
        <v>1265925</v>
      </c>
      <c r="D15" s="1762">
        <f>'Expenditures 15-22'!K139</f>
        <v>0</v>
      </c>
      <c r="E15" s="1762">
        <f>'Expenditures 15-22'!K160</f>
        <v>0</v>
      </c>
      <c r="F15" s="1762">
        <f>'Expenditures 15-22'!K196</f>
        <v>0</v>
      </c>
      <c r="G15" s="1762">
        <f>'Expenditures 15-22'!K285</f>
        <v>0</v>
      </c>
      <c r="H15" s="1762">
        <f>'Expenditures 15-22'!K310</f>
        <v>0</v>
      </c>
      <c r="I15" s="468" t="s">
        <v>1230</v>
      </c>
      <c r="J15" s="1855">
        <f>'Expenditures 15-22'!K334</f>
        <v>0</v>
      </c>
      <c r="K15" s="1762">
        <f>'Expenditures 15-22'!K357</f>
        <v>0</v>
      </c>
      <c r="L15" s="347"/>
    </row>
    <row r="16" spans="1:13" ht="15.75" customHeight="1" x14ac:dyDescent="0.2">
      <c r="A16" s="1595" t="s">
        <v>469</v>
      </c>
      <c r="B16" s="1597">
        <v>5000</v>
      </c>
      <c r="C16" s="1762">
        <f>'Expenditures 15-22'!K112</f>
        <v>0</v>
      </c>
      <c r="D16" s="1762">
        <f>'Expenditures 15-22'!K149</f>
        <v>0</v>
      </c>
      <c r="E16" s="1762">
        <f>'Expenditures 15-22'!K172</f>
        <v>5981959</v>
      </c>
      <c r="F16" s="1762">
        <f>'Expenditures 15-22'!K208</f>
        <v>0</v>
      </c>
      <c r="G16" s="1762">
        <f>'Expenditures 15-22'!K293</f>
        <v>0</v>
      </c>
      <c r="H16" s="521"/>
      <c r="I16" s="468" t="s">
        <v>1230</v>
      </c>
      <c r="J16" s="1767">
        <f>'Expenditures 15-22'!K340</f>
        <v>0</v>
      </c>
      <c r="K16" s="1762">
        <f>'Expenditures 15-22'!K365</f>
        <v>0</v>
      </c>
      <c r="L16" s="347"/>
    </row>
    <row r="17" spans="1:12" ht="13.5" thickBot="1" x14ac:dyDescent="0.25">
      <c r="A17" s="1727" t="s">
        <v>50</v>
      </c>
      <c r="B17" s="1728"/>
      <c r="C17" s="1707">
        <f t="shared" ref="C17:H17" si="2">SUM(C12:C16)</f>
        <v>30767922</v>
      </c>
      <c r="D17" s="1707">
        <f t="shared" si="2"/>
        <v>3823963</v>
      </c>
      <c r="E17" s="1707">
        <f t="shared" si="2"/>
        <v>5981959</v>
      </c>
      <c r="F17" s="1707">
        <f t="shared" si="2"/>
        <v>2049656</v>
      </c>
      <c r="G17" s="1707">
        <f t="shared" si="2"/>
        <v>1298934</v>
      </c>
      <c r="H17" s="1707">
        <f t="shared" si="2"/>
        <v>879774</v>
      </c>
      <c r="I17" s="468"/>
      <c r="J17" s="1707">
        <f>SUM(J12:J16)</f>
        <v>834811</v>
      </c>
      <c r="K17" s="1707">
        <f>SUM(K12:K16)</f>
        <v>107663</v>
      </c>
      <c r="L17" s="347"/>
    </row>
    <row r="18" spans="1:12" ht="15" customHeight="1" thickTop="1" x14ac:dyDescent="0.2">
      <c r="A18" s="1763" t="s">
        <v>1752</v>
      </c>
      <c r="B18" s="1764">
        <v>4180</v>
      </c>
      <c r="C18" s="1761">
        <f t="shared" ref="C18:H18" si="3">C9</f>
        <v>14081811</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525</v>
      </c>
      <c r="B19" s="1728"/>
      <c r="C19" s="1707">
        <f t="shared" ref="C19:H19" si="4">SUM(C17:C18)</f>
        <v>44849733</v>
      </c>
      <c r="D19" s="1707">
        <f t="shared" si="4"/>
        <v>3823963</v>
      </c>
      <c r="E19" s="1707">
        <f t="shared" si="4"/>
        <v>5981959</v>
      </c>
      <c r="F19" s="1707">
        <f t="shared" si="4"/>
        <v>2049656</v>
      </c>
      <c r="G19" s="1707">
        <f t="shared" si="4"/>
        <v>1298934</v>
      </c>
      <c r="H19" s="1707">
        <f t="shared" si="4"/>
        <v>879774</v>
      </c>
      <c r="I19" s="468"/>
      <c r="J19" s="1707">
        <f>SUM(J17:J18)</f>
        <v>834811</v>
      </c>
      <c r="K19" s="1707">
        <f>SUM(K17:K18)</f>
        <v>107663</v>
      </c>
      <c r="L19" s="347"/>
    </row>
    <row r="20" spans="1:12" ht="16.5" thickTop="1" thickBot="1" x14ac:dyDescent="0.25">
      <c r="A20" s="2244" t="s">
        <v>1753</v>
      </c>
      <c r="B20" s="2245"/>
      <c r="C20" s="1765">
        <f>C8-C17</f>
        <v>2996846</v>
      </c>
      <c r="D20" s="1765">
        <f t="shared" ref="D20:K20" si="5">D8-D17</f>
        <v>688538</v>
      </c>
      <c r="E20" s="1765">
        <f t="shared" si="5"/>
        <v>604164</v>
      </c>
      <c r="F20" s="1765">
        <f t="shared" si="5"/>
        <v>1305717</v>
      </c>
      <c r="G20" s="1765">
        <f t="shared" si="5"/>
        <v>815702</v>
      </c>
      <c r="H20" s="1765">
        <f t="shared" si="5"/>
        <v>-551121</v>
      </c>
      <c r="I20" s="1765">
        <f t="shared" si="5"/>
        <v>465514</v>
      </c>
      <c r="J20" s="1765">
        <f t="shared" si="5"/>
        <v>753142</v>
      </c>
      <c r="K20" s="1765">
        <f t="shared" si="5"/>
        <v>354451</v>
      </c>
      <c r="L20" s="347"/>
    </row>
    <row r="21" spans="1:12" ht="16.7" customHeight="1" thickTop="1" x14ac:dyDescent="0.2">
      <c r="A21" s="2256" t="s">
        <v>615</v>
      </c>
      <c r="B21" s="2257"/>
      <c r="C21" s="1589"/>
      <c r="D21" s="1590"/>
      <c r="E21" s="1590"/>
      <c r="F21" s="1590"/>
      <c r="G21" s="1590"/>
      <c r="H21" s="1590"/>
      <c r="I21" s="1590"/>
      <c r="J21" s="1590"/>
      <c r="K21" s="1591"/>
      <c r="L21" s="522"/>
    </row>
    <row r="22" spans="1:12" ht="15.75" customHeight="1" collapsed="1" x14ac:dyDescent="0.2">
      <c r="A22" s="2252" t="s">
        <v>616</v>
      </c>
      <c r="B22" s="2253"/>
      <c r="C22" s="476"/>
      <c r="D22" s="476"/>
      <c r="E22" s="476"/>
      <c r="F22" s="476"/>
      <c r="G22" s="476"/>
      <c r="H22" s="476"/>
      <c r="I22" s="476"/>
      <c r="J22" s="476"/>
      <c r="K22" s="476"/>
      <c r="L22" s="347"/>
    </row>
    <row r="23" spans="1:12" s="484" customFormat="1" ht="15.75" customHeight="1" x14ac:dyDescent="0.2">
      <c r="A23" s="2248" t="s">
        <v>310</v>
      </c>
      <c r="B23" s="2249"/>
      <c r="C23" s="479"/>
      <c r="D23" s="476"/>
      <c r="E23" s="476"/>
      <c r="F23" s="476"/>
      <c r="G23" s="476"/>
      <c r="H23" s="476"/>
      <c r="I23" s="476"/>
      <c r="J23" s="476"/>
      <c r="K23" s="476"/>
      <c r="L23" s="522"/>
    </row>
    <row r="24" spans="1:12" s="484" customFormat="1" ht="13.5" customHeight="1" x14ac:dyDescent="0.2">
      <c r="A24" s="1508" t="s">
        <v>1754</v>
      </c>
      <c r="B24" s="523">
        <v>7110</v>
      </c>
      <c r="C24" s="465">
        <v>0</v>
      </c>
      <c r="D24" s="476"/>
      <c r="E24" s="476"/>
      <c r="F24" s="476"/>
      <c r="G24" s="476"/>
      <c r="H24" s="476"/>
      <c r="I24" s="476"/>
      <c r="J24" s="476"/>
      <c r="K24" s="476"/>
      <c r="L24" s="522"/>
    </row>
    <row r="25" spans="1:12" s="484" customFormat="1" ht="13.5" customHeight="1" x14ac:dyDescent="0.2">
      <c r="A25" s="1508"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311</v>
      </c>
      <c r="B29" s="482">
        <v>7150</v>
      </c>
      <c r="C29" s="475"/>
      <c r="D29" s="467">
        <v>0</v>
      </c>
      <c r="E29" s="475"/>
      <c r="F29" s="475"/>
      <c r="G29" s="475"/>
      <c r="H29" s="475"/>
      <c r="I29" s="475"/>
      <c r="J29" s="475"/>
      <c r="K29" s="475"/>
      <c r="L29" s="522"/>
    </row>
    <row r="30" spans="1:12" s="484" customFormat="1" ht="26.25" x14ac:dyDescent="0.2">
      <c r="A30" s="1508" t="s">
        <v>1892</v>
      </c>
      <c r="B30" s="525">
        <v>7160</v>
      </c>
      <c r="C30" s="476"/>
      <c r="D30" s="467">
        <v>0</v>
      </c>
      <c r="E30" s="476"/>
      <c r="F30" s="476"/>
      <c r="G30" s="476"/>
      <c r="H30" s="476"/>
      <c r="I30" s="476"/>
      <c r="J30" s="476"/>
      <c r="K30" s="476"/>
      <c r="L30" s="522"/>
    </row>
    <row r="31" spans="1:12" s="484" customFormat="1" ht="26.25" x14ac:dyDescent="0.2">
      <c r="A31" s="1508" t="s">
        <v>1896</v>
      </c>
      <c r="B31" s="525">
        <v>7170</v>
      </c>
      <c r="C31" s="476"/>
      <c r="D31" s="476"/>
      <c r="E31" s="474">
        <v>0</v>
      </c>
      <c r="F31" s="476"/>
      <c r="G31" s="476"/>
      <c r="H31" s="476"/>
      <c r="I31" s="476"/>
      <c r="J31" s="476"/>
      <c r="K31" s="476"/>
      <c r="L31" s="522"/>
    </row>
    <row r="32" spans="1:12" s="484" customFormat="1" ht="15.75" customHeight="1" x14ac:dyDescent="0.2">
      <c r="A32" s="2250" t="s">
        <v>1037</v>
      </c>
      <c r="B32" s="2251"/>
      <c r="C32" s="476"/>
      <c r="D32" s="476"/>
      <c r="E32" s="475"/>
      <c r="F32" s="476"/>
      <c r="G32" s="476"/>
      <c r="H32" s="476"/>
      <c r="I32" s="476"/>
      <c r="J32" s="476"/>
      <c r="K32" s="476"/>
      <c r="L32" s="522"/>
    </row>
    <row r="33" spans="1:12" s="484" customFormat="1" x14ac:dyDescent="0.2">
      <c r="A33" s="1508" t="s">
        <v>431</v>
      </c>
      <c r="B33" s="523">
        <v>7210</v>
      </c>
      <c r="C33" s="465">
        <v>0</v>
      </c>
      <c r="D33" s="467">
        <v>0</v>
      </c>
      <c r="E33" s="467">
        <v>0</v>
      </c>
      <c r="F33" s="467">
        <v>0</v>
      </c>
      <c r="G33" s="476"/>
      <c r="H33" s="467">
        <v>7720000</v>
      </c>
      <c r="I33" s="467">
        <v>0</v>
      </c>
      <c r="J33" s="467">
        <v>0</v>
      </c>
      <c r="K33" s="467">
        <v>0</v>
      </c>
      <c r="L33" s="522"/>
    </row>
    <row r="34" spans="1:12" s="484" customFormat="1" x14ac:dyDescent="0.2">
      <c r="A34" s="1508" t="s">
        <v>1057</v>
      </c>
      <c r="B34" s="523">
        <v>7220</v>
      </c>
      <c r="C34" s="465">
        <v>0</v>
      </c>
      <c r="D34" s="467">
        <v>0</v>
      </c>
      <c r="E34" s="467">
        <v>299835</v>
      </c>
      <c r="F34" s="467">
        <v>0</v>
      </c>
      <c r="G34" s="476"/>
      <c r="H34" s="477">
        <v>602458</v>
      </c>
      <c r="I34" s="477">
        <v>0</v>
      </c>
      <c r="J34" s="477">
        <v>0</v>
      </c>
      <c r="K34" s="477">
        <v>0</v>
      </c>
      <c r="L34" s="522"/>
    </row>
    <row r="35" spans="1:12" s="484" customFormat="1" x14ac:dyDescent="0.2">
      <c r="A35" s="1508" t="s">
        <v>1046</v>
      </c>
      <c r="B35" s="523">
        <v>7230</v>
      </c>
      <c r="C35" s="465">
        <v>0</v>
      </c>
      <c r="D35" s="467">
        <v>0</v>
      </c>
      <c r="E35" s="467">
        <v>0</v>
      </c>
      <c r="F35" s="467">
        <v>0</v>
      </c>
      <c r="G35" s="479"/>
      <c r="H35" s="467">
        <v>0</v>
      </c>
      <c r="I35" s="467">
        <v>0</v>
      </c>
      <c r="J35" s="467">
        <v>0</v>
      </c>
      <c r="K35" s="467">
        <v>0</v>
      </c>
      <c r="L35" s="522"/>
    </row>
    <row r="36" spans="1:12" s="484" customFormat="1" ht="15" x14ac:dyDescent="0.2">
      <c r="A36" s="1508" t="s">
        <v>1756</v>
      </c>
      <c r="B36" s="523">
        <v>7300</v>
      </c>
      <c r="C36" s="465">
        <v>0</v>
      </c>
      <c r="D36" s="467">
        <v>0</v>
      </c>
      <c r="E36" s="467">
        <v>0</v>
      </c>
      <c r="F36" s="467">
        <v>0</v>
      </c>
      <c r="G36" s="467">
        <v>0</v>
      </c>
      <c r="H36" s="467">
        <v>0</v>
      </c>
      <c r="I36" s="475"/>
      <c r="J36" s="467">
        <v>0</v>
      </c>
      <c r="K36" s="467">
        <v>0</v>
      </c>
      <c r="L36" s="522"/>
    </row>
    <row r="37" spans="1:12" s="484" customFormat="1" x14ac:dyDescent="0.2">
      <c r="A37" s="1508" t="s">
        <v>460</v>
      </c>
      <c r="B37" s="523">
        <v>7400</v>
      </c>
      <c r="C37" s="475"/>
      <c r="D37" s="475"/>
      <c r="E37" s="1762">
        <f>SUM(C54:D57,H54:H57)</f>
        <v>0</v>
      </c>
      <c r="F37" s="475"/>
      <c r="G37" s="475"/>
      <c r="H37" s="475"/>
      <c r="I37" s="476"/>
      <c r="J37" s="475"/>
      <c r="K37" s="475"/>
      <c r="L37" s="522"/>
    </row>
    <row r="38" spans="1:12" s="484" customFormat="1" x14ac:dyDescent="0.2">
      <c r="A38" s="1508" t="s">
        <v>461</v>
      </c>
      <c r="B38" s="523">
        <v>7500</v>
      </c>
      <c r="C38" s="476"/>
      <c r="D38" s="476"/>
      <c r="E38" s="1762">
        <f>SUM(C58:D61,H58:H61)</f>
        <v>0</v>
      </c>
      <c r="F38" s="476"/>
      <c r="G38" s="476"/>
      <c r="H38" s="476"/>
      <c r="I38" s="476"/>
      <c r="J38" s="476"/>
      <c r="K38" s="476"/>
      <c r="L38" s="522"/>
    </row>
    <row r="39" spans="1:12" s="484" customFormat="1" x14ac:dyDescent="0.2">
      <c r="A39" s="1508" t="s">
        <v>462</v>
      </c>
      <c r="B39" s="523">
        <v>7600</v>
      </c>
      <c r="C39" s="476"/>
      <c r="D39" s="476"/>
      <c r="E39" s="1762">
        <f>SUM(C62:D65)</f>
        <v>0</v>
      </c>
      <c r="F39" s="476"/>
      <c r="G39" s="476"/>
      <c r="H39" s="476"/>
      <c r="I39" s="476"/>
      <c r="J39" s="476"/>
      <c r="K39" s="476"/>
      <c r="L39" s="522"/>
    </row>
    <row r="40" spans="1:12" s="484" customFormat="1" ht="13.5" customHeight="1" x14ac:dyDescent="0.2">
      <c r="A40" s="1508" t="s">
        <v>662</v>
      </c>
      <c r="B40" s="482">
        <v>7700</v>
      </c>
      <c r="C40" s="476"/>
      <c r="D40" s="476"/>
      <c r="E40" s="1762">
        <f>SUM(C66:D69)</f>
        <v>0</v>
      </c>
      <c r="F40" s="476"/>
      <c r="G40" s="476"/>
      <c r="H40" s="479"/>
      <c r="I40" s="476"/>
      <c r="J40" s="476"/>
      <c r="K40" s="476"/>
      <c r="L40" s="522"/>
    </row>
    <row r="41" spans="1:12" s="484" customFormat="1" ht="13.5" customHeight="1" x14ac:dyDescent="0.2">
      <c r="A41" s="1508" t="s">
        <v>660</v>
      </c>
      <c r="B41" s="482">
        <v>7800</v>
      </c>
      <c r="C41" s="479"/>
      <c r="D41" s="479"/>
      <c r="E41" s="524"/>
      <c r="F41" s="479"/>
      <c r="G41" s="479"/>
      <c r="H41" s="1762">
        <f>SUM(C70:D73)</f>
        <v>0</v>
      </c>
      <c r="I41" s="476"/>
      <c r="J41" s="476"/>
      <c r="K41" s="479"/>
      <c r="L41" s="522"/>
    </row>
    <row r="42" spans="1:12" s="484" customFormat="1" ht="13.5" customHeight="1" x14ac:dyDescent="0.2">
      <c r="A42" s="1508"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390</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58" t="s">
        <v>391</v>
      </c>
      <c r="B44" s="2259"/>
      <c r="C44" s="1722">
        <f>SUM(C24:C43)</f>
        <v>0</v>
      </c>
      <c r="D44" s="1722">
        <f t="shared" ref="D44:K44" si="6">SUM(D24:D43)</f>
        <v>0</v>
      </c>
      <c r="E44" s="1722">
        <f t="shared" si="6"/>
        <v>299835</v>
      </c>
      <c r="F44" s="1722">
        <f t="shared" si="6"/>
        <v>0</v>
      </c>
      <c r="G44" s="1722">
        <f t="shared" si="6"/>
        <v>0</v>
      </c>
      <c r="H44" s="1722">
        <f t="shared" si="6"/>
        <v>8322458</v>
      </c>
      <c r="I44" s="1722">
        <f t="shared" si="6"/>
        <v>0</v>
      </c>
      <c r="J44" s="1722">
        <f t="shared" si="6"/>
        <v>0</v>
      </c>
      <c r="K44" s="1722">
        <f t="shared" si="6"/>
        <v>0</v>
      </c>
      <c r="L44" s="522"/>
    </row>
    <row r="45" spans="1:12" ht="15.75" customHeight="1" thickTop="1" x14ac:dyDescent="0.2">
      <c r="A45" s="2252" t="s">
        <v>110</v>
      </c>
      <c r="B45" s="2253"/>
      <c r="C45" s="526"/>
      <c r="D45" s="526"/>
      <c r="E45" s="526"/>
      <c r="F45" s="526"/>
      <c r="G45" s="526"/>
      <c r="H45" s="526"/>
      <c r="I45" s="526"/>
      <c r="J45" s="526"/>
      <c r="K45" s="526"/>
      <c r="L45" s="347"/>
    </row>
    <row r="46" spans="1:12" s="484" customFormat="1" ht="15.75" customHeight="1" x14ac:dyDescent="0.2">
      <c r="A46" s="2260" t="s">
        <v>111</v>
      </c>
      <c r="B46" s="2261"/>
      <c r="C46" s="476"/>
      <c r="D46" s="476"/>
      <c r="E46" s="476"/>
      <c r="F46" s="476"/>
      <c r="G46" s="476"/>
      <c r="H46" s="476"/>
      <c r="I46" s="479"/>
      <c r="J46" s="476"/>
      <c r="K46" s="476"/>
      <c r="L46" s="527"/>
    </row>
    <row r="47" spans="1:12" s="484" customFormat="1" ht="15" x14ac:dyDescent="0.2">
      <c r="A47" s="1509" t="s">
        <v>1757</v>
      </c>
      <c r="B47" s="482">
        <v>8110</v>
      </c>
      <c r="C47" s="476"/>
      <c r="D47" s="476"/>
      <c r="E47" s="476"/>
      <c r="F47" s="476"/>
      <c r="G47" s="476"/>
      <c r="H47" s="476"/>
      <c r="I47" s="1762">
        <f>SUM(C24,C25:H25,J25:K25)</f>
        <v>0</v>
      </c>
      <c r="J47" s="476"/>
      <c r="K47" s="476"/>
      <c r="L47" s="527"/>
    </row>
    <row r="48" spans="1:12" s="484" customFormat="1" ht="15" x14ac:dyDescent="0.2">
      <c r="A48" s="1509" t="s">
        <v>1758</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1464</v>
      </c>
      <c r="B50" s="482">
        <v>8140</v>
      </c>
      <c r="C50" s="465">
        <v>0</v>
      </c>
      <c r="D50" s="467">
        <v>0</v>
      </c>
      <c r="E50" s="467">
        <v>0</v>
      </c>
      <c r="F50" s="467">
        <v>0</v>
      </c>
      <c r="G50" s="467">
        <v>0</v>
      </c>
      <c r="H50" s="467">
        <v>0</v>
      </c>
      <c r="I50" s="476"/>
      <c r="J50" s="467">
        <v>0</v>
      </c>
      <c r="K50" s="476"/>
      <c r="L50" s="522"/>
    </row>
    <row r="51" spans="1:12" s="484" customFormat="1" x14ac:dyDescent="0.2">
      <c r="A51" s="1509" t="s">
        <v>311</v>
      </c>
      <c r="B51" s="482">
        <v>8150</v>
      </c>
      <c r="C51" s="475"/>
      <c r="D51" s="475"/>
      <c r="E51" s="475"/>
      <c r="F51" s="475"/>
      <c r="G51" s="475"/>
      <c r="H51" s="1762">
        <f>SUM(D29)</f>
        <v>0</v>
      </c>
      <c r="I51" s="476"/>
      <c r="J51" s="475"/>
      <c r="K51" s="479"/>
      <c r="L51" s="522"/>
    </row>
    <row r="52" spans="1:12" s="484" customFormat="1" ht="26.25" x14ac:dyDescent="0.2">
      <c r="A52" s="1509" t="s">
        <v>1895</v>
      </c>
      <c r="B52" s="482">
        <v>8160</v>
      </c>
      <c r="C52" s="476"/>
      <c r="D52" s="476"/>
      <c r="E52" s="476"/>
      <c r="F52" s="476"/>
      <c r="G52" s="476"/>
      <c r="H52" s="476"/>
      <c r="I52" s="476"/>
      <c r="J52" s="476"/>
      <c r="K52" s="1762">
        <f>D30</f>
        <v>0</v>
      </c>
      <c r="L52" s="522"/>
    </row>
    <row r="53" spans="1:12" s="484" customFormat="1" ht="26.25" x14ac:dyDescent="0.2">
      <c r="A53" s="1509" t="s">
        <v>1894</v>
      </c>
      <c r="B53" s="482">
        <v>8170</v>
      </c>
      <c r="C53" s="479"/>
      <c r="D53" s="479"/>
      <c r="E53" s="476"/>
      <c r="F53" s="476"/>
      <c r="G53" s="476"/>
      <c r="H53" s="479"/>
      <c r="I53" s="476"/>
      <c r="J53" s="476"/>
      <c r="K53" s="1762">
        <f>E31</f>
        <v>0</v>
      </c>
      <c r="L53" s="522"/>
    </row>
    <row r="54" spans="1:12" s="484" customFormat="1" ht="13.5" thickBot="1" x14ac:dyDescent="0.25">
      <c r="A54" s="1509" t="s">
        <v>715</v>
      </c>
      <c r="B54" s="482">
        <v>8410</v>
      </c>
      <c r="C54" s="528">
        <v>0</v>
      </c>
      <c r="D54" s="528">
        <v>0</v>
      </c>
      <c r="E54" s="476"/>
      <c r="F54" s="476"/>
      <c r="G54" s="476"/>
      <c r="H54" s="528">
        <v>0</v>
      </c>
      <c r="I54" s="476"/>
      <c r="J54" s="476"/>
      <c r="K54" s="475"/>
      <c r="L54" s="522"/>
    </row>
    <row r="55" spans="1:12" s="484" customFormat="1" ht="14.25" thickTop="1" thickBot="1" x14ac:dyDescent="0.25">
      <c r="A55" s="1510" t="s">
        <v>716</v>
      </c>
      <c r="B55" s="482">
        <v>8420</v>
      </c>
      <c r="C55" s="528">
        <v>0</v>
      </c>
      <c r="D55" s="529">
        <v>0</v>
      </c>
      <c r="E55" s="476"/>
      <c r="F55" s="476"/>
      <c r="G55" s="476"/>
      <c r="H55" s="528">
        <v>0</v>
      </c>
      <c r="I55" s="476"/>
      <c r="J55" s="476"/>
      <c r="K55" s="476"/>
      <c r="L55" s="522"/>
    </row>
    <row r="56" spans="1:12" s="484" customFormat="1" ht="14.25" thickTop="1" thickBot="1" x14ac:dyDescent="0.25">
      <c r="A56" s="1509" t="s">
        <v>601</v>
      </c>
      <c r="B56" s="482">
        <v>8430</v>
      </c>
      <c r="C56" s="528">
        <v>0</v>
      </c>
      <c r="D56" s="529">
        <v>0</v>
      </c>
      <c r="E56" s="476"/>
      <c r="F56" s="476"/>
      <c r="G56" s="476"/>
      <c r="H56" s="528">
        <v>0</v>
      </c>
      <c r="I56" s="476"/>
      <c r="J56" s="476"/>
      <c r="K56" s="476"/>
      <c r="L56" s="522"/>
    </row>
    <row r="57" spans="1:12" s="484" customFormat="1" ht="14.25" thickTop="1" thickBot="1" x14ac:dyDescent="0.25">
      <c r="A57" s="1510" t="s">
        <v>598</v>
      </c>
      <c r="B57" s="482">
        <v>8440</v>
      </c>
      <c r="C57" s="528">
        <v>0</v>
      </c>
      <c r="D57" s="529">
        <v>0</v>
      </c>
      <c r="E57" s="476"/>
      <c r="F57" s="476"/>
      <c r="G57" s="476"/>
      <c r="H57" s="528">
        <v>0</v>
      </c>
      <c r="I57" s="476"/>
      <c r="J57" s="476"/>
      <c r="K57" s="476"/>
      <c r="L57" s="522"/>
    </row>
    <row r="58" spans="1:12" s="484" customFormat="1" ht="14.25" thickTop="1" thickBot="1" x14ac:dyDescent="0.25">
      <c r="A58" s="1509" t="s">
        <v>599</v>
      </c>
      <c r="B58" s="482">
        <v>8510</v>
      </c>
      <c r="C58" s="528">
        <v>0</v>
      </c>
      <c r="D58" s="529">
        <v>0</v>
      </c>
      <c r="E58" s="476"/>
      <c r="F58" s="476"/>
      <c r="G58" s="476"/>
      <c r="H58" s="528">
        <v>0</v>
      </c>
      <c r="I58" s="476"/>
      <c r="J58" s="476"/>
      <c r="K58" s="476"/>
      <c r="L58" s="522"/>
    </row>
    <row r="59" spans="1:12" s="484" customFormat="1" ht="14.25" thickTop="1" thickBot="1" x14ac:dyDescent="0.25">
      <c r="A59" s="1511" t="s">
        <v>717</v>
      </c>
      <c r="B59" s="482">
        <v>8520</v>
      </c>
      <c r="C59" s="528">
        <v>0</v>
      </c>
      <c r="D59" s="529">
        <v>0</v>
      </c>
      <c r="E59" s="476"/>
      <c r="F59" s="476"/>
      <c r="G59" s="476"/>
      <c r="H59" s="528">
        <v>0</v>
      </c>
      <c r="I59" s="476"/>
      <c r="J59" s="476"/>
      <c r="K59" s="476"/>
      <c r="L59" s="522"/>
    </row>
    <row r="60" spans="1:12" s="484" customFormat="1" ht="14.25" thickTop="1" thickBot="1" x14ac:dyDescent="0.25">
      <c r="A60" s="1509" t="s">
        <v>600</v>
      </c>
      <c r="B60" s="482">
        <v>8530</v>
      </c>
      <c r="C60" s="528">
        <v>0</v>
      </c>
      <c r="D60" s="529">
        <v>0</v>
      </c>
      <c r="E60" s="476"/>
      <c r="F60" s="476"/>
      <c r="G60" s="476"/>
      <c r="H60" s="528">
        <v>0</v>
      </c>
      <c r="I60" s="476"/>
      <c r="J60" s="476"/>
      <c r="K60" s="476"/>
      <c r="L60" s="522"/>
    </row>
    <row r="61" spans="1:12" s="484" customFormat="1" ht="14.25" thickTop="1" thickBot="1" x14ac:dyDescent="0.25">
      <c r="A61" s="1510" t="s">
        <v>766</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767</v>
      </c>
      <c r="B62" s="482">
        <v>8610</v>
      </c>
      <c r="C62" s="528">
        <v>0</v>
      </c>
      <c r="D62" s="529">
        <v>0</v>
      </c>
      <c r="E62" s="476"/>
      <c r="F62" s="476"/>
      <c r="G62" s="476"/>
      <c r="H62" s="476"/>
      <c r="I62" s="476"/>
      <c r="J62" s="476"/>
      <c r="K62" s="476"/>
      <c r="L62" s="522"/>
    </row>
    <row r="63" spans="1:12" s="484" customFormat="1" ht="14.25" thickTop="1" thickBot="1" x14ac:dyDescent="0.25">
      <c r="A63" s="1510" t="s">
        <v>718</v>
      </c>
      <c r="B63" s="482">
        <v>8620</v>
      </c>
      <c r="C63" s="528">
        <v>0</v>
      </c>
      <c r="D63" s="529">
        <v>0</v>
      </c>
      <c r="E63" s="476"/>
      <c r="F63" s="476"/>
      <c r="G63" s="476"/>
      <c r="H63" s="476"/>
      <c r="I63" s="476"/>
      <c r="J63" s="476"/>
      <c r="K63" s="476"/>
      <c r="L63" s="522"/>
    </row>
    <row r="64" spans="1:12" s="484" customFormat="1" ht="13.5" customHeight="1" thickTop="1" thickBot="1" x14ac:dyDescent="0.25">
      <c r="A64" s="1509" t="s">
        <v>768</v>
      </c>
      <c r="B64" s="482">
        <v>8630</v>
      </c>
      <c r="C64" s="528">
        <v>0</v>
      </c>
      <c r="D64" s="529">
        <v>0</v>
      </c>
      <c r="E64" s="476"/>
      <c r="F64" s="476"/>
      <c r="G64" s="476"/>
      <c r="H64" s="476"/>
      <c r="I64" s="476"/>
      <c r="J64" s="476"/>
      <c r="K64" s="476"/>
      <c r="L64" s="522"/>
    </row>
    <row r="65" spans="1:12" s="484" customFormat="1" ht="14.25" thickTop="1" thickBot="1" x14ac:dyDescent="0.25">
      <c r="A65" s="1510" t="s">
        <v>769</v>
      </c>
      <c r="B65" s="482">
        <v>8640</v>
      </c>
      <c r="C65" s="528">
        <v>0</v>
      </c>
      <c r="D65" s="529">
        <v>0</v>
      </c>
      <c r="E65" s="476"/>
      <c r="F65" s="476"/>
      <c r="G65" s="476"/>
      <c r="H65" s="476"/>
      <c r="I65" s="476"/>
      <c r="J65" s="476"/>
      <c r="K65" s="476"/>
      <c r="L65" s="522"/>
    </row>
    <row r="66" spans="1:12" s="484" customFormat="1" ht="14.25" thickTop="1" thickBot="1" x14ac:dyDescent="0.25">
      <c r="A66" s="1509" t="s">
        <v>770</v>
      </c>
      <c r="B66" s="482">
        <v>8710</v>
      </c>
      <c r="C66" s="528">
        <v>0</v>
      </c>
      <c r="D66" s="529">
        <v>0</v>
      </c>
      <c r="E66" s="476"/>
      <c r="F66" s="476"/>
      <c r="G66" s="476"/>
      <c r="H66" s="476"/>
      <c r="I66" s="476"/>
      <c r="J66" s="476"/>
      <c r="K66" s="476"/>
      <c r="L66" s="522"/>
    </row>
    <row r="67" spans="1:12" s="484" customFormat="1" ht="14.25" thickTop="1" thickBot="1" x14ac:dyDescent="0.25">
      <c r="A67" s="1510" t="s">
        <v>719</v>
      </c>
      <c r="B67" s="482">
        <v>8720</v>
      </c>
      <c r="C67" s="528">
        <v>0</v>
      </c>
      <c r="D67" s="529">
        <v>0</v>
      </c>
      <c r="E67" s="476"/>
      <c r="F67" s="476"/>
      <c r="G67" s="476"/>
      <c r="H67" s="476"/>
      <c r="I67" s="476"/>
      <c r="J67" s="476"/>
      <c r="K67" s="476"/>
      <c r="L67" s="522"/>
    </row>
    <row r="68" spans="1:12" s="484" customFormat="1" ht="14.25" thickTop="1" thickBot="1" x14ac:dyDescent="0.25">
      <c r="A68" s="1511" t="s">
        <v>771</v>
      </c>
      <c r="B68" s="482">
        <v>8730</v>
      </c>
      <c r="C68" s="528">
        <v>0</v>
      </c>
      <c r="D68" s="529">
        <v>0</v>
      </c>
      <c r="E68" s="476"/>
      <c r="F68" s="476"/>
      <c r="G68" s="476"/>
      <c r="H68" s="476"/>
      <c r="I68" s="476"/>
      <c r="J68" s="476"/>
      <c r="K68" s="476"/>
      <c r="L68" s="522"/>
    </row>
    <row r="69" spans="1:12" s="484" customFormat="1" ht="14.25" thickTop="1" thickBot="1" x14ac:dyDescent="0.25">
      <c r="A69" s="1510" t="s">
        <v>772</v>
      </c>
      <c r="B69" s="482">
        <v>8740</v>
      </c>
      <c r="C69" s="528">
        <v>0</v>
      </c>
      <c r="D69" s="529">
        <v>0</v>
      </c>
      <c r="E69" s="476"/>
      <c r="F69" s="476"/>
      <c r="G69" s="476"/>
      <c r="H69" s="476"/>
      <c r="I69" s="476"/>
      <c r="J69" s="476"/>
      <c r="K69" s="476"/>
      <c r="L69" s="522"/>
    </row>
    <row r="70" spans="1:12" s="484" customFormat="1" ht="14.25" thickTop="1" thickBot="1" x14ac:dyDescent="0.25">
      <c r="A70" s="1509" t="s">
        <v>773</v>
      </c>
      <c r="B70" s="482">
        <v>8810</v>
      </c>
      <c r="C70" s="528">
        <v>0</v>
      </c>
      <c r="D70" s="529">
        <v>0</v>
      </c>
      <c r="E70" s="476"/>
      <c r="F70" s="476"/>
      <c r="G70" s="476"/>
      <c r="H70" s="476"/>
      <c r="I70" s="476"/>
      <c r="J70" s="476"/>
      <c r="K70" s="476"/>
      <c r="L70" s="522"/>
    </row>
    <row r="71" spans="1:12" s="484" customFormat="1" ht="14.25" thickTop="1" thickBot="1" x14ac:dyDescent="0.25">
      <c r="A71" s="1509" t="s">
        <v>777</v>
      </c>
      <c r="B71" s="482">
        <v>8820</v>
      </c>
      <c r="C71" s="528">
        <v>0</v>
      </c>
      <c r="D71" s="529">
        <v>0</v>
      </c>
      <c r="E71" s="476"/>
      <c r="F71" s="476"/>
      <c r="G71" s="476"/>
      <c r="H71" s="476"/>
      <c r="I71" s="476"/>
      <c r="J71" s="476"/>
      <c r="K71" s="476"/>
      <c r="L71" s="522"/>
    </row>
    <row r="72" spans="1:12" s="484" customFormat="1" ht="14.25" thickTop="1" thickBot="1" x14ac:dyDescent="0.25">
      <c r="A72" s="1509" t="s">
        <v>774</v>
      </c>
      <c r="B72" s="482">
        <v>8830</v>
      </c>
      <c r="C72" s="528">
        <v>0</v>
      </c>
      <c r="D72" s="529">
        <v>0</v>
      </c>
      <c r="E72" s="476"/>
      <c r="F72" s="476"/>
      <c r="G72" s="476"/>
      <c r="H72" s="476"/>
      <c r="I72" s="476"/>
      <c r="J72" s="476"/>
      <c r="K72" s="476"/>
      <c r="L72" s="522"/>
    </row>
    <row r="73" spans="1:12" s="484" customFormat="1" ht="14.25" thickTop="1" thickBot="1" x14ac:dyDescent="0.25">
      <c r="A73" s="1509" t="s">
        <v>775</v>
      </c>
      <c r="B73" s="482">
        <v>8840</v>
      </c>
      <c r="C73" s="528">
        <v>0</v>
      </c>
      <c r="D73" s="529">
        <v>0</v>
      </c>
      <c r="E73" s="476"/>
      <c r="F73" s="476"/>
      <c r="G73" s="476"/>
      <c r="H73" s="476"/>
      <c r="I73" s="476"/>
      <c r="J73" s="476"/>
      <c r="K73" s="479"/>
      <c r="L73" s="522"/>
    </row>
    <row r="74" spans="1:12" s="484" customFormat="1" ht="14.25" thickTop="1" thickBot="1" x14ac:dyDescent="0.25">
      <c r="A74" s="1509"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34" t="s">
        <v>459</v>
      </c>
      <c r="B76" s="2235"/>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236" t="s">
        <v>1238</v>
      </c>
      <c r="B77" s="2237"/>
      <c r="C77" s="1722">
        <f t="shared" ref="C77:K77" si="8">C44-C76</f>
        <v>0</v>
      </c>
      <c r="D77" s="1722">
        <f t="shared" si="8"/>
        <v>0</v>
      </c>
      <c r="E77" s="1722">
        <f t="shared" si="8"/>
        <v>299835</v>
      </c>
      <c r="F77" s="1722">
        <f t="shared" si="8"/>
        <v>0</v>
      </c>
      <c r="G77" s="1722">
        <f t="shared" si="8"/>
        <v>0</v>
      </c>
      <c r="H77" s="1722">
        <f t="shared" si="8"/>
        <v>8322458</v>
      </c>
      <c r="I77" s="1722">
        <f t="shared" si="8"/>
        <v>0</v>
      </c>
      <c r="J77" s="1722">
        <f t="shared" si="8"/>
        <v>0</v>
      </c>
      <c r="K77" s="1722">
        <f t="shared" si="8"/>
        <v>0</v>
      </c>
      <c r="L77" s="347"/>
    </row>
    <row r="78" spans="1:12" ht="21.75" customHeight="1" thickTop="1" thickBot="1" x14ac:dyDescent="0.25">
      <c r="A78" s="2240" t="s">
        <v>617</v>
      </c>
      <c r="B78" s="2241"/>
      <c r="C78" s="1721">
        <f t="shared" ref="C78:K78" si="9">C20+C77</f>
        <v>2996846</v>
      </c>
      <c r="D78" s="1721">
        <f t="shared" si="9"/>
        <v>688538</v>
      </c>
      <c r="E78" s="1721">
        <f t="shared" si="9"/>
        <v>903999</v>
      </c>
      <c r="F78" s="1721">
        <f t="shared" si="9"/>
        <v>1305717</v>
      </c>
      <c r="G78" s="1721">
        <f t="shared" si="9"/>
        <v>815702</v>
      </c>
      <c r="H78" s="1721">
        <f t="shared" si="9"/>
        <v>7771337</v>
      </c>
      <c r="I78" s="1721">
        <f t="shared" si="9"/>
        <v>465514</v>
      </c>
      <c r="J78" s="1721">
        <f t="shared" si="9"/>
        <v>753142</v>
      </c>
      <c r="K78" s="1721">
        <f t="shared" si="9"/>
        <v>354451</v>
      </c>
      <c r="L78" s="531"/>
    </row>
    <row r="79" spans="1:12" ht="13.5" thickTop="1" x14ac:dyDescent="0.2">
      <c r="A79" s="1513" t="s">
        <v>2068</v>
      </c>
      <c r="B79" s="532"/>
      <c r="C79" s="467">
        <v>32031363</v>
      </c>
      <c r="D79" s="467">
        <v>3395702</v>
      </c>
      <c r="E79" s="467">
        <v>2729235</v>
      </c>
      <c r="F79" s="467">
        <v>4818675</v>
      </c>
      <c r="G79" s="467">
        <v>2588445</v>
      </c>
      <c r="H79" s="467">
        <v>270007</v>
      </c>
      <c r="I79" s="467">
        <v>1200112</v>
      </c>
      <c r="J79" s="467">
        <v>1405987</v>
      </c>
      <c r="K79" s="467">
        <v>449526</v>
      </c>
      <c r="L79" s="347"/>
    </row>
    <row r="80" spans="1:12" x14ac:dyDescent="0.2">
      <c r="A80" s="2246" t="s">
        <v>1893</v>
      </c>
      <c r="B80" s="2247"/>
      <c r="C80" s="467">
        <v>0</v>
      </c>
      <c r="D80" s="467">
        <v>0</v>
      </c>
      <c r="E80" s="467">
        <v>0</v>
      </c>
      <c r="F80" s="467">
        <v>0</v>
      </c>
      <c r="G80" s="467">
        <v>0</v>
      </c>
      <c r="H80" s="467">
        <v>0</v>
      </c>
      <c r="I80" s="467">
        <v>0</v>
      </c>
      <c r="J80" s="467">
        <v>0</v>
      </c>
      <c r="K80" s="467">
        <v>0</v>
      </c>
      <c r="L80" s="347"/>
    </row>
    <row r="81" spans="1:12" ht="13.5" thickBot="1" x14ac:dyDescent="0.25">
      <c r="A81" s="2238" t="s">
        <v>2069</v>
      </c>
      <c r="B81" s="2239"/>
      <c r="C81" s="1707">
        <f>(SUM(C78:C80))</f>
        <v>35028209</v>
      </c>
      <c r="D81" s="1707">
        <f>SUM(D78:D80)</f>
        <v>4084240</v>
      </c>
      <c r="E81" s="1707">
        <f t="shared" ref="E81:K81" si="10">SUM(E78:E80)</f>
        <v>3633234</v>
      </c>
      <c r="F81" s="1707">
        <f t="shared" si="10"/>
        <v>6124392</v>
      </c>
      <c r="G81" s="1707">
        <f t="shared" si="10"/>
        <v>3404147</v>
      </c>
      <c r="H81" s="1707">
        <f t="shared" si="10"/>
        <v>8041344</v>
      </c>
      <c r="I81" s="1707">
        <f t="shared" si="10"/>
        <v>1665626</v>
      </c>
      <c r="J81" s="1707">
        <f t="shared" si="10"/>
        <v>2159129</v>
      </c>
      <c r="K81" s="1707">
        <f t="shared" si="10"/>
        <v>803977</v>
      </c>
      <c r="L81" s="347"/>
    </row>
    <row r="82" spans="1:12" ht="0.75" customHeight="1" thickTop="1" thickBot="1" x14ac:dyDescent="0.25">
      <c r="A82" s="534" t="s">
        <v>360</v>
      </c>
      <c r="B82" s="535"/>
      <c r="C82" s="536">
        <f>(C81-C79)</f>
        <v>2996846</v>
      </c>
      <c r="D82" s="536">
        <f t="shared" ref="D82:K82" si="11">(D81-D79)</f>
        <v>688538</v>
      </c>
      <c r="E82" s="536">
        <f t="shared" si="11"/>
        <v>903999</v>
      </c>
      <c r="F82" s="536">
        <f t="shared" si="11"/>
        <v>1305717</v>
      </c>
      <c r="G82" s="536">
        <f t="shared" si="11"/>
        <v>815702</v>
      </c>
      <c r="H82" s="536">
        <f t="shared" si="11"/>
        <v>7771337</v>
      </c>
      <c r="I82" s="536">
        <f t="shared" si="11"/>
        <v>465514</v>
      </c>
      <c r="J82" s="536">
        <f t="shared" si="11"/>
        <v>753142</v>
      </c>
      <c r="K82" s="536">
        <f t="shared" si="11"/>
        <v>354451</v>
      </c>
    </row>
    <row r="83" spans="1:12" ht="14.25" hidden="1" thickTop="1" thickBot="1" x14ac:dyDescent="0.25">
      <c r="A83" s="537" t="s">
        <v>361</v>
      </c>
      <c r="B83" s="464"/>
      <c r="C83" s="538">
        <f>C82/C81</f>
        <v>8.5555216368613074E-2</v>
      </c>
      <c r="D83" s="538">
        <f t="shared" ref="D83:K83" si="12">D82/D81</f>
        <v>0.16858411846512447</v>
      </c>
      <c r="E83" s="538">
        <f t="shared" si="12"/>
        <v>0.24881386665433605</v>
      </c>
      <c r="F83" s="538">
        <f t="shared" si="12"/>
        <v>0.21319944902285812</v>
      </c>
      <c r="G83" s="538">
        <f t="shared" si="12"/>
        <v>0.23962008691164041</v>
      </c>
      <c r="H83" s="538">
        <f t="shared" si="12"/>
        <v>0.96642265273068784</v>
      </c>
      <c r="I83" s="538">
        <f t="shared" si="12"/>
        <v>0.2794829091284598</v>
      </c>
      <c r="J83" s="538">
        <f t="shared" si="12"/>
        <v>0.34881750928267835</v>
      </c>
      <c r="K83" s="538">
        <f t="shared" si="12"/>
        <v>0.44087206474812091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if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D23" sqref="AD23"/>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42" t="s">
        <v>1900</v>
      </c>
      <c r="B1" s="452"/>
      <c r="C1" s="453" t="s">
        <v>444</v>
      </c>
      <c r="D1" s="453" t="s">
        <v>445</v>
      </c>
      <c r="E1" s="453" t="s">
        <v>446</v>
      </c>
      <c r="F1" s="453" t="s">
        <v>447</v>
      </c>
      <c r="G1" s="453" t="s">
        <v>448</v>
      </c>
      <c r="H1" s="453" t="s">
        <v>449</v>
      </c>
      <c r="I1" s="453" t="s">
        <v>450</v>
      </c>
      <c r="J1" s="453" t="s">
        <v>451</v>
      </c>
      <c r="K1" s="453" t="s">
        <v>779</v>
      </c>
    </row>
    <row r="2" spans="1:12" ht="36" x14ac:dyDescent="0.2">
      <c r="A2" s="2243"/>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396</v>
      </c>
      <c r="B4" s="1610">
        <v>1100</v>
      </c>
      <c r="C4" s="541"/>
      <c r="D4" s="541"/>
      <c r="E4" s="541"/>
      <c r="F4" s="542"/>
      <c r="G4" s="543"/>
      <c r="H4" s="544"/>
      <c r="I4" s="544"/>
      <c r="J4" s="544"/>
      <c r="K4" s="544"/>
    </row>
    <row r="5" spans="1:12" ht="15" x14ac:dyDescent="0.2">
      <c r="A5" s="491" t="s">
        <v>1759</v>
      </c>
      <c r="B5" s="545"/>
      <c r="C5" s="480">
        <v>24837503</v>
      </c>
      <c r="D5" s="480">
        <v>4369560</v>
      </c>
      <c r="E5" s="480">
        <v>5647998</v>
      </c>
      <c r="F5" s="546">
        <v>1839815</v>
      </c>
      <c r="G5" s="466">
        <v>901882</v>
      </c>
      <c r="H5" s="466">
        <v>0</v>
      </c>
      <c r="I5" s="466">
        <v>459954</v>
      </c>
      <c r="J5" s="466">
        <v>1553692</v>
      </c>
      <c r="K5" s="466">
        <v>459954</v>
      </c>
    </row>
    <row r="6" spans="1:12" ht="15" x14ac:dyDescent="0.2">
      <c r="A6" s="463" t="s">
        <v>1760</v>
      </c>
      <c r="B6" s="470">
        <v>1130</v>
      </c>
      <c r="C6" s="466">
        <v>459953</v>
      </c>
      <c r="D6" s="466">
        <v>0</v>
      </c>
      <c r="E6" s="475"/>
      <c r="F6" s="475"/>
      <c r="G6" s="468"/>
      <c r="H6" s="468"/>
      <c r="I6" s="468"/>
      <c r="J6" s="468"/>
      <c r="K6" s="468"/>
    </row>
    <row r="7" spans="1:12" x14ac:dyDescent="0.2">
      <c r="A7" s="463" t="s">
        <v>112</v>
      </c>
      <c r="B7" s="547">
        <v>1140</v>
      </c>
      <c r="C7" s="466">
        <v>367963</v>
      </c>
      <c r="D7" s="466">
        <v>0</v>
      </c>
      <c r="E7" s="468"/>
      <c r="F7" s="467">
        <v>0</v>
      </c>
      <c r="G7" s="467">
        <v>0</v>
      </c>
      <c r="H7" s="467">
        <v>0</v>
      </c>
      <c r="I7" s="468"/>
      <c r="J7" s="468"/>
      <c r="K7" s="468"/>
    </row>
    <row r="8" spans="1:12" x14ac:dyDescent="0.2">
      <c r="A8" s="463" t="s">
        <v>432</v>
      </c>
      <c r="B8" s="470">
        <v>1150</v>
      </c>
      <c r="C8" s="475"/>
      <c r="D8" s="475"/>
      <c r="E8" s="476"/>
      <c r="F8" s="476"/>
      <c r="G8" s="480">
        <v>1092600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25665419</v>
      </c>
      <c r="D12" s="1726">
        <f t="shared" si="0"/>
        <v>4369560</v>
      </c>
      <c r="E12" s="1726">
        <f t="shared" si="0"/>
        <v>5647998</v>
      </c>
      <c r="F12" s="1726">
        <f t="shared" si="0"/>
        <v>1839815</v>
      </c>
      <c r="G12" s="1726">
        <f t="shared" si="0"/>
        <v>1994482</v>
      </c>
      <c r="H12" s="1726">
        <f t="shared" si="0"/>
        <v>0</v>
      </c>
      <c r="I12" s="1726">
        <f t="shared" si="0"/>
        <v>459954</v>
      </c>
      <c r="J12" s="1726">
        <f t="shared" si="0"/>
        <v>1553692</v>
      </c>
      <c r="K12" s="1707">
        <f t="shared" si="0"/>
        <v>459954</v>
      </c>
    </row>
    <row r="13" spans="1:12" ht="15.75" customHeight="1" thickTop="1" x14ac:dyDescent="0.2">
      <c r="A13" s="1611" t="s">
        <v>470</v>
      </c>
      <c r="B13" s="1612">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603552</v>
      </c>
      <c r="D16" s="466">
        <v>0</v>
      </c>
      <c r="E16" s="466">
        <v>0</v>
      </c>
      <c r="F16" s="466">
        <v>0</v>
      </c>
      <c r="G16" s="466">
        <v>91000</v>
      </c>
      <c r="H16" s="466">
        <v>0</v>
      </c>
      <c r="I16" s="466">
        <v>0</v>
      </c>
      <c r="J16" s="467">
        <v>0</v>
      </c>
      <c r="K16" s="466">
        <v>0</v>
      </c>
    </row>
    <row r="17" spans="1:11" ht="12.75" customHeight="1" x14ac:dyDescent="0.2">
      <c r="A17" s="463" t="s">
        <v>839</v>
      </c>
      <c r="B17" s="470">
        <v>1290</v>
      </c>
      <c r="C17" s="549">
        <v>0</v>
      </c>
      <c r="D17" s="466">
        <v>0</v>
      </c>
      <c r="E17" s="466">
        <v>0</v>
      </c>
      <c r="F17" s="466">
        <v>0</v>
      </c>
      <c r="G17" s="466">
        <v>0</v>
      </c>
      <c r="H17" s="466">
        <v>0</v>
      </c>
      <c r="I17" s="466">
        <v>0</v>
      </c>
      <c r="J17" s="467">
        <v>0</v>
      </c>
      <c r="K17" s="466">
        <v>0</v>
      </c>
    </row>
    <row r="18" spans="1:11" ht="12.75" customHeight="1" thickBot="1" x14ac:dyDescent="0.25">
      <c r="A18" s="1727" t="s">
        <v>557</v>
      </c>
      <c r="B18" s="1728"/>
      <c r="C18" s="1729">
        <f>SUM(C14:C17)</f>
        <v>603552</v>
      </c>
      <c r="D18" s="1729">
        <f t="shared" ref="D18:K18" si="1">SUM(D14:D17)</f>
        <v>0</v>
      </c>
      <c r="E18" s="1729">
        <f t="shared" si="1"/>
        <v>0</v>
      </c>
      <c r="F18" s="1729">
        <f t="shared" si="1"/>
        <v>0</v>
      </c>
      <c r="G18" s="1729">
        <f t="shared" si="1"/>
        <v>91000</v>
      </c>
      <c r="H18" s="1729">
        <f t="shared" si="1"/>
        <v>0</v>
      </c>
      <c r="I18" s="1729">
        <f t="shared" si="1"/>
        <v>0</v>
      </c>
      <c r="J18" s="1729">
        <f t="shared" si="1"/>
        <v>0</v>
      </c>
      <c r="K18" s="1730">
        <f t="shared" si="1"/>
        <v>0</v>
      </c>
    </row>
    <row r="19" spans="1:11" ht="15.75" customHeight="1" thickTop="1" x14ac:dyDescent="0.2">
      <c r="A19" s="1611" t="s">
        <v>471</v>
      </c>
      <c r="B19" s="1612">
        <v>1300</v>
      </c>
      <c r="C19" s="552"/>
      <c r="D19" s="552"/>
      <c r="E19" s="552"/>
      <c r="F19" s="552"/>
      <c r="G19" s="551"/>
      <c r="H19" s="552"/>
      <c r="I19" s="552"/>
      <c r="J19" s="552"/>
      <c r="K19" s="553"/>
    </row>
    <row r="20" spans="1:11" x14ac:dyDescent="0.2">
      <c r="A20" s="463" t="s">
        <v>1132</v>
      </c>
      <c r="B20" s="470">
        <v>1311</v>
      </c>
      <c r="C20" s="466">
        <v>4739</v>
      </c>
      <c r="D20" s="468"/>
      <c r="E20" s="468"/>
      <c r="F20" s="468"/>
      <c r="G20" s="468"/>
      <c r="H20" s="468"/>
      <c r="I20" s="468"/>
      <c r="J20" s="468"/>
      <c r="K20" s="468"/>
    </row>
    <row r="21" spans="1:11" ht="12.75" customHeight="1" x14ac:dyDescent="0.2">
      <c r="A21" s="463" t="s">
        <v>886</v>
      </c>
      <c r="B21" s="470">
        <v>1312</v>
      </c>
      <c r="C21" s="549">
        <v>0</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24290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0</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4" t="s">
        <v>614</v>
      </c>
      <c r="B39" s="554">
        <v>1354</v>
      </c>
      <c r="C39" s="487">
        <v>0</v>
      </c>
      <c r="D39" s="468"/>
      <c r="E39" s="468"/>
      <c r="F39" s="468"/>
      <c r="G39" s="468"/>
      <c r="H39" s="468"/>
      <c r="I39" s="468"/>
      <c r="J39" s="468"/>
      <c r="K39" s="468"/>
    </row>
    <row r="40" spans="1:11" ht="12.75" customHeight="1" thickBot="1" x14ac:dyDescent="0.25">
      <c r="A40" s="1727" t="s">
        <v>558</v>
      </c>
      <c r="B40" s="1728"/>
      <c r="C40" s="1707">
        <f>SUM(C20:C39)</f>
        <v>29029</v>
      </c>
      <c r="D40" s="468"/>
      <c r="E40" s="468"/>
      <c r="F40" s="468"/>
      <c r="G40" s="468"/>
      <c r="H40" s="468"/>
      <c r="I40" s="468"/>
      <c r="J40" s="468"/>
      <c r="K40" s="468"/>
    </row>
    <row r="41" spans="1:11" ht="15.75" customHeight="1" thickTop="1" x14ac:dyDescent="0.2">
      <c r="A41" s="1611" t="s">
        <v>291</v>
      </c>
      <c r="B41" s="1612">
        <v>1400</v>
      </c>
      <c r="C41" s="468"/>
      <c r="D41" s="468"/>
      <c r="E41" s="468"/>
      <c r="F41" s="519"/>
      <c r="G41" s="468"/>
      <c r="H41" s="468"/>
      <c r="I41" s="468"/>
      <c r="J41" s="468"/>
      <c r="K41" s="468"/>
    </row>
    <row r="42" spans="1:11" ht="12.75" customHeight="1" x14ac:dyDescent="0.2">
      <c r="A42" s="463" t="s">
        <v>1135</v>
      </c>
      <c r="B42" s="470">
        <v>1411</v>
      </c>
      <c r="C42" s="468"/>
      <c r="D42" s="468"/>
      <c r="E42" s="468"/>
      <c r="F42" s="480">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6600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1167</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1168</v>
      </c>
      <c r="B56" s="555">
        <v>1442</v>
      </c>
      <c r="C56" s="468"/>
      <c r="D56" s="468"/>
      <c r="E56" s="468"/>
      <c r="F56" s="466">
        <v>0</v>
      </c>
      <c r="G56" s="468"/>
      <c r="H56" s="468"/>
      <c r="I56" s="468"/>
      <c r="J56" s="468"/>
      <c r="K56" s="468"/>
    </row>
    <row r="57" spans="1:11" ht="12.75" customHeight="1" x14ac:dyDescent="0.2">
      <c r="A57" s="1515" t="s">
        <v>509</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932</v>
      </c>
      <c r="B59" s="555">
        <v>1451</v>
      </c>
      <c r="C59" s="468"/>
      <c r="D59" s="468"/>
      <c r="E59" s="468"/>
      <c r="F59" s="466">
        <v>0</v>
      </c>
      <c r="G59" s="468"/>
      <c r="H59" s="468"/>
      <c r="I59" s="468"/>
      <c r="J59" s="468"/>
      <c r="K59" s="468"/>
    </row>
    <row r="60" spans="1:11" ht="12.75" customHeight="1" x14ac:dyDescent="0.2">
      <c r="A60" s="1515"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6" t="s">
        <v>934</v>
      </c>
      <c r="B62" s="556">
        <v>1454</v>
      </c>
      <c r="C62" s="468"/>
      <c r="D62" s="468"/>
      <c r="E62" s="468"/>
      <c r="F62" s="467">
        <v>0</v>
      </c>
      <c r="G62" s="468"/>
      <c r="H62" s="468"/>
      <c r="I62" s="468"/>
      <c r="J62" s="468"/>
      <c r="K62" s="468"/>
    </row>
    <row r="63" spans="1:11" ht="12.75" customHeight="1" thickBot="1" x14ac:dyDescent="0.25">
      <c r="A63" s="1727" t="s">
        <v>505</v>
      </c>
      <c r="B63" s="1728"/>
      <c r="C63" s="468"/>
      <c r="D63" s="468"/>
      <c r="E63" s="468"/>
      <c r="F63" s="1707">
        <f>SUM(F42:F62)</f>
        <v>6600</v>
      </c>
      <c r="G63" s="468"/>
      <c r="H63" s="468"/>
      <c r="I63" s="468"/>
      <c r="J63" s="468"/>
      <c r="K63" s="468"/>
    </row>
    <row r="64" spans="1:11" ht="15.75" customHeight="1" thickTop="1" x14ac:dyDescent="0.2">
      <c r="A64" s="1611" t="s">
        <v>473</v>
      </c>
      <c r="B64" s="1612">
        <v>1500</v>
      </c>
      <c r="C64" s="468"/>
      <c r="D64" s="468"/>
      <c r="E64" s="468"/>
      <c r="F64" s="468"/>
      <c r="G64" s="468"/>
      <c r="H64" s="468"/>
      <c r="I64" s="468"/>
      <c r="J64" s="468"/>
      <c r="K64" s="468"/>
    </row>
    <row r="65" spans="1:11" ht="12.75" customHeight="1" x14ac:dyDescent="0.2">
      <c r="A65" s="463" t="s">
        <v>567</v>
      </c>
      <c r="B65" s="470">
        <v>1510</v>
      </c>
      <c r="C65" s="466">
        <v>285637</v>
      </c>
      <c r="D65" s="466">
        <v>20861</v>
      </c>
      <c r="E65" s="466">
        <v>20754</v>
      </c>
      <c r="F65" s="467">
        <v>32868</v>
      </c>
      <c r="G65" s="466">
        <v>21747</v>
      </c>
      <c r="H65" s="466">
        <v>3939</v>
      </c>
      <c r="I65" s="466">
        <v>5560</v>
      </c>
      <c r="J65" s="467">
        <v>9241</v>
      </c>
      <c r="K65" s="466">
        <v>2160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7" t="s">
        <v>506</v>
      </c>
      <c r="B67" s="1728"/>
      <c r="C67" s="1707">
        <f>SUM(C65:C66)</f>
        <v>285637</v>
      </c>
      <c r="D67" s="1707">
        <f t="shared" ref="D67:K67" si="2">SUM(D65:D66)</f>
        <v>20861</v>
      </c>
      <c r="E67" s="1707">
        <f t="shared" si="2"/>
        <v>20754</v>
      </c>
      <c r="F67" s="1707">
        <f t="shared" si="2"/>
        <v>32868</v>
      </c>
      <c r="G67" s="1707">
        <f t="shared" si="2"/>
        <v>21747</v>
      </c>
      <c r="H67" s="1707">
        <f t="shared" si="2"/>
        <v>3939</v>
      </c>
      <c r="I67" s="1707">
        <f t="shared" si="2"/>
        <v>5560</v>
      </c>
      <c r="J67" s="1707">
        <f t="shared" si="2"/>
        <v>9241</v>
      </c>
      <c r="K67" s="1707">
        <f t="shared" si="2"/>
        <v>2160</v>
      </c>
    </row>
    <row r="68" spans="1:11" ht="15.75" customHeight="1" thickTop="1" x14ac:dyDescent="0.2">
      <c r="A68" s="1611" t="s">
        <v>474</v>
      </c>
      <c r="B68" s="1613">
        <v>1600</v>
      </c>
      <c r="C68" s="551"/>
      <c r="D68" s="468"/>
      <c r="E68" s="468"/>
      <c r="F68" s="468"/>
      <c r="G68" s="468"/>
      <c r="H68" s="468"/>
      <c r="I68" s="468"/>
      <c r="J68" s="468"/>
      <c r="K68" s="468"/>
    </row>
    <row r="69" spans="1:11" ht="12.75" customHeight="1" x14ac:dyDescent="0.2">
      <c r="A69" s="463" t="s">
        <v>686</v>
      </c>
      <c r="B69" s="470">
        <v>1611</v>
      </c>
      <c r="C69" s="466">
        <v>603196</v>
      </c>
      <c r="D69" s="468"/>
      <c r="E69" s="468"/>
      <c r="F69" s="468"/>
      <c r="G69" s="468"/>
      <c r="H69" s="468"/>
      <c r="I69" s="468"/>
      <c r="J69" s="468"/>
      <c r="K69" s="468"/>
    </row>
    <row r="70" spans="1:11" ht="12.75" customHeight="1" x14ac:dyDescent="0.2">
      <c r="A70" s="463" t="s">
        <v>1053</v>
      </c>
      <c r="B70" s="470">
        <v>1612</v>
      </c>
      <c r="C70" s="549">
        <v>0</v>
      </c>
      <c r="D70" s="468"/>
      <c r="E70" s="468"/>
      <c r="F70" s="468"/>
      <c r="G70" s="468"/>
      <c r="H70" s="468"/>
      <c r="I70" s="468"/>
      <c r="J70" s="468"/>
      <c r="K70" s="468"/>
    </row>
    <row r="71" spans="1:11" ht="12.75" customHeight="1" x14ac:dyDescent="0.2">
      <c r="A71" s="463" t="s">
        <v>290</v>
      </c>
      <c r="B71" s="470">
        <v>1613</v>
      </c>
      <c r="C71" s="549">
        <v>420618</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31012</v>
      </c>
      <c r="D73" s="468"/>
      <c r="E73" s="468"/>
      <c r="F73" s="468"/>
      <c r="G73" s="468"/>
      <c r="H73" s="468"/>
      <c r="I73" s="468"/>
      <c r="J73" s="468"/>
      <c r="K73" s="468"/>
    </row>
    <row r="74" spans="1:11" ht="12.75" customHeight="1" x14ac:dyDescent="0.2">
      <c r="A74" s="463" t="s">
        <v>25</v>
      </c>
      <c r="B74" s="470">
        <v>1690</v>
      </c>
      <c r="C74" s="549">
        <v>9666</v>
      </c>
      <c r="D74" s="468"/>
      <c r="E74" s="468"/>
      <c r="F74" s="468"/>
      <c r="G74" s="468"/>
      <c r="H74" s="468"/>
      <c r="I74" s="468"/>
      <c r="J74" s="468"/>
      <c r="K74" s="468"/>
    </row>
    <row r="75" spans="1:11" ht="12.75" customHeight="1" thickBot="1" x14ac:dyDescent="0.25">
      <c r="A75" s="1727" t="s">
        <v>568</v>
      </c>
      <c r="B75" s="1728"/>
      <c r="C75" s="1707">
        <f>SUM(C69:C74)</f>
        <v>1064492</v>
      </c>
      <c r="D75" s="468"/>
      <c r="E75" s="468"/>
      <c r="F75" s="468"/>
      <c r="G75" s="468"/>
      <c r="H75" s="468"/>
      <c r="I75" s="468"/>
      <c r="J75" s="468"/>
      <c r="K75" s="468"/>
    </row>
    <row r="76" spans="1:11" ht="15.75" customHeight="1" thickTop="1" x14ac:dyDescent="0.2">
      <c r="A76" s="1611" t="s">
        <v>935</v>
      </c>
      <c r="B76" s="1613">
        <v>1700</v>
      </c>
      <c r="C76" s="551"/>
      <c r="D76" s="468"/>
      <c r="E76" s="468"/>
      <c r="F76" s="468"/>
      <c r="G76" s="468"/>
      <c r="H76" s="468"/>
      <c r="I76" s="468"/>
      <c r="J76" s="468"/>
      <c r="K76" s="468"/>
    </row>
    <row r="77" spans="1:11" ht="12.75" customHeight="1" x14ac:dyDescent="0.2">
      <c r="A77" s="463" t="s">
        <v>569</v>
      </c>
      <c r="B77" s="470">
        <v>1711</v>
      </c>
      <c r="C77" s="514">
        <v>46056</v>
      </c>
      <c r="D77" s="466">
        <v>21372</v>
      </c>
      <c r="E77" s="468"/>
      <c r="F77" s="468"/>
      <c r="G77" s="468"/>
      <c r="H77" s="468"/>
      <c r="I77" s="468"/>
      <c r="J77" s="468"/>
      <c r="K77" s="468"/>
    </row>
    <row r="78" spans="1:11" ht="12.75" customHeight="1" x14ac:dyDescent="0.2">
      <c r="A78" s="463" t="s">
        <v>78</v>
      </c>
      <c r="B78" s="470">
        <v>1719</v>
      </c>
      <c r="C78" s="549">
        <v>0</v>
      </c>
      <c r="D78" s="466">
        <v>84847</v>
      </c>
      <c r="E78" s="468"/>
      <c r="F78" s="468"/>
      <c r="G78" s="468"/>
      <c r="H78" s="468"/>
      <c r="I78" s="468"/>
      <c r="J78" s="468"/>
      <c r="K78" s="468"/>
    </row>
    <row r="79" spans="1:11" ht="12.75" customHeight="1" x14ac:dyDescent="0.2">
      <c r="A79" s="463" t="s">
        <v>570</v>
      </c>
      <c r="B79" s="470">
        <v>1720</v>
      </c>
      <c r="C79" s="549">
        <v>0</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214534</v>
      </c>
      <c r="D81" s="466">
        <v>0</v>
      </c>
      <c r="E81" s="468"/>
      <c r="F81" s="468"/>
      <c r="G81" s="468"/>
      <c r="H81" s="468"/>
      <c r="I81" s="468"/>
      <c r="J81" s="468"/>
      <c r="K81" s="468"/>
    </row>
    <row r="82" spans="1:11" ht="12.75" customHeight="1" thickBot="1" x14ac:dyDescent="0.25">
      <c r="A82" s="1727" t="s">
        <v>259</v>
      </c>
      <c r="B82" s="1728"/>
      <c r="C82" s="1726">
        <f>SUM(C77:C81)</f>
        <v>260590</v>
      </c>
      <c r="D82" s="1707">
        <f>SUM(D77:D81)</f>
        <v>106219</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572</v>
      </c>
      <c r="B84" s="470">
        <v>1811</v>
      </c>
      <c r="C84" s="466">
        <v>547505</v>
      </c>
      <c r="D84" s="468"/>
      <c r="E84" s="468"/>
      <c r="F84" s="468"/>
      <c r="G84" s="468"/>
      <c r="H84" s="468"/>
      <c r="I84" s="468"/>
      <c r="J84" s="468"/>
      <c r="K84" s="468"/>
    </row>
    <row r="85" spans="1:11" ht="12.75" customHeight="1" x14ac:dyDescent="0.2">
      <c r="A85" s="463" t="s">
        <v>573</v>
      </c>
      <c r="B85" s="470">
        <v>1812</v>
      </c>
      <c r="C85" s="549">
        <v>0</v>
      </c>
      <c r="D85" s="468"/>
      <c r="E85" s="468"/>
      <c r="F85" s="468"/>
      <c r="G85" s="468"/>
      <c r="H85" s="468"/>
      <c r="I85" s="468"/>
      <c r="J85" s="468"/>
      <c r="K85" s="468"/>
    </row>
    <row r="86" spans="1:11" ht="12.75" customHeight="1" x14ac:dyDescent="0.2">
      <c r="A86" s="463" t="s">
        <v>1055</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785</v>
      </c>
      <c r="B92" s="470">
        <v>1890</v>
      </c>
      <c r="C92" s="549">
        <v>0</v>
      </c>
      <c r="D92" s="468"/>
      <c r="E92" s="468"/>
      <c r="F92" s="468"/>
      <c r="G92" s="468"/>
      <c r="H92" s="468"/>
      <c r="I92" s="468"/>
      <c r="J92" s="468"/>
      <c r="K92" s="468"/>
    </row>
    <row r="93" spans="1:11" ht="12.75" customHeight="1" thickBot="1" x14ac:dyDescent="0.25">
      <c r="A93" s="1727" t="s">
        <v>261</v>
      </c>
      <c r="B93" s="1728"/>
      <c r="C93" s="1707">
        <f>SUM(C84:C92)</f>
        <v>547505</v>
      </c>
      <c r="D93" s="468"/>
      <c r="E93" s="468"/>
      <c r="F93" s="468"/>
      <c r="G93" s="468"/>
      <c r="H93" s="468"/>
      <c r="I93" s="468"/>
      <c r="J93" s="468"/>
      <c r="K93" s="468"/>
    </row>
    <row r="94" spans="1:11" ht="15.75" customHeight="1" thickTop="1" x14ac:dyDescent="0.2">
      <c r="A94" s="1611" t="s">
        <v>1198</v>
      </c>
      <c r="B94" s="1613">
        <v>1900</v>
      </c>
      <c r="C94" s="551"/>
      <c r="D94" s="519"/>
      <c r="E94" s="468"/>
      <c r="F94" s="468"/>
      <c r="G94" s="468"/>
      <c r="H94" s="468"/>
      <c r="I94" s="468"/>
      <c r="J94" s="468"/>
      <c r="K94" s="468"/>
    </row>
    <row r="95" spans="1:11" ht="12.75" customHeight="1" x14ac:dyDescent="0.2">
      <c r="A95" s="463" t="s">
        <v>1123</v>
      </c>
      <c r="B95" s="470">
        <v>1910</v>
      </c>
      <c r="C95" s="466">
        <v>0</v>
      </c>
      <c r="D95" s="549">
        <v>13075</v>
      </c>
      <c r="E95" s="519"/>
      <c r="F95" s="519"/>
      <c r="G95" s="519"/>
      <c r="H95" s="519"/>
      <c r="I95" s="519"/>
      <c r="J95" s="519"/>
      <c r="K95" s="519"/>
    </row>
    <row r="96" spans="1:11" ht="12.75" customHeight="1" x14ac:dyDescent="0.2">
      <c r="A96" s="463" t="s">
        <v>408</v>
      </c>
      <c r="B96" s="470">
        <v>1920</v>
      </c>
      <c r="C96" s="549">
        <v>0</v>
      </c>
      <c r="D96" s="549">
        <v>0</v>
      </c>
      <c r="E96" s="478">
        <v>0</v>
      </c>
      <c r="F96" s="477">
        <v>53</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53219</v>
      </c>
      <c r="D98" s="466">
        <v>0</v>
      </c>
      <c r="E98" s="510"/>
      <c r="F98" s="466">
        <v>23167</v>
      </c>
      <c r="G98" s="510"/>
      <c r="H98" s="510"/>
      <c r="I98" s="508"/>
      <c r="J98" s="510"/>
      <c r="K98" s="510"/>
    </row>
    <row r="99" spans="1:12" ht="12.75" customHeight="1" x14ac:dyDescent="0.2">
      <c r="A99" s="463" t="s">
        <v>874</v>
      </c>
      <c r="B99" s="470">
        <v>1950</v>
      </c>
      <c r="C99" s="487">
        <v>50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15125</v>
      </c>
      <c r="D101" s="524"/>
      <c r="E101" s="479"/>
      <c r="F101" s="524"/>
      <c r="G101" s="475"/>
      <c r="H101" s="524"/>
      <c r="I101" s="468"/>
      <c r="J101" s="475"/>
      <c r="K101" s="475"/>
    </row>
    <row r="102" spans="1:12" ht="12.75" customHeight="1" x14ac:dyDescent="0.2">
      <c r="A102" s="463" t="s">
        <v>265</v>
      </c>
      <c r="B102" s="470">
        <v>1980</v>
      </c>
      <c r="C102" s="487">
        <v>11281</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720000</v>
      </c>
      <c r="F103" s="468"/>
      <c r="G103" s="468"/>
      <c r="H103" s="487">
        <v>324714</v>
      </c>
      <c r="I103" s="468"/>
      <c r="J103" s="508"/>
      <c r="K103" s="508"/>
    </row>
    <row r="104" spans="1:12" ht="12.75" customHeight="1" x14ac:dyDescent="0.2">
      <c r="A104" s="463" t="s">
        <v>884</v>
      </c>
      <c r="B104" s="470">
        <v>1991</v>
      </c>
      <c r="C104" s="487">
        <v>600</v>
      </c>
      <c r="D104" s="466">
        <v>0</v>
      </c>
      <c r="E104" s="480">
        <v>0</v>
      </c>
      <c r="F104" s="467">
        <v>0</v>
      </c>
      <c r="G104" s="467">
        <v>0</v>
      </c>
      <c r="H104" s="466">
        <v>0</v>
      </c>
      <c r="I104" s="468"/>
      <c r="J104" s="468"/>
      <c r="K104" s="468"/>
    </row>
    <row r="105" spans="1:12" ht="12.75" customHeight="1" x14ac:dyDescent="0.2">
      <c r="A105" s="463" t="s">
        <v>875</v>
      </c>
      <c r="B105" s="470">
        <v>1992</v>
      </c>
      <c r="C105" s="466">
        <v>0</v>
      </c>
      <c r="D105" s="559"/>
      <c r="E105" s="468"/>
      <c r="F105" s="468"/>
      <c r="G105" s="468"/>
      <c r="H105" s="508"/>
      <c r="I105" s="468"/>
      <c r="J105" s="468"/>
      <c r="K105" s="468"/>
    </row>
    <row r="106" spans="1:12" ht="12.75" customHeight="1" x14ac:dyDescent="0.2">
      <c r="A106" s="463" t="s">
        <v>1504</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11483</v>
      </c>
      <c r="D107" s="466">
        <v>2786</v>
      </c>
      <c r="E107" s="466">
        <v>0</v>
      </c>
      <c r="F107" s="466">
        <v>560</v>
      </c>
      <c r="G107" s="466">
        <v>7407</v>
      </c>
      <c r="H107" s="466">
        <v>0</v>
      </c>
      <c r="I107" s="466">
        <v>0</v>
      </c>
      <c r="J107" s="467">
        <v>25020</v>
      </c>
      <c r="K107" s="466">
        <v>0</v>
      </c>
    </row>
    <row r="108" spans="1:12" ht="12.75" customHeight="1" thickBot="1" x14ac:dyDescent="0.25">
      <c r="A108" s="1727" t="s">
        <v>507</v>
      </c>
      <c r="B108" s="1731"/>
      <c r="C108" s="1726">
        <f>SUM(C95:C107)</f>
        <v>91758</v>
      </c>
      <c r="D108" s="1726">
        <f t="shared" ref="D108:K108" si="3">SUM(D95:D107)</f>
        <v>15861</v>
      </c>
      <c r="E108" s="1726">
        <f t="shared" si="3"/>
        <v>720000</v>
      </c>
      <c r="F108" s="1726">
        <f t="shared" si="3"/>
        <v>23780</v>
      </c>
      <c r="G108" s="1726">
        <f t="shared" si="3"/>
        <v>7407</v>
      </c>
      <c r="H108" s="1726">
        <f t="shared" si="3"/>
        <v>324714</v>
      </c>
      <c r="I108" s="1726">
        <f t="shared" si="3"/>
        <v>0</v>
      </c>
      <c r="J108" s="1726">
        <f t="shared" si="3"/>
        <v>25020</v>
      </c>
      <c r="K108" s="1707">
        <f t="shared" si="3"/>
        <v>0</v>
      </c>
    </row>
    <row r="109" spans="1:12" ht="14.25" thickTop="1" thickBot="1" x14ac:dyDescent="0.25">
      <c r="A109" s="1732" t="s">
        <v>266</v>
      </c>
      <c r="B109" s="1733" t="s">
        <v>590</v>
      </c>
      <c r="C109" s="1734">
        <f t="shared" ref="C109:K109" si="4">SUM(C12,C18,C40,C63,C67,C75,C82,C93,C108,)</f>
        <v>28547982</v>
      </c>
      <c r="D109" s="1734">
        <f t="shared" si="4"/>
        <v>4512501</v>
      </c>
      <c r="E109" s="1734">
        <f t="shared" si="4"/>
        <v>6388752</v>
      </c>
      <c r="F109" s="1734">
        <f t="shared" si="4"/>
        <v>1903063</v>
      </c>
      <c r="G109" s="1734">
        <f t="shared" si="4"/>
        <v>2114636</v>
      </c>
      <c r="H109" s="1734">
        <f t="shared" si="4"/>
        <v>328653</v>
      </c>
      <c r="I109" s="1734">
        <f t="shared" si="4"/>
        <v>465514</v>
      </c>
      <c r="J109" s="1734">
        <f t="shared" si="4"/>
        <v>1587953</v>
      </c>
      <c r="K109" s="1721">
        <f t="shared" si="4"/>
        <v>462114</v>
      </c>
    </row>
    <row r="110" spans="1:12" ht="30" customHeight="1" thickTop="1" x14ac:dyDescent="0.2">
      <c r="A110" s="1604" t="s">
        <v>363</v>
      </c>
      <c r="B110" s="1605"/>
      <c r="C110" s="1590"/>
      <c r="D110" s="1590"/>
      <c r="E110" s="1590"/>
      <c r="F110" s="1590"/>
      <c r="G110" s="1590"/>
      <c r="H110" s="1590"/>
      <c r="I110" s="1590"/>
      <c r="J110" s="1590"/>
      <c r="K110" s="1591"/>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838</v>
      </c>
      <c r="B114" s="1736" t="s">
        <v>589</v>
      </c>
      <c r="C114" s="1737">
        <f>SUM(C111:C113)</f>
        <v>0</v>
      </c>
      <c r="D114" s="1737">
        <f>SUM(D111:D113)</f>
        <v>0</v>
      </c>
      <c r="E114" s="559" t="s">
        <v>1230</v>
      </c>
      <c r="F114" s="1737">
        <f>SUM(F111:F113)</f>
        <v>0</v>
      </c>
      <c r="G114" s="1737">
        <f>SUM(G111:G113)</f>
        <v>0</v>
      </c>
      <c r="H114" s="559"/>
      <c r="I114" s="468"/>
      <c r="J114" s="468"/>
      <c r="K114" s="468"/>
    </row>
    <row r="115" spans="1:11" ht="16.7" customHeight="1" thickTop="1" x14ac:dyDescent="0.2">
      <c r="A115" s="1606" t="s">
        <v>835</v>
      </c>
      <c r="B115" s="1607"/>
      <c r="C115" s="1589"/>
      <c r="D115" s="1590"/>
      <c r="E115" s="1590"/>
      <c r="F115" s="1590"/>
      <c r="G115" s="1590"/>
      <c r="H115" s="1590"/>
      <c r="I115" s="1590"/>
      <c r="J115" s="1590"/>
      <c r="K115" s="1591"/>
    </row>
    <row r="116" spans="1:11" ht="18" customHeight="1" x14ac:dyDescent="0.2">
      <c r="A116" s="1614" t="s">
        <v>1570</v>
      </c>
      <c r="B116" s="1615"/>
      <c r="C116" s="520"/>
      <c r="D116" s="519"/>
      <c r="E116" s="559"/>
      <c r="F116" s="519"/>
      <c r="G116" s="519"/>
      <c r="H116" s="559"/>
      <c r="I116" s="468"/>
      <c r="J116" s="519"/>
      <c r="K116" s="519"/>
    </row>
    <row r="117" spans="1:11" ht="12.75" customHeight="1" x14ac:dyDescent="0.2">
      <c r="A117" s="463" t="s">
        <v>1765</v>
      </c>
      <c r="B117" s="560">
        <v>3001</v>
      </c>
      <c r="C117" s="514">
        <v>3182635</v>
      </c>
      <c r="D117" s="480">
        <v>0</v>
      </c>
      <c r="E117" s="466">
        <v>0</v>
      </c>
      <c r="F117" s="480">
        <v>0</v>
      </c>
      <c r="G117" s="480">
        <v>0</v>
      </c>
      <c r="H117" s="466">
        <v>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5"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508</v>
      </c>
      <c r="B121" s="1738"/>
      <c r="C121" s="1726">
        <f t="shared" ref="C121:H121" si="5">SUM(C117:C120)</f>
        <v>3182635</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1569</v>
      </c>
      <c r="B122" s="1616"/>
      <c r="C122" s="563"/>
      <c r="D122" s="507"/>
      <c r="E122" s="468"/>
      <c r="F122" s="564"/>
      <c r="G122" s="468"/>
      <c r="H122" s="468"/>
      <c r="I122" s="468"/>
      <c r="J122" s="468"/>
      <c r="K122" s="468"/>
    </row>
    <row r="123" spans="1:11" ht="15" customHeight="1" x14ac:dyDescent="0.2">
      <c r="A123" s="1617" t="s">
        <v>687</v>
      </c>
      <c r="B123" s="1618"/>
      <c r="C123" s="519"/>
      <c r="D123" s="507"/>
      <c r="E123" s="468"/>
      <c r="F123" s="519"/>
      <c r="G123" s="468"/>
      <c r="H123" s="468"/>
      <c r="I123" s="468"/>
      <c r="J123" s="468"/>
      <c r="K123" s="468"/>
    </row>
    <row r="124" spans="1:11" ht="12.75" customHeight="1" x14ac:dyDescent="0.2">
      <c r="A124" s="463" t="s">
        <v>920</v>
      </c>
      <c r="B124" s="565">
        <v>3100</v>
      </c>
      <c r="C124" s="480">
        <v>137359</v>
      </c>
      <c r="D124" s="559"/>
      <c r="E124" s="468"/>
      <c r="F124" s="546">
        <v>0</v>
      </c>
      <c r="G124" s="468"/>
      <c r="H124" s="468"/>
      <c r="I124" s="468"/>
      <c r="J124" s="468"/>
      <c r="K124" s="468"/>
    </row>
    <row r="125" spans="1:11" ht="12.75" customHeight="1" x14ac:dyDescent="0.2">
      <c r="A125" s="463" t="s">
        <v>1520</v>
      </c>
      <c r="B125" s="560">
        <v>3105</v>
      </c>
      <c r="C125" s="466">
        <v>267630</v>
      </c>
      <c r="D125" s="559"/>
      <c r="E125" s="468"/>
      <c r="F125" s="466">
        <v>0</v>
      </c>
      <c r="G125" s="468"/>
      <c r="H125" s="468"/>
      <c r="I125" s="468"/>
      <c r="J125" s="468"/>
      <c r="K125" s="468"/>
    </row>
    <row r="126" spans="1:11" ht="12.75" customHeight="1" x14ac:dyDescent="0.2">
      <c r="A126" s="463" t="s">
        <v>921</v>
      </c>
      <c r="B126" s="560">
        <v>3110</v>
      </c>
      <c r="C126" s="549">
        <v>253976</v>
      </c>
      <c r="D126" s="466">
        <v>0</v>
      </c>
      <c r="E126" s="468"/>
      <c r="F126" s="466">
        <v>0</v>
      </c>
      <c r="G126" s="468"/>
      <c r="H126" s="468"/>
      <c r="I126" s="468"/>
      <c r="J126" s="468"/>
      <c r="K126" s="468"/>
    </row>
    <row r="127" spans="1:11" ht="12.75" customHeight="1" x14ac:dyDescent="0.2">
      <c r="A127" s="463" t="s">
        <v>107</v>
      </c>
      <c r="B127" s="560">
        <v>3120</v>
      </c>
      <c r="C127" s="466">
        <v>173751</v>
      </c>
      <c r="D127" s="559"/>
      <c r="E127" s="468"/>
      <c r="F127" s="466">
        <v>0</v>
      </c>
      <c r="G127" s="468"/>
      <c r="H127" s="468"/>
      <c r="I127" s="468"/>
      <c r="J127" s="468"/>
      <c r="K127" s="468"/>
    </row>
    <row r="128" spans="1:11" ht="12.75" customHeight="1" x14ac:dyDescent="0.2">
      <c r="A128" s="463" t="s">
        <v>1521</v>
      </c>
      <c r="B128" s="560">
        <v>3130</v>
      </c>
      <c r="C128" s="466">
        <v>1091</v>
      </c>
      <c r="D128" s="559"/>
      <c r="E128" s="468"/>
      <c r="F128" s="466">
        <v>0</v>
      </c>
      <c r="G128" s="468"/>
      <c r="H128" s="468"/>
      <c r="I128" s="468"/>
      <c r="J128" s="468"/>
      <c r="K128" s="468"/>
    </row>
    <row r="129" spans="1:11" ht="12.75" customHeight="1" x14ac:dyDescent="0.2">
      <c r="A129" s="463" t="s">
        <v>139</v>
      </c>
      <c r="B129" s="560">
        <v>3145</v>
      </c>
      <c r="C129" s="466">
        <v>2668</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1091</v>
      </c>
      <c r="B131" s="1739"/>
      <c r="C131" s="1726">
        <f>SUM(C124:C130)</f>
        <v>836475</v>
      </c>
      <c r="D131" s="1726">
        <f>SUM(D124:D130)</f>
        <v>0</v>
      </c>
      <c r="E131" s="469" t="s">
        <v>1230</v>
      </c>
      <c r="F131" s="1726">
        <f>SUM(F124:F130)</f>
        <v>0</v>
      </c>
      <c r="G131" s="468" t="s">
        <v>1230</v>
      </c>
      <c r="H131" s="468" t="s">
        <v>1230</v>
      </c>
      <c r="I131" s="468" t="s">
        <v>1230</v>
      </c>
      <c r="J131" s="468" t="s">
        <v>1230</v>
      </c>
      <c r="K131" s="468" t="s">
        <v>1230</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619</v>
      </c>
      <c r="B133" s="560">
        <v>3200</v>
      </c>
      <c r="C133" s="549">
        <v>0</v>
      </c>
      <c r="D133" s="466">
        <v>0</v>
      </c>
      <c r="E133" s="559"/>
      <c r="F133" s="468"/>
      <c r="G133" s="466">
        <v>0</v>
      </c>
      <c r="H133" s="468"/>
      <c r="I133" s="468"/>
      <c r="J133" s="468"/>
      <c r="K133" s="468"/>
    </row>
    <row r="134" spans="1:11" ht="12.75" customHeight="1" x14ac:dyDescent="0.2">
      <c r="A134" s="463" t="s">
        <v>689</v>
      </c>
      <c r="B134" s="560">
        <v>3220</v>
      </c>
      <c r="C134" s="549">
        <v>26111</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354</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623</v>
      </c>
      <c r="B140" s="1739"/>
      <c r="C140" s="1726">
        <f>SUM(C133:C139)</f>
        <v>26465</v>
      </c>
      <c r="D140" s="1726">
        <f>SUM(D133:D139)</f>
        <v>0</v>
      </c>
      <c r="E140" s="559" t="s">
        <v>1230</v>
      </c>
      <c r="F140" s="476"/>
      <c r="G140" s="1726">
        <f>SUM(G133:G139)</f>
        <v>0</v>
      </c>
      <c r="H140" s="468" t="s">
        <v>1230</v>
      </c>
      <c r="I140" s="468" t="s">
        <v>1230</v>
      </c>
      <c r="J140" s="468" t="s">
        <v>1230</v>
      </c>
      <c r="K140" s="468" t="s">
        <v>1230</v>
      </c>
    </row>
    <row r="141" spans="1:11" ht="15.75" customHeight="1" thickTop="1" x14ac:dyDescent="0.2">
      <c r="A141" s="1619" t="s">
        <v>690</v>
      </c>
      <c r="B141" s="1620"/>
      <c r="C141" s="551"/>
      <c r="D141" s="564"/>
      <c r="E141" s="559"/>
      <c r="F141" s="551"/>
      <c r="G141" s="551"/>
      <c r="H141" s="468"/>
      <c r="I141" s="468"/>
      <c r="J141" s="468"/>
      <c r="K141" s="468"/>
    </row>
    <row r="142" spans="1:11" ht="12.75" customHeight="1" x14ac:dyDescent="0.2">
      <c r="A142" s="463" t="s">
        <v>624</v>
      </c>
      <c r="B142" s="560">
        <v>3305</v>
      </c>
      <c r="C142" s="466">
        <v>79602</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7" t="s">
        <v>413</v>
      </c>
      <c r="B144" s="1739"/>
      <c r="C144" s="1707">
        <f>SUM(C142:C143)</f>
        <v>79602</v>
      </c>
      <c r="D144" s="468"/>
      <c r="E144" s="507"/>
      <c r="F144" s="468"/>
      <c r="G144" s="1740">
        <f>SUM(G142:G143)</f>
        <v>0</v>
      </c>
      <c r="H144" s="468"/>
      <c r="I144" s="468"/>
      <c r="J144" s="468"/>
      <c r="K144" s="468"/>
    </row>
    <row r="145" spans="1:11" s="202" customFormat="1" ht="12.75" customHeight="1" thickTop="1" x14ac:dyDescent="0.2">
      <c r="A145" s="1517" t="s">
        <v>1115</v>
      </c>
      <c r="B145" s="566">
        <v>3360</v>
      </c>
      <c r="C145" s="567">
        <v>2983</v>
      </c>
      <c r="D145" s="568"/>
      <c r="E145" s="507"/>
      <c r="F145" s="468"/>
      <c r="G145" s="569"/>
      <c r="H145" s="468"/>
      <c r="I145" s="468"/>
      <c r="J145" s="468"/>
      <c r="K145" s="468"/>
    </row>
    <row r="146" spans="1:11" ht="12.75" customHeight="1" thickBot="1" x14ac:dyDescent="0.25">
      <c r="A146" s="1518" t="s">
        <v>978</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67091</v>
      </c>
      <c r="D147" s="571">
        <v>0</v>
      </c>
      <c r="E147" s="507"/>
      <c r="F147" s="468"/>
      <c r="G147" s="468"/>
      <c r="H147" s="468"/>
      <c r="I147" s="468"/>
      <c r="J147" s="468"/>
      <c r="K147" s="468"/>
    </row>
    <row r="148" spans="1:11" ht="12.75" customHeight="1" thickTop="1" thickBot="1" x14ac:dyDescent="0.25">
      <c r="A148" s="1519"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472</v>
      </c>
      <c r="B150" s="1621"/>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795957</v>
      </c>
      <c r="G151" s="467">
        <v>0</v>
      </c>
      <c r="H151" s="468"/>
      <c r="I151" s="468"/>
      <c r="J151" s="468"/>
      <c r="K151" s="468"/>
    </row>
    <row r="152" spans="1:11" ht="12.75" customHeight="1" x14ac:dyDescent="0.2">
      <c r="A152" s="463" t="s">
        <v>1116</v>
      </c>
      <c r="B152" s="560">
        <v>3510</v>
      </c>
      <c r="C152" s="549">
        <v>0</v>
      </c>
      <c r="D152" s="466">
        <v>0</v>
      </c>
      <c r="E152" s="559"/>
      <c r="F152" s="466">
        <v>656353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1452310</v>
      </c>
      <c r="G154" s="1726">
        <f>SUM(G151:G153)</f>
        <v>0</v>
      </c>
      <c r="H154" s="468"/>
      <c r="I154" s="468"/>
      <c r="J154" s="468"/>
      <c r="K154" s="468"/>
    </row>
    <row r="155" spans="1:11" ht="12.75" customHeight="1" thickTop="1" thickBot="1" x14ac:dyDescent="0.25">
      <c r="A155" s="1519" t="s">
        <v>397</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1056</v>
      </c>
      <c r="B157" s="572">
        <v>3695</v>
      </c>
      <c r="C157" s="574">
        <v>0</v>
      </c>
      <c r="D157" s="468"/>
      <c r="E157" s="559"/>
      <c r="F157" s="574">
        <v>0</v>
      </c>
      <c r="G157" s="574">
        <v>0</v>
      </c>
      <c r="H157" s="468"/>
      <c r="I157" s="468"/>
      <c r="J157" s="468"/>
      <c r="K157" s="468"/>
    </row>
    <row r="158" spans="1:11" ht="12.75" customHeight="1" thickTop="1" thickBot="1" x14ac:dyDescent="0.25">
      <c r="A158" s="1519" t="s">
        <v>1110</v>
      </c>
      <c r="B158" s="572">
        <v>3705</v>
      </c>
      <c r="C158" s="574">
        <v>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414</v>
      </c>
      <c r="B161" s="572">
        <v>3725</v>
      </c>
      <c r="C161" s="529">
        <v>0</v>
      </c>
      <c r="D161" s="468"/>
      <c r="E161" s="559"/>
      <c r="F161" s="529">
        <v>0</v>
      </c>
      <c r="G161" s="529">
        <v>0</v>
      </c>
      <c r="H161" s="468"/>
      <c r="I161" s="468"/>
      <c r="J161" s="468"/>
      <c r="K161" s="468"/>
    </row>
    <row r="162" spans="1:11" ht="12.75" customHeight="1" thickTop="1" thickBot="1" x14ac:dyDescent="0.25">
      <c r="A162" s="1519" t="s">
        <v>415</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1041</v>
      </c>
      <c r="B164" s="572">
        <v>3767</v>
      </c>
      <c r="C164" s="574"/>
      <c r="D164" s="529"/>
      <c r="E164" s="559"/>
      <c r="F164" s="529"/>
      <c r="G164" s="529"/>
      <c r="H164" s="468"/>
      <c r="I164" s="468"/>
      <c r="J164" s="468"/>
      <c r="K164" s="468"/>
    </row>
    <row r="165" spans="1:11" ht="12.75" customHeight="1" thickTop="1" thickBot="1" x14ac:dyDescent="0.25">
      <c r="A165" s="1519"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912</v>
      </c>
      <c r="B167" s="572">
        <v>3815</v>
      </c>
      <c r="C167" s="574">
        <v>0</v>
      </c>
      <c r="D167" s="468"/>
      <c r="E167" s="559"/>
      <c r="F167" s="574">
        <v>0</v>
      </c>
      <c r="G167" s="468"/>
      <c r="H167" s="468"/>
      <c r="I167" s="468"/>
      <c r="J167" s="468"/>
      <c r="K167" s="468"/>
    </row>
    <row r="168" spans="1:11" ht="12.75" customHeight="1" thickTop="1" thickBot="1" x14ac:dyDescent="0.25">
      <c r="A168" s="1519" t="s">
        <v>416</v>
      </c>
      <c r="B168" s="572">
        <v>3825</v>
      </c>
      <c r="C168" s="574">
        <v>0</v>
      </c>
      <c r="D168" s="468"/>
      <c r="E168" s="559"/>
      <c r="F168" s="574">
        <v>0</v>
      </c>
      <c r="G168" s="468"/>
      <c r="H168" s="468"/>
      <c r="I168" s="468"/>
      <c r="J168" s="468"/>
      <c r="K168" s="468"/>
    </row>
    <row r="169" spans="1:11" ht="12.75" customHeight="1" thickTop="1" thickBot="1" x14ac:dyDescent="0.25">
      <c r="A169" s="1519" t="s">
        <v>365</v>
      </c>
      <c r="B169" s="572">
        <v>3920</v>
      </c>
      <c r="C169" s="564"/>
      <c r="D169" s="576">
        <v>0</v>
      </c>
      <c r="E169" s="468"/>
      <c r="F169" s="564"/>
      <c r="G169" s="468"/>
      <c r="H169" s="528">
        <v>0</v>
      </c>
      <c r="I169" s="468"/>
      <c r="J169" s="468"/>
      <c r="K169" s="468"/>
    </row>
    <row r="170" spans="1:11" ht="12.75" customHeight="1" thickTop="1" thickBot="1" x14ac:dyDescent="0.25">
      <c r="A170" s="1519" t="s">
        <v>366</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6183</v>
      </c>
      <c r="D171" s="578">
        <v>0</v>
      </c>
      <c r="E171" s="578">
        <v>0</v>
      </c>
      <c r="F171" s="578">
        <v>0</v>
      </c>
      <c r="G171" s="579">
        <v>0</v>
      </c>
      <c r="H171" s="580">
        <v>0</v>
      </c>
      <c r="I171" s="579">
        <v>0</v>
      </c>
      <c r="J171" s="579">
        <v>0</v>
      </c>
      <c r="K171" s="580">
        <v>0</v>
      </c>
    </row>
    <row r="172" spans="1:11" ht="12.75" customHeight="1" thickTop="1" thickBot="1" x14ac:dyDescent="0.25">
      <c r="A172" s="2262" t="s">
        <v>417</v>
      </c>
      <c r="B172" s="2263"/>
      <c r="C172" s="1741">
        <f t="shared" ref="C172:K172" si="6">SUM(C131,C140,C144,C145:C149,C154,C155:C170,C171)</f>
        <v>1018799</v>
      </c>
      <c r="D172" s="1741">
        <f t="shared" si="6"/>
        <v>0</v>
      </c>
      <c r="E172" s="1741">
        <f t="shared" si="6"/>
        <v>0</v>
      </c>
      <c r="F172" s="1741">
        <f t="shared" si="6"/>
        <v>1452310</v>
      </c>
      <c r="G172" s="1741">
        <f t="shared" si="6"/>
        <v>0</v>
      </c>
      <c r="H172" s="1741">
        <f t="shared" si="6"/>
        <v>0</v>
      </c>
      <c r="I172" s="1741">
        <f t="shared" si="6"/>
        <v>0</v>
      </c>
      <c r="J172" s="1741">
        <f t="shared" si="6"/>
        <v>0</v>
      </c>
      <c r="K172" s="1722">
        <f t="shared" si="6"/>
        <v>0</v>
      </c>
    </row>
    <row r="173" spans="1:11" ht="12.75" customHeight="1" thickTop="1" thickBot="1" x14ac:dyDescent="0.25">
      <c r="A173" s="1727" t="s">
        <v>418</v>
      </c>
      <c r="B173" s="1733" t="s">
        <v>595</v>
      </c>
      <c r="C173" s="1734">
        <f>SUM(C121,C172)</f>
        <v>4201434</v>
      </c>
      <c r="D173" s="1734">
        <f>SUM(D121,D172)</f>
        <v>0</v>
      </c>
      <c r="E173" s="1734">
        <f>SUM(E121,E172)</f>
        <v>0</v>
      </c>
      <c r="F173" s="1734">
        <f t="shared" ref="F173:K173" si="7">SUM(F121,F172)</f>
        <v>1452310</v>
      </c>
      <c r="G173" s="1734">
        <f t="shared" si="7"/>
        <v>0</v>
      </c>
      <c r="H173" s="1734">
        <f t="shared" si="7"/>
        <v>0</v>
      </c>
      <c r="I173" s="1734">
        <f t="shared" si="7"/>
        <v>0</v>
      </c>
      <c r="J173" s="1734">
        <f t="shared" si="7"/>
        <v>0</v>
      </c>
      <c r="K173" s="1721">
        <f t="shared" si="7"/>
        <v>0</v>
      </c>
    </row>
    <row r="174" spans="1:11" ht="16.7" customHeight="1" thickTop="1" x14ac:dyDescent="0.2">
      <c r="A174" s="1608" t="s">
        <v>836</v>
      </c>
      <c r="B174" s="1586"/>
      <c r="C174" s="1589"/>
      <c r="D174" s="1590"/>
      <c r="E174" s="1590"/>
      <c r="F174" s="1590"/>
      <c r="G174" s="1590"/>
      <c r="H174" s="1590"/>
      <c r="I174" s="1590"/>
      <c r="J174" s="1590"/>
      <c r="K174" s="1591"/>
    </row>
    <row r="175" spans="1:11" ht="15.75" customHeight="1" x14ac:dyDescent="0.2">
      <c r="A175" s="2264" t="s">
        <v>1571</v>
      </c>
      <c r="B175" s="2265"/>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268" t="s">
        <v>1763</v>
      </c>
      <c r="B178" s="226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72" t="s">
        <v>1762</v>
      </c>
      <c r="B179" s="2273"/>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270" t="s">
        <v>817</v>
      </c>
      <c r="B184" s="227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66" t="s">
        <v>1901</v>
      </c>
      <c r="B185" s="2267"/>
      <c r="C185" s="582"/>
      <c r="D185" s="564"/>
      <c r="E185" s="507"/>
      <c r="F185" s="564"/>
      <c r="G185" s="564"/>
      <c r="H185" s="468"/>
      <c r="I185" s="468"/>
      <c r="J185" s="468"/>
      <c r="K185" s="468"/>
    </row>
    <row r="186" spans="1:11" ht="15.75" customHeight="1" x14ac:dyDescent="0.2">
      <c r="A186" s="1622" t="s">
        <v>1691</v>
      </c>
      <c r="B186" s="1623"/>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7" t="s">
        <v>1696</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474</v>
      </c>
      <c r="B192" s="1624"/>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337743</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0</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568</v>
      </c>
      <c r="B201" s="1728"/>
      <c r="C201" s="1707">
        <f>SUM(C193:C200)</f>
        <v>337743</v>
      </c>
      <c r="D201" s="468"/>
      <c r="E201" s="468"/>
      <c r="F201" s="468"/>
      <c r="G201" s="1707">
        <f>SUM(G193:G200)</f>
        <v>0</v>
      </c>
      <c r="H201" s="468"/>
      <c r="I201" s="468"/>
      <c r="J201" s="468"/>
      <c r="K201" s="468"/>
    </row>
    <row r="202" spans="1:11" ht="15.75" customHeight="1" thickTop="1" x14ac:dyDescent="0.2">
      <c r="A202" s="1619" t="s">
        <v>1199</v>
      </c>
      <c r="B202" s="1624"/>
      <c r="C202" s="551"/>
      <c r="D202" s="468"/>
      <c r="E202" s="468"/>
      <c r="F202" s="468"/>
      <c r="G202" s="468"/>
      <c r="H202" s="468"/>
      <c r="I202" s="468"/>
      <c r="J202" s="468"/>
      <c r="K202" s="468"/>
    </row>
    <row r="203" spans="1:11" ht="12.75" customHeight="1" x14ac:dyDescent="0.2">
      <c r="A203" s="463" t="s">
        <v>973</v>
      </c>
      <c r="B203" s="470">
        <v>4300</v>
      </c>
      <c r="C203" s="466">
        <v>280032</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419</v>
      </c>
      <c r="B211" s="1728"/>
      <c r="C211" s="1726">
        <f>SUM(C203:C210)</f>
        <v>280032</v>
      </c>
      <c r="D211" s="1726">
        <f>SUM(D203:D210)</f>
        <v>0</v>
      </c>
      <c r="E211" s="468"/>
      <c r="F211" s="1726">
        <f>SUM(F203:F210)</f>
        <v>0</v>
      </c>
      <c r="G211" s="1726">
        <f>SUM(G203:G210)</f>
        <v>0</v>
      </c>
      <c r="H211" s="468"/>
      <c r="I211" s="468"/>
      <c r="J211" s="468"/>
      <c r="K211" s="468"/>
    </row>
    <row r="212" spans="1:11" ht="15.75" customHeight="1" thickTop="1" x14ac:dyDescent="0.2">
      <c r="A212" s="1619" t="s">
        <v>1200</v>
      </c>
      <c r="B212" s="1624"/>
      <c r="C212" s="551"/>
      <c r="D212" s="551"/>
      <c r="E212" s="468"/>
      <c r="F212" s="551"/>
      <c r="G212" s="551"/>
      <c r="H212" s="468"/>
      <c r="I212" s="468"/>
      <c r="J212" s="468"/>
      <c r="K212" s="468"/>
    </row>
    <row r="213" spans="1:11" ht="12.75" customHeight="1" x14ac:dyDescent="0.2">
      <c r="A213" s="463" t="s">
        <v>782</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943</v>
      </c>
      <c r="B216" s="1728"/>
      <c r="C216" s="1726">
        <f>SUM(C213:C215)</f>
        <v>0</v>
      </c>
      <c r="D216" s="1726">
        <f>SUM(D213:D215)</f>
        <v>0</v>
      </c>
      <c r="E216" s="468" t="s">
        <v>1230</v>
      </c>
      <c r="F216" s="1726">
        <f>SUM(F213:F215)</f>
        <v>0</v>
      </c>
      <c r="G216" s="1726">
        <f>SUM(G213:G215)</f>
        <v>0</v>
      </c>
      <c r="H216" s="468"/>
      <c r="I216" s="468"/>
      <c r="J216" s="468"/>
      <c r="K216" s="468"/>
    </row>
    <row r="217" spans="1:11" ht="15.75" customHeight="1" thickTop="1" x14ac:dyDescent="0.2">
      <c r="A217" s="1619" t="s">
        <v>1153</v>
      </c>
      <c r="B217" s="1624"/>
      <c r="C217" s="551"/>
      <c r="D217" s="551"/>
      <c r="E217" s="468"/>
      <c r="F217" s="551"/>
      <c r="G217" s="551"/>
      <c r="H217" s="468"/>
      <c r="I217" s="468"/>
      <c r="J217" s="468"/>
      <c r="K217" s="468"/>
    </row>
    <row r="218" spans="1:11" ht="12.75" customHeight="1" x14ac:dyDescent="0.2">
      <c r="A218" s="463" t="s">
        <v>1111</v>
      </c>
      <c r="B218" s="470">
        <v>4600</v>
      </c>
      <c r="C218" s="549">
        <v>53</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79020</v>
      </c>
      <c r="D220" s="466">
        <v>0</v>
      </c>
      <c r="E220" s="468"/>
      <c r="F220" s="466">
        <v>0</v>
      </c>
      <c r="G220" s="466">
        <v>0</v>
      </c>
      <c r="H220" s="468"/>
      <c r="I220" s="468"/>
      <c r="J220" s="468"/>
      <c r="K220" s="468"/>
    </row>
    <row r="221" spans="1:11" ht="12.75" customHeight="1" x14ac:dyDescent="0.2">
      <c r="A221" s="463" t="s">
        <v>1113</v>
      </c>
      <c r="B221" s="470">
        <v>4625</v>
      </c>
      <c r="C221" s="549">
        <v>34774</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466</v>
      </c>
      <c r="B224" s="1728"/>
      <c r="C224" s="1726">
        <f>SUM(C218:C223)</f>
        <v>113847</v>
      </c>
      <c r="D224" s="1726">
        <f>SUM(D218:D223)</f>
        <v>0</v>
      </c>
      <c r="E224" s="468"/>
      <c r="F224" s="1726">
        <f>SUM(F218:F223)</f>
        <v>0</v>
      </c>
      <c r="G224" s="1726">
        <f>SUM(G218:G223)</f>
        <v>0</v>
      </c>
      <c r="H224" s="468"/>
      <c r="I224" s="468"/>
      <c r="J224" s="468"/>
      <c r="K224" s="468"/>
    </row>
    <row r="225" spans="1:11" ht="15.75" customHeight="1" thickTop="1" x14ac:dyDescent="0.2">
      <c r="A225" s="1619" t="s">
        <v>1154</v>
      </c>
      <c r="B225" s="1624"/>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1144</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197371</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4" t="s">
        <v>797</v>
      </c>
      <c r="B259" s="1745"/>
      <c r="C259" s="1737">
        <f t="shared" ref="C259:H259" si="9">SUM(C230:C258)</f>
        <v>0</v>
      </c>
      <c r="D259" s="1726">
        <f t="shared" si="9"/>
        <v>0</v>
      </c>
      <c r="E259" s="1726">
        <f t="shared" si="9"/>
        <v>197371</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1492</v>
      </c>
      <c r="B260" s="586">
        <v>4901</v>
      </c>
      <c r="C260" s="587">
        <v>0</v>
      </c>
      <c r="D260" s="469"/>
      <c r="E260" s="468"/>
      <c r="F260" s="468"/>
      <c r="G260" s="468"/>
      <c r="H260" s="468"/>
      <c r="I260" s="468"/>
      <c r="J260" s="468"/>
      <c r="K260" s="468"/>
    </row>
    <row r="261" spans="1:11" ht="12.75" customHeight="1" thickTop="1" thickBot="1" x14ac:dyDescent="0.25">
      <c r="A261" s="1522"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19570</v>
      </c>
      <c r="D263" s="468"/>
      <c r="E263" s="468"/>
      <c r="F263" s="576">
        <v>0</v>
      </c>
      <c r="G263" s="571">
        <v>0</v>
      </c>
      <c r="H263" s="468"/>
      <c r="I263" s="468"/>
      <c r="J263" s="468"/>
      <c r="K263" s="468"/>
    </row>
    <row r="264" spans="1:11" ht="12.75" customHeight="1" thickTop="1" thickBot="1" x14ac:dyDescent="0.25">
      <c r="A264" s="463" t="s">
        <v>1531</v>
      </c>
      <c r="B264" s="470">
        <v>4909</v>
      </c>
      <c r="C264" s="574">
        <v>24531</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59227</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30786</v>
      </c>
      <c r="D270" s="574">
        <v>0</v>
      </c>
      <c r="E270" s="468"/>
      <c r="F270" s="574">
        <v>0</v>
      </c>
      <c r="G270" s="574">
        <v>0</v>
      </c>
      <c r="H270" s="468"/>
      <c r="I270" s="468"/>
      <c r="J270" s="468"/>
      <c r="K270" s="468"/>
    </row>
    <row r="271" spans="1:11" ht="12.75" customHeight="1" thickTop="1" thickBot="1" x14ac:dyDescent="0.25">
      <c r="A271" s="463" t="s">
        <v>394</v>
      </c>
      <c r="B271" s="470">
        <v>4992</v>
      </c>
      <c r="C271" s="573">
        <v>149616</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1764</v>
      </c>
      <c r="B273" s="1746"/>
      <c r="C273" s="1734">
        <f t="shared" ref="C273:H273" si="10">SUM(C191,C201,C211,C216,C224,C228,C229,C259:C272)</f>
        <v>1015352</v>
      </c>
      <c r="D273" s="1734">
        <f t="shared" si="10"/>
        <v>0</v>
      </c>
      <c r="E273" s="1734">
        <f t="shared" si="10"/>
        <v>197371</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1146</v>
      </c>
      <c r="B274" s="1748" t="s">
        <v>914</v>
      </c>
      <c r="C274" s="1734">
        <f>SUM(C178,C184,C273)</f>
        <v>1015352</v>
      </c>
      <c r="D274" s="1734">
        <f>SUM(D178,D184,D273)</f>
        <v>0</v>
      </c>
      <c r="E274" s="1734">
        <f>SUM(E178,E273)</f>
        <v>197371</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33764768</v>
      </c>
      <c r="D275" s="1734">
        <f t="shared" si="12"/>
        <v>4512501</v>
      </c>
      <c r="E275" s="1734">
        <f t="shared" si="12"/>
        <v>6586123</v>
      </c>
      <c r="F275" s="1734">
        <f t="shared" si="12"/>
        <v>3355373</v>
      </c>
      <c r="G275" s="1734">
        <f t="shared" si="12"/>
        <v>2114636</v>
      </c>
      <c r="H275" s="1734">
        <f t="shared" si="12"/>
        <v>328653</v>
      </c>
      <c r="I275" s="1734">
        <f t="shared" si="12"/>
        <v>465514</v>
      </c>
      <c r="J275" s="1734">
        <f t="shared" si="12"/>
        <v>1587953</v>
      </c>
      <c r="K275" s="1721">
        <f t="shared" si="12"/>
        <v>462114</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if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D23" sqref="AD23"/>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42" t="s">
        <v>1900</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276"/>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282" t="s">
        <v>314</v>
      </c>
      <c r="B3" s="2283"/>
      <c r="C3" s="1567"/>
      <c r="D3" s="1567"/>
      <c r="E3" s="1567"/>
      <c r="F3" s="1567"/>
      <c r="G3" s="1567"/>
      <c r="H3" s="1567"/>
      <c r="I3" s="1567"/>
      <c r="J3" s="1567"/>
      <c r="K3" s="1568"/>
      <c r="L3" s="1569"/>
      <c r="M3" s="608"/>
      <c r="N3" s="608"/>
    </row>
    <row r="4" spans="1:14" s="259" customFormat="1" ht="15.75" customHeight="1" x14ac:dyDescent="0.2">
      <c r="A4" s="1625" t="s">
        <v>46</v>
      </c>
      <c r="B4" s="1626" t="s">
        <v>590</v>
      </c>
      <c r="C4" s="609"/>
      <c r="D4" s="609"/>
      <c r="E4" s="609"/>
      <c r="F4" s="609"/>
      <c r="G4" s="609"/>
      <c r="H4" s="609"/>
      <c r="I4" s="610"/>
      <c r="J4" s="609"/>
      <c r="K4" s="611"/>
      <c r="L4" s="609"/>
      <c r="M4" s="612"/>
      <c r="N4" s="612"/>
    </row>
    <row r="5" spans="1:14" x14ac:dyDescent="0.2">
      <c r="A5" s="1523" t="s">
        <v>1017</v>
      </c>
      <c r="B5" s="613">
        <v>1100</v>
      </c>
      <c r="C5" s="466">
        <v>12316264</v>
      </c>
      <c r="D5" s="466">
        <v>2603998</v>
      </c>
      <c r="E5" s="466">
        <v>36498</v>
      </c>
      <c r="F5" s="466">
        <v>492919</v>
      </c>
      <c r="G5" s="466">
        <v>31292</v>
      </c>
      <c r="H5" s="466">
        <v>0</v>
      </c>
      <c r="I5" s="467">
        <v>0</v>
      </c>
      <c r="J5" s="467">
        <v>0</v>
      </c>
      <c r="K5" s="1690">
        <f>SUM(C5:J5)</f>
        <v>15480971</v>
      </c>
      <c r="L5" s="466">
        <v>16507816</v>
      </c>
    </row>
    <row r="6" spans="1:14" x14ac:dyDescent="0.2">
      <c r="A6" s="1523" t="s">
        <v>1507</v>
      </c>
      <c r="B6" s="613" t="s">
        <v>1505</v>
      </c>
      <c r="C6" s="476"/>
      <c r="D6" s="476"/>
      <c r="E6" s="466">
        <v>0</v>
      </c>
      <c r="F6" s="476"/>
      <c r="G6" s="476"/>
      <c r="H6" s="476"/>
      <c r="I6" s="476"/>
      <c r="J6" s="476"/>
      <c r="K6" s="1690">
        <f>SUM(C6,E6)</f>
        <v>0</v>
      </c>
      <c r="L6" s="466">
        <v>0</v>
      </c>
    </row>
    <row r="7" spans="1:14" x14ac:dyDescent="0.2">
      <c r="A7" s="1523" t="s">
        <v>165</v>
      </c>
      <c r="B7" s="613" t="s">
        <v>1023</v>
      </c>
      <c r="C7" s="467">
        <v>86408</v>
      </c>
      <c r="D7" s="467">
        <v>10531</v>
      </c>
      <c r="E7" s="467">
        <v>0</v>
      </c>
      <c r="F7" s="467">
        <v>0</v>
      </c>
      <c r="G7" s="467">
        <v>0</v>
      </c>
      <c r="H7" s="467">
        <v>0</v>
      </c>
      <c r="I7" s="467">
        <v>0</v>
      </c>
      <c r="J7" s="467">
        <v>0</v>
      </c>
      <c r="K7" s="1690">
        <f t="shared" ref="K7:K32" si="0">SUM(C7:J7)</f>
        <v>96939</v>
      </c>
      <c r="L7" s="466">
        <v>129617</v>
      </c>
    </row>
    <row r="8" spans="1:14" x14ac:dyDescent="0.2">
      <c r="A8" s="1523" t="s">
        <v>166</v>
      </c>
      <c r="B8" s="613">
        <v>1200</v>
      </c>
      <c r="C8" s="466">
        <v>3098158</v>
      </c>
      <c r="D8" s="466">
        <v>362189</v>
      </c>
      <c r="E8" s="466">
        <v>16038</v>
      </c>
      <c r="F8" s="466">
        <v>11140</v>
      </c>
      <c r="G8" s="466">
        <v>3592</v>
      </c>
      <c r="H8" s="466">
        <v>0</v>
      </c>
      <c r="I8" s="467">
        <v>0</v>
      </c>
      <c r="J8" s="467">
        <v>0</v>
      </c>
      <c r="K8" s="1690">
        <f t="shared" si="0"/>
        <v>3491117</v>
      </c>
      <c r="L8" s="466">
        <v>3721328</v>
      </c>
    </row>
    <row r="9" spans="1:14" x14ac:dyDescent="0.2">
      <c r="A9" s="1523" t="s">
        <v>744</v>
      </c>
      <c r="B9" s="613" t="s">
        <v>1024</v>
      </c>
      <c r="C9" s="467">
        <v>0</v>
      </c>
      <c r="D9" s="467">
        <v>0</v>
      </c>
      <c r="E9" s="467">
        <v>0</v>
      </c>
      <c r="F9" s="467">
        <v>0</v>
      </c>
      <c r="G9" s="467">
        <v>0</v>
      </c>
      <c r="H9" s="467">
        <v>0</v>
      </c>
      <c r="I9" s="467">
        <v>0</v>
      </c>
      <c r="J9" s="467">
        <v>0</v>
      </c>
      <c r="K9" s="1690">
        <f t="shared" si="0"/>
        <v>0</v>
      </c>
      <c r="L9" s="466">
        <v>0</v>
      </c>
    </row>
    <row r="10" spans="1:14" x14ac:dyDescent="0.2">
      <c r="A10" s="1523" t="s">
        <v>745</v>
      </c>
      <c r="B10" s="613">
        <v>1250</v>
      </c>
      <c r="C10" s="466">
        <v>195741</v>
      </c>
      <c r="D10" s="466">
        <v>14244</v>
      </c>
      <c r="E10" s="466">
        <v>38655</v>
      </c>
      <c r="F10" s="466">
        <v>104680</v>
      </c>
      <c r="G10" s="466">
        <v>0</v>
      </c>
      <c r="H10" s="466">
        <v>0</v>
      </c>
      <c r="I10" s="467">
        <v>0</v>
      </c>
      <c r="J10" s="467">
        <v>0</v>
      </c>
      <c r="K10" s="1690">
        <f t="shared" si="0"/>
        <v>353320</v>
      </c>
      <c r="L10" s="466">
        <v>326506</v>
      </c>
    </row>
    <row r="11" spans="1:14" x14ac:dyDescent="0.2">
      <c r="A11" s="1523" t="s">
        <v>1191</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1018</v>
      </c>
      <c r="B12" s="613">
        <v>1300</v>
      </c>
      <c r="C12" s="466">
        <v>0</v>
      </c>
      <c r="D12" s="466">
        <v>0</v>
      </c>
      <c r="E12" s="466">
        <v>0</v>
      </c>
      <c r="F12" s="466">
        <v>0</v>
      </c>
      <c r="G12" s="466">
        <v>0</v>
      </c>
      <c r="H12" s="466">
        <v>0</v>
      </c>
      <c r="I12" s="467">
        <v>0</v>
      </c>
      <c r="J12" s="467">
        <v>0</v>
      </c>
      <c r="K12" s="1690">
        <f t="shared" si="0"/>
        <v>0</v>
      </c>
      <c r="L12" s="466">
        <v>0</v>
      </c>
    </row>
    <row r="13" spans="1:14" x14ac:dyDescent="0.2">
      <c r="A13" s="1523" t="s">
        <v>746</v>
      </c>
      <c r="B13" s="613">
        <v>1400</v>
      </c>
      <c r="C13" s="467">
        <v>0</v>
      </c>
      <c r="D13" s="466">
        <v>0</v>
      </c>
      <c r="E13" s="466">
        <v>0</v>
      </c>
      <c r="F13" s="466">
        <v>21725</v>
      </c>
      <c r="G13" s="466">
        <v>0</v>
      </c>
      <c r="H13" s="466">
        <v>0</v>
      </c>
      <c r="I13" s="467">
        <v>0</v>
      </c>
      <c r="J13" s="467">
        <v>0</v>
      </c>
      <c r="K13" s="1690">
        <f t="shared" si="0"/>
        <v>21725</v>
      </c>
      <c r="L13" s="466">
        <v>16074</v>
      </c>
    </row>
    <row r="14" spans="1:14" x14ac:dyDescent="0.2">
      <c r="A14" s="1523" t="s">
        <v>1019</v>
      </c>
      <c r="B14" s="613">
        <v>1500</v>
      </c>
      <c r="C14" s="467">
        <v>911766</v>
      </c>
      <c r="D14" s="466">
        <v>28163</v>
      </c>
      <c r="E14" s="466">
        <v>162899</v>
      </c>
      <c r="F14" s="466">
        <v>86655</v>
      </c>
      <c r="G14" s="466">
        <v>1473</v>
      </c>
      <c r="H14" s="466">
        <v>0</v>
      </c>
      <c r="I14" s="467">
        <v>0</v>
      </c>
      <c r="J14" s="467">
        <v>0</v>
      </c>
      <c r="K14" s="1690">
        <f t="shared" si="0"/>
        <v>1190956</v>
      </c>
      <c r="L14" s="466">
        <v>1205654</v>
      </c>
    </row>
    <row r="15" spans="1:14" x14ac:dyDescent="0.2">
      <c r="A15" s="1523" t="s">
        <v>1020</v>
      </c>
      <c r="B15" s="613">
        <v>1600</v>
      </c>
      <c r="C15" s="466">
        <v>4500</v>
      </c>
      <c r="D15" s="466">
        <v>64</v>
      </c>
      <c r="E15" s="466">
        <v>0</v>
      </c>
      <c r="F15" s="466">
        <v>0</v>
      </c>
      <c r="G15" s="466">
        <v>0</v>
      </c>
      <c r="H15" s="466">
        <v>0</v>
      </c>
      <c r="I15" s="467">
        <v>0</v>
      </c>
      <c r="J15" s="467">
        <v>0</v>
      </c>
      <c r="K15" s="1690">
        <f t="shared" si="0"/>
        <v>4564</v>
      </c>
      <c r="L15" s="466">
        <v>7065</v>
      </c>
    </row>
    <row r="16" spans="1:14" x14ac:dyDescent="0.2">
      <c r="A16" s="1523" t="s">
        <v>1043</v>
      </c>
      <c r="B16" s="613" t="s">
        <v>443</v>
      </c>
      <c r="C16" s="466">
        <v>15473</v>
      </c>
      <c r="D16" s="466">
        <v>226</v>
      </c>
      <c r="E16" s="466">
        <v>0</v>
      </c>
      <c r="F16" s="466">
        <v>4762</v>
      </c>
      <c r="G16" s="466">
        <v>0</v>
      </c>
      <c r="H16" s="466">
        <v>0</v>
      </c>
      <c r="I16" s="467">
        <v>0</v>
      </c>
      <c r="J16" s="467">
        <v>0</v>
      </c>
      <c r="K16" s="1690">
        <f t="shared" si="0"/>
        <v>20461</v>
      </c>
      <c r="L16" s="466">
        <v>21171</v>
      </c>
    </row>
    <row r="17" spans="1:12" x14ac:dyDescent="0.2">
      <c r="A17" s="1523" t="s">
        <v>747</v>
      </c>
      <c r="B17" s="613" t="s">
        <v>164</v>
      </c>
      <c r="C17" s="467">
        <v>185506</v>
      </c>
      <c r="D17" s="467">
        <v>25062</v>
      </c>
      <c r="E17" s="467">
        <v>13335</v>
      </c>
      <c r="F17" s="467">
        <v>3320</v>
      </c>
      <c r="G17" s="467">
        <v>0</v>
      </c>
      <c r="H17" s="467">
        <v>0</v>
      </c>
      <c r="I17" s="467">
        <v>0</v>
      </c>
      <c r="J17" s="467">
        <v>0</v>
      </c>
      <c r="K17" s="1690">
        <f t="shared" si="0"/>
        <v>227223</v>
      </c>
      <c r="L17" s="466">
        <v>225872</v>
      </c>
    </row>
    <row r="18" spans="1:12" x14ac:dyDescent="0.2">
      <c r="A18" s="1523" t="s">
        <v>1147</v>
      </c>
      <c r="B18" s="613">
        <v>1800</v>
      </c>
      <c r="C18" s="466">
        <v>292208</v>
      </c>
      <c r="D18" s="466">
        <v>55740</v>
      </c>
      <c r="E18" s="466">
        <v>3869</v>
      </c>
      <c r="F18" s="466">
        <v>0</v>
      </c>
      <c r="G18" s="466">
        <v>0</v>
      </c>
      <c r="H18" s="466">
        <v>0</v>
      </c>
      <c r="I18" s="467">
        <v>0</v>
      </c>
      <c r="J18" s="467">
        <v>0</v>
      </c>
      <c r="K18" s="1690">
        <f t="shared" si="0"/>
        <v>351817</v>
      </c>
      <c r="L18" s="466">
        <v>482452</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761</v>
      </c>
      <c r="B20" s="601" t="s">
        <v>748</v>
      </c>
      <c r="C20" s="476"/>
      <c r="D20" s="476"/>
      <c r="E20" s="476"/>
      <c r="F20" s="476"/>
      <c r="G20" s="476"/>
      <c r="H20" s="467">
        <v>0</v>
      </c>
      <c r="I20" s="615"/>
      <c r="J20" s="475"/>
      <c r="K20" s="1690">
        <f t="shared" si="0"/>
        <v>0</v>
      </c>
      <c r="L20" s="466">
        <v>0</v>
      </c>
    </row>
    <row r="21" spans="1:12" x14ac:dyDescent="0.2">
      <c r="A21" s="1524" t="s">
        <v>762</v>
      </c>
      <c r="B21" s="601" t="s">
        <v>749</v>
      </c>
      <c r="C21" s="476"/>
      <c r="D21" s="476"/>
      <c r="E21" s="476"/>
      <c r="F21" s="476"/>
      <c r="G21" s="476"/>
      <c r="H21" s="474">
        <v>0</v>
      </c>
      <c r="I21" s="615"/>
      <c r="J21" s="476"/>
      <c r="K21" s="1690">
        <f t="shared" si="0"/>
        <v>0</v>
      </c>
      <c r="L21" s="466">
        <v>0</v>
      </c>
    </row>
    <row r="22" spans="1:12" x14ac:dyDescent="0.2">
      <c r="A22" s="1524" t="s">
        <v>763</v>
      </c>
      <c r="B22" s="601" t="s">
        <v>750</v>
      </c>
      <c r="C22" s="476"/>
      <c r="D22" s="476"/>
      <c r="E22" s="476"/>
      <c r="F22" s="476"/>
      <c r="G22" s="476"/>
      <c r="H22" s="474">
        <v>142316</v>
      </c>
      <c r="I22" s="615"/>
      <c r="J22" s="476"/>
      <c r="K22" s="1690">
        <f t="shared" si="0"/>
        <v>142316</v>
      </c>
      <c r="L22" s="466">
        <v>325000</v>
      </c>
    </row>
    <row r="23" spans="1:12" x14ac:dyDescent="0.2">
      <c r="A23" s="1524" t="s">
        <v>764</v>
      </c>
      <c r="B23" s="601" t="s">
        <v>751</v>
      </c>
      <c r="C23" s="476"/>
      <c r="D23" s="476"/>
      <c r="E23" s="476"/>
      <c r="F23" s="476"/>
      <c r="G23" s="476"/>
      <c r="H23" s="474">
        <v>0</v>
      </c>
      <c r="I23" s="615"/>
      <c r="J23" s="476"/>
      <c r="K23" s="1690">
        <f t="shared" si="0"/>
        <v>0</v>
      </c>
      <c r="L23" s="466">
        <v>0</v>
      </c>
    </row>
    <row r="24" spans="1:12" ht="12.75" customHeight="1" x14ac:dyDescent="0.2">
      <c r="A24" s="1524" t="s">
        <v>765</v>
      </c>
      <c r="B24" s="601" t="s">
        <v>752</v>
      </c>
      <c r="C24" s="476"/>
      <c r="D24" s="476"/>
      <c r="E24" s="476"/>
      <c r="F24" s="476"/>
      <c r="G24" s="476"/>
      <c r="H24" s="474">
        <v>0</v>
      </c>
      <c r="I24" s="615"/>
      <c r="J24" s="476"/>
      <c r="K24" s="1690">
        <f t="shared" si="0"/>
        <v>0</v>
      </c>
      <c r="L24" s="466">
        <v>0</v>
      </c>
    </row>
    <row r="25" spans="1:12" ht="12.75" customHeight="1" x14ac:dyDescent="0.2">
      <c r="A25" s="1524" t="s">
        <v>834</v>
      </c>
      <c r="B25" s="601" t="s">
        <v>753</v>
      </c>
      <c r="C25" s="476"/>
      <c r="D25" s="476"/>
      <c r="E25" s="476"/>
      <c r="F25" s="476"/>
      <c r="G25" s="476"/>
      <c r="H25" s="474">
        <v>0</v>
      </c>
      <c r="I25" s="615"/>
      <c r="J25" s="476"/>
      <c r="K25" s="1690">
        <f t="shared" si="0"/>
        <v>0</v>
      </c>
      <c r="L25" s="466">
        <v>0</v>
      </c>
    </row>
    <row r="26" spans="1:12" x14ac:dyDescent="0.2">
      <c r="A26" s="1524" t="s">
        <v>642</v>
      </c>
      <c r="B26" s="601" t="s">
        <v>754</v>
      </c>
      <c r="C26" s="476"/>
      <c r="D26" s="476"/>
      <c r="E26" s="476"/>
      <c r="F26" s="476"/>
      <c r="G26" s="476"/>
      <c r="H26" s="474">
        <v>0</v>
      </c>
      <c r="I26" s="615"/>
      <c r="J26" s="476"/>
      <c r="K26" s="1690">
        <f t="shared" si="0"/>
        <v>0</v>
      </c>
      <c r="L26" s="466">
        <v>0</v>
      </c>
    </row>
    <row r="27" spans="1:12" x14ac:dyDescent="0.2">
      <c r="A27" s="1524" t="s">
        <v>643</v>
      </c>
      <c r="B27" s="601" t="s">
        <v>755</v>
      </c>
      <c r="C27" s="476"/>
      <c r="D27" s="476"/>
      <c r="E27" s="476"/>
      <c r="F27" s="476"/>
      <c r="G27" s="476"/>
      <c r="H27" s="474">
        <v>0</v>
      </c>
      <c r="I27" s="615"/>
      <c r="J27" s="476"/>
      <c r="K27" s="1690">
        <f t="shared" si="0"/>
        <v>0</v>
      </c>
      <c r="L27" s="466">
        <v>0</v>
      </c>
    </row>
    <row r="28" spans="1:12" x14ac:dyDescent="0.2">
      <c r="A28" s="1524" t="s">
        <v>152</v>
      </c>
      <c r="B28" s="601" t="s">
        <v>756</v>
      </c>
      <c r="C28" s="476"/>
      <c r="D28" s="476"/>
      <c r="E28" s="476"/>
      <c r="F28" s="476"/>
      <c r="G28" s="476"/>
      <c r="H28" s="474">
        <v>0</v>
      </c>
      <c r="I28" s="615"/>
      <c r="J28" s="476"/>
      <c r="K28" s="1690">
        <f t="shared" si="0"/>
        <v>0</v>
      </c>
      <c r="L28" s="466">
        <v>0</v>
      </c>
    </row>
    <row r="29" spans="1:12" x14ac:dyDescent="0.2">
      <c r="A29" s="1524" t="s">
        <v>153</v>
      </c>
      <c r="B29" s="601" t="s">
        <v>757</v>
      </c>
      <c r="C29" s="476"/>
      <c r="D29" s="476"/>
      <c r="E29" s="476"/>
      <c r="F29" s="476"/>
      <c r="G29" s="476"/>
      <c r="H29" s="474">
        <v>0</v>
      </c>
      <c r="I29" s="615"/>
      <c r="J29" s="476"/>
      <c r="K29" s="1690">
        <f t="shared" si="0"/>
        <v>0</v>
      </c>
      <c r="L29" s="466">
        <v>0</v>
      </c>
    </row>
    <row r="30" spans="1:12" x14ac:dyDescent="0.2">
      <c r="A30" s="1524" t="s">
        <v>154</v>
      </c>
      <c r="B30" s="601" t="s">
        <v>758</v>
      </c>
      <c r="C30" s="476"/>
      <c r="D30" s="476"/>
      <c r="E30" s="476"/>
      <c r="F30" s="476"/>
      <c r="G30" s="476"/>
      <c r="H30" s="474">
        <v>0</v>
      </c>
      <c r="I30" s="615"/>
      <c r="J30" s="476"/>
      <c r="K30" s="1690">
        <f t="shared" si="0"/>
        <v>0</v>
      </c>
      <c r="L30" s="466">
        <v>0</v>
      </c>
    </row>
    <row r="31" spans="1:12" x14ac:dyDescent="0.2">
      <c r="A31" s="1524" t="s">
        <v>155</v>
      </c>
      <c r="B31" s="601" t="s">
        <v>759</v>
      </c>
      <c r="C31" s="476"/>
      <c r="D31" s="476"/>
      <c r="E31" s="476"/>
      <c r="F31" s="476"/>
      <c r="G31" s="476"/>
      <c r="H31" s="474">
        <v>0</v>
      </c>
      <c r="I31" s="615"/>
      <c r="J31" s="476"/>
      <c r="K31" s="1690">
        <f t="shared" si="0"/>
        <v>0</v>
      </c>
      <c r="L31" s="466">
        <v>0</v>
      </c>
    </row>
    <row r="32" spans="1:12" x14ac:dyDescent="0.2">
      <c r="A32" s="1525" t="s">
        <v>1190</v>
      </c>
      <c r="B32" s="613" t="s">
        <v>760</v>
      </c>
      <c r="C32" s="476"/>
      <c r="D32" s="476"/>
      <c r="E32" s="476"/>
      <c r="F32" s="476"/>
      <c r="G32" s="476"/>
      <c r="H32" s="474">
        <v>0</v>
      </c>
      <c r="I32" s="615"/>
      <c r="J32" s="479"/>
      <c r="K32" s="1690">
        <f t="shared" si="0"/>
        <v>0</v>
      </c>
      <c r="L32" s="466">
        <v>0</v>
      </c>
    </row>
    <row r="33" spans="1:14" ht="12.75" customHeight="1" thickBot="1" x14ac:dyDescent="0.25">
      <c r="A33" s="1687" t="s">
        <v>1766</v>
      </c>
      <c r="B33" s="1688" t="s">
        <v>590</v>
      </c>
      <c r="C33" s="1689">
        <f>SUM(C5:C32)</f>
        <v>17106024</v>
      </c>
      <c r="D33" s="1689">
        <f t="shared" ref="D33:L33" si="1">SUM(D5:D32)</f>
        <v>3100217</v>
      </c>
      <c r="E33" s="1689">
        <f t="shared" si="1"/>
        <v>271294</v>
      </c>
      <c r="F33" s="1689">
        <f t="shared" si="1"/>
        <v>725201</v>
      </c>
      <c r="G33" s="1689">
        <f t="shared" si="1"/>
        <v>36357</v>
      </c>
      <c r="H33" s="1689">
        <f t="shared" si="1"/>
        <v>142316</v>
      </c>
      <c r="I33" s="1689">
        <f t="shared" si="1"/>
        <v>0</v>
      </c>
      <c r="J33" s="1689">
        <f t="shared" si="1"/>
        <v>0</v>
      </c>
      <c r="K33" s="1689">
        <f t="shared" si="1"/>
        <v>21381409</v>
      </c>
      <c r="L33" s="1689">
        <f t="shared" si="1"/>
        <v>22968555</v>
      </c>
    </row>
    <row r="34" spans="1:14" s="619" customFormat="1" ht="15.75" customHeight="1" thickTop="1" x14ac:dyDescent="0.2">
      <c r="A34" s="1627" t="s">
        <v>48</v>
      </c>
      <c r="B34" s="1628"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3" t="s">
        <v>1149</v>
      </c>
      <c r="B36" s="613">
        <v>2110</v>
      </c>
      <c r="C36" s="480">
        <v>143984</v>
      </c>
      <c r="D36" s="480">
        <v>31044</v>
      </c>
      <c r="E36" s="480">
        <v>0</v>
      </c>
      <c r="F36" s="480">
        <v>0</v>
      </c>
      <c r="G36" s="480">
        <v>0</v>
      </c>
      <c r="H36" s="480">
        <v>0</v>
      </c>
      <c r="I36" s="467">
        <v>0</v>
      </c>
      <c r="J36" s="467">
        <v>0</v>
      </c>
      <c r="K36" s="1690">
        <f t="shared" ref="K36:K41" si="2">SUM(C36:J36)</f>
        <v>175028</v>
      </c>
      <c r="L36" s="466">
        <v>190585</v>
      </c>
    </row>
    <row r="37" spans="1:14" x14ac:dyDescent="0.2">
      <c r="A37" s="1523" t="s">
        <v>1150</v>
      </c>
      <c r="B37" s="613">
        <v>2120</v>
      </c>
      <c r="C37" s="466">
        <v>610512</v>
      </c>
      <c r="D37" s="466">
        <v>145881</v>
      </c>
      <c r="E37" s="466">
        <v>0</v>
      </c>
      <c r="F37" s="466">
        <v>0</v>
      </c>
      <c r="G37" s="466">
        <v>0</v>
      </c>
      <c r="H37" s="466">
        <v>0</v>
      </c>
      <c r="I37" s="467">
        <v>0</v>
      </c>
      <c r="J37" s="467">
        <v>0</v>
      </c>
      <c r="K37" s="1690">
        <f t="shared" si="2"/>
        <v>756393</v>
      </c>
      <c r="L37" s="466">
        <v>810206</v>
      </c>
    </row>
    <row r="38" spans="1:14" x14ac:dyDescent="0.2">
      <c r="A38" s="1523" t="s">
        <v>207</v>
      </c>
      <c r="B38" s="613">
        <v>2130</v>
      </c>
      <c r="C38" s="466">
        <v>169890</v>
      </c>
      <c r="D38" s="466">
        <v>877</v>
      </c>
      <c r="E38" s="466">
        <v>406</v>
      </c>
      <c r="F38" s="466">
        <v>123</v>
      </c>
      <c r="G38" s="466">
        <v>0</v>
      </c>
      <c r="H38" s="466">
        <v>0</v>
      </c>
      <c r="I38" s="467">
        <v>0</v>
      </c>
      <c r="J38" s="467">
        <v>0</v>
      </c>
      <c r="K38" s="1690">
        <f t="shared" si="2"/>
        <v>171296</v>
      </c>
      <c r="L38" s="466">
        <v>179716</v>
      </c>
    </row>
    <row r="39" spans="1:14" x14ac:dyDescent="0.2">
      <c r="A39" s="1523" t="s">
        <v>208</v>
      </c>
      <c r="B39" s="613">
        <v>2140</v>
      </c>
      <c r="C39" s="466">
        <v>109289</v>
      </c>
      <c r="D39" s="466">
        <v>22035</v>
      </c>
      <c r="E39" s="466">
        <v>0</v>
      </c>
      <c r="F39" s="466">
        <v>0</v>
      </c>
      <c r="G39" s="466">
        <v>0</v>
      </c>
      <c r="H39" s="466">
        <v>0</v>
      </c>
      <c r="I39" s="467">
        <v>0</v>
      </c>
      <c r="J39" s="467">
        <v>0</v>
      </c>
      <c r="K39" s="1690">
        <f t="shared" si="2"/>
        <v>131324</v>
      </c>
      <c r="L39" s="466">
        <v>131492</v>
      </c>
    </row>
    <row r="40" spans="1:14" x14ac:dyDescent="0.2">
      <c r="A40" s="1523" t="s">
        <v>209</v>
      </c>
      <c r="B40" s="613">
        <v>2150</v>
      </c>
      <c r="C40" s="466">
        <v>438747</v>
      </c>
      <c r="D40" s="466">
        <v>93472</v>
      </c>
      <c r="E40" s="466">
        <v>2701</v>
      </c>
      <c r="F40" s="466">
        <v>3420</v>
      </c>
      <c r="G40" s="466">
        <v>0</v>
      </c>
      <c r="H40" s="466">
        <v>0</v>
      </c>
      <c r="I40" s="467">
        <v>0</v>
      </c>
      <c r="J40" s="467">
        <v>0</v>
      </c>
      <c r="K40" s="1690">
        <f t="shared" si="2"/>
        <v>538340</v>
      </c>
      <c r="L40" s="466">
        <v>492825</v>
      </c>
    </row>
    <row r="41" spans="1:14" x14ac:dyDescent="0.2">
      <c r="A41" s="1523" t="s">
        <v>1767</v>
      </c>
      <c r="B41" s="613">
        <v>2190</v>
      </c>
      <c r="C41" s="466">
        <v>0</v>
      </c>
      <c r="D41" s="466">
        <v>0</v>
      </c>
      <c r="E41" s="466">
        <v>0</v>
      </c>
      <c r="F41" s="466">
        <v>31378</v>
      </c>
      <c r="G41" s="466">
        <v>0</v>
      </c>
      <c r="H41" s="466">
        <v>0</v>
      </c>
      <c r="I41" s="467">
        <v>0</v>
      </c>
      <c r="J41" s="467">
        <v>0</v>
      </c>
      <c r="K41" s="1690">
        <f t="shared" si="2"/>
        <v>31378</v>
      </c>
      <c r="L41" s="466">
        <v>40112</v>
      </c>
    </row>
    <row r="42" spans="1:14" ht="12.75" customHeight="1" thickBot="1" x14ac:dyDescent="0.25">
      <c r="A42" s="1687" t="s">
        <v>580</v>
      </c>
      <c r="B42" s="1688" t="s">
        <v>739</v>
      </c>
      <c r="C42" s="1689">
        <f>SUM(C36:C41)</f>
        <v>1472422</v>
      </c>
      <c r="D42" s="1689">
        <f t="shared" ref="D42:L42" si="3">SUM(D36:D41)</f>
        <v>293309</v>
      </c>
      <c r="E42" s="1689">
        <f t="shared" si="3"/>
        <v>3107</v>
      </c>
      <c r="F42" s="1689">
        <f t="shared" si="3"/>
        <v>34921</v>
      </c>
      <c r="G42" s="1689">
        <f t="shared" si="3"/>
        <v>0</v>
      </c>
      <c r="H42" s="1689">
        <f t="shared" si="3"/>
        <v>0</v>
      </c>
      <c r="I42" s="1689">
        <f t="shared" si="3"/>
        <v>0</v>
      </c>
      <c r="J42" s="1689">
        <f t="shared" si="3"/>
        <v>0</v>
      </c>
      <c r="K42" s="1689">
        <f t="shared" si="3"/>
        <v>1803759</v>
      </c>
      <c r="L42" s="1689">
        <f t="shared" si="3"/>
        <v>1844936</v>
      </c>
    </row>
    <row r="43" spans="1:14" ht="15.75" customHeight="1" thickTop="1" x14ac:dyDescent="0.2">
      <c r="A43" s="623" t="s">
        <v>612</v>
      </c>
      <c r="B43" s="624"/>
      <c r="C43" s="625"/>
      <c r="D43" s="625"/>
      <c r="E43" s="625"/>
      <c r="F43" s="625"/>
      <c r="G43" s="625"/>
      <c r="H43" s="625"/>
      <c r="I43" s="615"/>
      <c r="J43" s="615"/>
      <c r="K43" s="625"/>
      <c r="L43" s="625"/>
    </row>
    <row r="44" spans="1:14" x14ac:dyDescent="0.2">
      <c r="A44" s="1523" t="s">
        <v>867</v>
      </c>
      <c r="B44" s="613">
        <v>2210</v>
      </c>
      <c r="C44" s="480">
        <v>317288</v>
      </c>
      <c r="D44" s="480">
        <v>37356</v>
      </c>
      <c r="E44" s="480">
        <v>87924</v>
      </c>
      <c r="F44" s="480">
        <v>11232</v>
      </c>
      <c r="G44" s="480">
        <v>0</v>
      </c>
      <c r="H44" s="480">
        <v>0</v>
      </c>
      <c r="I44" s="467">
        <v>0</v>
      </c>
      <c r="J44" s="467">
        <v>0</v>
      </c>
      <c r="K44" s="1691">
        <f>SUM(C44:J44)</f>
        <v>453800</v>
      </c>
      <c r="L44" s="480">
        <v>583881</v>
      </c>
    </row>
    <row r="45" spans="1:14" x14ac:dyDescent="0.2">
      <c r="A45" s="1523" t="s">
        <v>868</v>
      </c>
      <c r="B45" s="613">
        <v>2220</v>
      </c>
      <c r="C45" s="467">
        <v>113863</v>
      </c>
      <c r="D45" s="466">
        <v>19753</v>
      </c>
      <c r="E45" s="466">
        <v>2000</v>
      </c>
      <c r="F45" s="466">
        <v>4157</v>
      </c>
      <c r="G45" s="466">
        <v>0</v>
      </c>
      <c r="H45" s="466">
        <v>0</v>
      </c>
      <c r="I45" s="467">
        <v>0</v>
      </c>
      <c r="J45" s="467">
        <v>0</v>
      </c>
      <c r="K45" s="1691">
        <f>SUM(C45:J45)</f>
        <v>139773</v>
      </c>
      <c r="L45" s="466">
        <v>145100</v>
      </c>
    </row>
    <row r="46" spans="1:14" x14ac:dyDescent="0.2">
      <c r="A46" s="1523" t="s">
        <v>869</v>
      </c>
      <c r="B46" s="613">
        <v>2230</v>
      </c>
      <c r="C46" s="467">
        <v>0</v>
      </c>
      <c r="D46" s="466">
        <v>0</v>
      </c>
      <c r="E46" s="466">
        <v>0</v>
      </c>
      <c r="F46" s="466">
        <v>17215</v>
      </c>
      <c r="G46" s="466">
        <v>0</v>
      </c>
      <c r="H46" s="466">
        <v>0</v>
      </c>
      <c r="I46" s="467">
        <v>0</v>
      </c>
      <c r="J46" s="467">
        <v>0</v>
      </c>
      <c r="K46" s="1691">
        <f>SUM(C46:J46)</f>
        <v>17215</v>
      </c>
      <c r="L46" s="466">
        <v>40000</v>
      </c>
    </row>
    <row r="47" spans="1:14" ht="12.75" customHeight="1" thickBot="1" x14ac:dyDescent="0.25">
      <c r="A47" s="1687" t="s">
        <v>581</v>
      </c>
      <c r="B47" s="1688" t="s">
        <v>32</v>
      </c>
      <c r="C47" s="1689">
        <f>SUM(C44:C46)</f>
        <v>431151</v>
      </c>
      <c r="D47" s="1689">
        <f t="shared" ref="D47:K47" si="4">SUM(D44:D46)</f>
        <v>57109</v>
      </c>
      <c r="E47" s="1689">
        <f t="shared" si="4"/>
        <v>89924</v>
      </c>
      <c r="F47" s="1689">
        <f t="shared" si="4"/>
        <v>32604</v>
      </c>
      <c r="G47" s="1689">
        <f t="shared" si="4"/>
        <v>0</v>
      </c>
      <c r="H47" s="1689">
        <f t="shared" si="4"/>
        <v>0</v>
      </c>
      <c r="I47" s="1689">
        <f t="shared" si="4"/>
        <v>0</v>
      </c>
      <c r="J47" s="1689">
        <f t="shared" si="4"/>
        <v>0</v>
      </c>
      <c r="K47" s="1689">
        <f t="shared" si="4"/>
        <v>610788</v>
      </c>
      <c r="L47" s="1689">
        <f>SUM(L44:L46)</f>
        <v>768981</v>
      </c>
    </row>
    <row r="48" spans="1:14" ht="15.75" customHeight="1" thickTop="1" x14ac:dyDescent="0.2">
      <c r="A48" s="623" t="s">
        <v>630</v>
      </c>
      <c r="B48" s="624"/>
      <c r="C48" s="625"/>
      <c r="D48" s="625"/>
      <c r="E48" s="625"/>
      <c r="F48" s="625"/>
      <c r="G48" s="625"/>
      <c r="H48" s="625"/>
      <c r="I48" s="615"/>
      <c r="J48" s="615"/>
      <c r="K48" s="625"/>
      <c r="L48" s="625"/>
    </row>
    <row r="49" spans="1:14" x14ac:dyDescent="0.2">
      <c r="A49" s="1523" t="s">
        <v>870</v>
      </c>
      <c r="B49" s="613">
        <v>2310</v>
      </c>
      <c r="C49" s="480">
        <v>1677</v>
      </c>
      <c r="D49" s="480">
        <v>3</v>
      </c>
      <c r="E49" s="480">
        <v>17241</v>
      </c>
      <c r="F49" s="480">
        <v>738</v>
      </c>
      <c r="G49" s="480">
        <v>0</v>
      </c>
      <c r="H49" s="480">
        <v>0</v>
      </c>
      <c r="I49" s="467">
        <v>0</v>
      </c>
      <c r="J49" s="467">
        <v>0</v>
      </c>
      <c r="K49" s="1691">
        <f>SUM(C49:J49)</f>
        <v>19659</v>
      </c>
      <c r="L49" s="466">
        <v>30750</v>
      </c>
    </row>
    <row r="50" spans="1:14" x14ac:dyDescent="0.2">
      <c r="A50" s="1523" t="s">
        <v>871</v>
      </c>
      <c r="B50" s="613">
        <v>2320</v>
      </c>
      <c r="C50" s="466">
        <v>462553</v>
      </c>
      <c r="D50" s="466">
        <v>18969</v>
      </c>
      <c r="E50" s="466">
        <v>36558</v>
      </c>
      <c r="F50" s="466">
        <v>3554</v>
      </c>
      <c r="G50" s="466">
        <v>19257</v>
      </c>
      <c r="H50" s="466">
        <v>0</v>
      </c>
      <c r="I50" s="467">
        <v>0</v>
      </c>
      <c r="J50" s="467">
        <v>31312</v>
      </c>
      <c r="K50" s="1691">
        <f>SUM(C50:J50)</f>
        <v>572203</v>
      </c>
      <c r="L50" s="466">
        <v>506471</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315</v>
      </c>
      <c r="B52" s="626" t="s">
        <v>383</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740</v>
      </c>
      <c r="B53" s="1688" t="s">
        <v>33</v>
      </c>
      <c r="C53" s="1689">
        <f>SUM(C49:C52)</f>
        <v>464230</v>
      </c>
      <c r="D53" s="1689">
        <f t="shared" ref="D53:L53" si="5">SUM(D49:D52)</f>
        <v>18972</v>
      </c>
      <c r="E53" s="1689">
        <f t="shared" si="5"/>
        <v>53799</v>
      </c>
      <c r="F53" s="1689">
        <f t="shared" si="5"/>
        <v>4292</v>
      </c>
      <c r="G53" s="1689">
        <f t="shared" si="5"/>
        <v>19257</v>
      </c>
      <c r="H53" s="1689">
        <f t="shared" si="5"/>
        <v>0</v>
      </c>
      <c r="I53" s="1689">
        <f t="shared" si="5"/>
        <v>0</v>
      </c>
      <c r="J53" s="1689">
        <f t="shared" si="5"/>
        <v>31312</v>
      </c>
      <c r="K53" s="1689">
        <f t="shared" si="5"/>
        <v>591862</v>
      </c>
      <c r="L53" s="1689">
        <f t="shared" si="5"/>
        <v>537221</v>
      </c>
    </row>
    <row r="54" spans="1:14" ht="15.75" customHeight="1" thickTop="1" x14ac:dyDescent="0.2">
      <c r="A54" s="623" t="s">
        <v>631</v>
      </c>
      <c r="B54" s="624"/>
      <c r="C54" s="625"/>
      <c r="D54" s="625"/>
      <c r="E54" s="625"/>
      <c r="F54" s="625"/>
      <c r="G54" s="625"/>
      <c r="H54" s="625"/>
      <c r="I54" s="615"/>
      <c r="J54" s="615"/>
      <c r="K54" s="625"/>
      <c r="L54" s="625"/>
    </row>
    <row r="55" spans="1:14" x14ac:dyDescent="0.2">
      <c r="A55" s="1523" t="s">
        <v>1126</v>
      </c>
      <c r="B55" s="613">
        <v>2410</v>
      </c>
      <c r="C55" s="480">
        <v>1676242</v>
      </c>
      <c r="D55" s="480">
        <v>279819</v>
      </c>
      <c r="E55" s="480">
        <v>199143</v>
      </c>
      <c r="F55" s="480">
        <v>50939</v>
      </c>
      <c r="G55" s="480">
        <v>0</v>
      </c>
      <c r="H55" s="480">
        <v>0</v>
      </c>
      <c r="I55" s="467">
        <v>0</v>
      </c>
      <c r="J55" s="467">
        <v>0</v>
      </c>
      <c r="K55" s="1691">
        <f>SUM(C55:J55)</f>
        <v>2206143</v>
      </c>
      <c r="L55" s="480">
        <v>2361100</v>
      </c>
    </row>
    <row r="56" spans="1:14" ht="12.75" customHeight="1" x14ac:dyDescent="0.2">
      <c r="A56" s="1527" t="s">
        <v>393</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1676242</v>
      </c>
      <c r="D57" s="1693">
        <f t="shared" ref="D57:K57" si="6">SUM(D55:D56)</f>
        <v>279819</v>
      </c>
      <c r="E57" s="1693">
        <f t="shared" si="6"/>
        <v>199143</v>
      </c>
      <c r="F57" s="1693">
        <f t="shared" si="6"/>
        <v>50939</v>
      </c>
      <c r="G57" s="1693">
        <f t="shared" si="6"/>
        <v>0</v>
      </c>
      <c r="H57" s="1693">
        <f t="shared" si="6"/>
        <v>0</v>
      </c>
      <c r="I57" s="1693">
        <f t="shared" si="6"/>
        <v>0</v>
      </c>
      <c r="J57" s="1693">
        <f t="shared" si="6"/>
        <v>0</v>
      </c>
      <c r="K57" s="1693">
        <f t="shared" si="6"/>
        <v>2206143</v>
      </c>
      <c r="L57" s="1689">
        <f>SUM(L55:L56)</f>
        <v>2361100</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3" t="s">
        <v>1127</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3" t="s">
        <v>482</v>
      </c>
      <c r="B60" s="613">
        <v>2520</v>
      </c>
      <c r="C60" s="466">
        <v>179056</v>
      </c>
      <c r="D60" s="466">
        <v>18608</v>
      </c>
      <c r="E60" s="466">
        <v>36438</v>
      </c>
      <c r="F60" s="466">
        <v>0</v>
      </c>
      <c r="G60" s="466">
        <v>0</v>
      </c>
      <c r="H60" s="466">
        <v>0</v>
      </c>
      <c r="I60" s="467">
        <v>0</v>
      </c>
      <c r="J60" s="467">
        <v>0</v>
      </c>
      <c r="K60" s="1691">
        <f t="shared" si="7"/>
        <v>234102</v>
      </c>
      <c r="L60" s="466">
        <v>230767</v>
      </c>
      <c r="M60" s="608"/>
      <c r="N60" s="608"/>
    </row>
    <row r="61" spans="1:14" s="343" customFormat="1" x14ac:dyDescent="0.2">
      <c r="A61" s="1523"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3" t="s">
        <v>1009</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597989</v>
      </c>
      <c r="D63" s="466">
        <v>11524</v>
      </c>
      <c r="E63" s="466">
        <v>17179</v>
      </c>
      <c r="F63" s="466">
        <v>542967</v>
      </c>
      <c r="G63" s="466">
        <v>0</v>
      </c>
      <c r="H63" s="466">
        <v>0</v>
      </c>
      <c r="I63" s="467">
        <v>0</v>
      </c>
      <c r="J63" s="467">
        <v>0</v>
      </c>
      <c r="K63" s="1691">
        <f t="shared" si="7"/>
        <v>1169659</v>
      </c>
      <c r="L63" s="466">
        <v>1365370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742</v>
      </c>
      <c r="B65" s="1688" t="s">
        <v>35</v>
      </c>
      <c r="C65" s="1689">
        <f>SUM(C59:C64)</f>
        <v>777045</v>
      </c>
      <c r="D65" s="1689">
        <f t="shared" ref="D65:L65" si="8">SUM(D59:D64)</f>
        <v>30132</v>
      </c>
      <c r="E65" s="1689">
        <f t="shared" si="8"/>
        <v>53617</v>
      </c>
      <c r="F65" s="1689">
        <f t="shared" si="8"/>
        <v>542967</v>
      </c>
      <c r="G65" s="1689">
        <f t="shared" si="8"/>
        <v>0</v>
      </c>
      <c r="H65" s="1689">
        <f t="shared" si="8"/>
        <v>0</v>
      </c>
      <c r="I65" s="1689">
        <f t="shared" si="8"/>
        <v>0</v>
      </c>
      <c r="J65" s="1689">
        <f t="shared" si="8"/>
        <v>0</v>
      </c>
      <c r="K65" s="1689">
        <f t="shared" si="8"/>
        <v>1403761</v>
      </c>
      <c r="L65" s="1689">
        <f t="shared" si="8"/>
        <v>1596137</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3" t="s">
        <v>1119</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627</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1120</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422</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423</v>
      </c>
      <c r="B71" s="613">
        <v>2660</v>
      </c>
      <c r="C71" s="466">
        <v>0</v>
      </c>
      <c r="D71" s="466">
        <v>0</v>
      </c>
      <c r="E71" s="466">
        <v>0</v>
      </c>
      <c r="F71" s="466">
        <v>0</v>
      </c>
      <c r="G71" s="466">
        <v>42800</v>
      </c>
      <c r="H71" s="466">
        <v>0</v>
      </c>
      <c r="I71" s="467">
        <v>0</v>
      </c>
      <c r="J71" s="467">
        <v>0</v>
      </c>
      <c r="K71" s="1691">
        <f>SUM(C71:J71)</f>
        <v>42800</v>
      </c>
      <c r="L71" s="466">
        <v>28000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42800</v>
      </c>
      <c r="H72" s="1689">
        <f t="shared" si="9"/>
        <v>0</v>
      </c>
      <c r="I72" s="1689">
        <f t="shared" si="9"/>
        <v>0</v>
      </c>
      <c r="J72" s="1689">
        <f t="shared" si="9"/>
        <v>0</v>
      </c>
      <c r="K72" s="1689">
        <f t="shared" si="9"/>
        <v>42800</v>
      </c>
      <c r="L72" s="1689">
        <f>SUM(L67:L71)</f>
        <v>28000</v>
      </c>
      <c r="M72" s="608"/>
      <c r="N72" s="608"/>
    </row>
    <row r="73" spans="1:14" s="343" customFormat="1" ht="14.25" thickTop="1" thickBot="1" x14ac:dyDescent="0.25">
      <c r="A73" s="1529" t="s">
        <v>1036</v>
      </c>
      <c r="B73" s="631" t="s">
        <v>594</v>
      </c>
      <c r="C73" s="571">
        <v>174677</v>
      </c>
      <c r="D73" s="571">
        <v>13091</v>
      </c>
      <c r="E73" s="571">
        <v>553379</v>
      </c>
      <c r="F73" s="571">
        <v>18823</v>
      </c>
      <c r="G73" s="571">
        <v>683805</v>
      </c>
      <c r="H73" s="571">
        <v>0</v>
      </c>
      <c r="I73" s="529">
        <v>0</v>
      </c>
      <c r="J73" s="529">
        <v>0</v>
      </c>
      <c r="K73" s="1689">
        <f>SUM(C73:J73)</f>
        <v>1443775</v>
      </c>
      <c r="L73" s="574">
        <v>1456764</v>
      </c>
      <c r="M73" s="608"/>
      <c r="N73" s="608"/>
    </row>
    <row r="74" spans="1:14" ht="12.75" customHeight="1" thickTop="1" thickBot="1" x14ac:dyDescent="0.25">
      <c r="A74" s="1687" t="s">
        <v>864</v>
      </c>
      <c r="B74" s="1695">
        <v>2000</v>
      </c>
      <c r="C74" s="1696">
        <f>SUM(C42,C47,C53,C57,C65,C72,C73)</f>
        <v>4995767</v>
      </c>
      <c r="D74" s="1696">
        <f t="shared" ref="D74:K74" si="10">SUM(D42,D47,D53,D57,D65,D72,D73)</f>
        <v>692432</v>
      </c>
      <c r="E74" s="1696">
        <f t="shared" si="10"/>
        <v>952969</v>
      </c>
      <c r="F74" s="1696">
        <f t="shared" si="10"/>
        <v>684546</v>
      </c>
      <c r="G74" s="1696">
        <f t="shared" si="10"/>
        <v>745862</v>
      </c>
      <c r="H74" s="1696">
        <f t="shared" si="10"/>
        <v>0</v>
      </c>
      <c r="I74" s="1696">
        <f t="shared" si="10"/>
        <v>0</v>
      </c>
      <c r="J74" s="1696">
        <f t="shared" si="10"/>
        <v>31312</v>
      </c>
      <c r="K74" s="1696">
        <f t="shared" si="10"/>
        <v>8102888</v>
      </c>
      <c r="L74" s="1696">
        <f>SUM(L42,L47,L53,L57,L65,L72,L73)</f>
        <v>8593139</v>
      </c>
    </row>
    <row r="75" spans="1:14" s="259" customFormat="1" ht="15.75" customHeight="1" thickTop="1" thickBot="1" x14ac:dyDescent="0.25">
      <c r="A75" s="1629" t="s">
        <v>49</v>
      </c>
      <c r="B75" s="1630" t="s">
        <v>595</v>
      </c>
      <c r="C75" s="571">
        <v>0</v>
      </c>
      <c r="D75" s="571">
        <v>0</v>
      </c>
      <c r="E75" s="571">
        <v>17700</v>
      </c>
      <c r="F75" s="571">
        <v>0</v>
      </c>
      <c r="G75" s="571">
        <v>0</v>
      </c>
      <c r="H75" s="571">
        <v>0</v>
      </c>
      <c r="I75" s="529">
        <v>0</v>
      </c>
      <c r="J75" s="529">
        <v>0</v>
      </c>
      <c r="K75" s="1689">
        <f>SUM(C75:J75)</f>
        <v>17700</v>
      </c>
      <c r="L75" s="574">
        <v>45000</v>
      </c>
      <c r="M75" s="612"/>
      <c r="N75" s="612"/>
    </row>
    <row r="76" spans="1:14" s="632" customFormat="1" ht="15.75" customHeight="1" thickTop="1" x14ac:dyDescent="0.2">
      <c r="A76" s="1631" t="s">
        <v>382</v>
      </c>
      <c r="B76" s="1628"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3" t="s">
        <v>516</v>
      </c>
      <c r="B78" s="613">
        <v>4110</v>
      </c>
      <c r="C78" s="615"/>
      <c r="D78" s="615"/>
      <c r="E78" s="480">
        <v>0</v>
      </c>
      <c r="F78" s="615"/>
      <c r="G78" s="615"/>
      <c r="H78" s="633">
        <v>190417</v>
      </c>
      <c r="I78" s="476"/>
      <c r="J78" s="476"/>
      <c r="K78" s="1690">
        <f t="shared" ref="K78:K83" si="11">SUM(C78:J78)</f>
        <v>190417</v>
      </c>
      <c r="L78" s="480">
        <v>0</v>
      </c>
    </row>
    <row r="79" spans="1:14" x14ac:dyDescent="0.2">
      <c r="A79" s="1523" t="s">
        <v>321</v>
      </c>
      <c r="B79" s="613">
        <v>4120</v>
      </c>
      <c r="C79" s="615"/>
      <c r="D79" s="615"/>
      <c r="E79" s="466">
        <v>0</v>
      </c>
      <c r="F79" s="615"/>
      <c r="G79" s="615"/>
      <c r="H79" s="466">
        <v>0</v>
      </c>
      <c r="I79" s="476"/>
      <c r="J79" s="476"/>
      <c r="K79" s="1690">
        <f t="shared" si="11"/>
        <v>0</v>
      </c>
      <c r="L79" s="466">
        <v>0</v>
      </c>
    </row>
    <row r="80" spans="1:14" x14ac:dyDescent="0.2">
      <c r="A80" s="1523" t="s">
        <v>322</v>
      </c>
      <c r="B80" s="613">
        <v>4130</v>
      </c>
      <c r="C80" s="615"/>
      <c r="D80" s="615"/>
      <c r="E80" s="466">
        <v>0</v>
      </c>
      <c r="F80" s="615"/>
      <c r="G80" s="615"/>
      <c r="H80" s="466">
        <v>0</v>
      </c>
      <c r="I80" s="476"/>
      <c r="J80" s="476"/>
      <c r="K80" s="1690">
        <f t="shared" si="11"/>
        <v>0</v>
      </c>
      <c r="L80" s="466">
        <v>0</v>
      </c>
    </row>
    <row r="81" spans="1:12" x14ac:dyDescent="0.2">
      <c r="A81" s="1523" t="s">
        <v>720</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721</v>
      </c>
      <c r="B83" s="627">
        <v>4190</v>
      </c>
      <c r="C83" s="615"/>
      <c r="D83" s="615"/>
      <c r="E83" s="466">
        <v>0</v>
      </c>
      <c r="F83" s="615"/>
      <c r="G83" s="615"/>
      <c r="H83" s="466">
        <v>0</v>
      </c>
      <c r="I83" s="476"/>
      <c r="J83" s="476"/>
      <c r="K83" s="1690">
        <f t="shared" si="11"/>
        <v>0</v>
      </c>
      <c r="L83" s="466">
        <v>0</v>
      </c>
    </row>
    <row r="84" spans="1:12" ht="13.5" thickBot="1" x14ac:dyDescent="0.25">
      <c r="A84" s="1687" t="s">
        <v>1564</v>
      </c>
      <c r="B84" s="1697">
        <v>4100</v>
      </c>
      <c r="C84" s="615"/>
      <c r="D84" s="615"/>
      <c r="E84" s="1689">
        <f>SUM(E78:E83)</f>
        <v>0</v>
      </c>
      <c r="F84" s="615"/>
      <c r="G84" s="615"/>
      <c r="H84" s="1689">
        <f>SUM(H78:H83)</f>
        <v>190417</v>
      </c>
      <c r="I84" s="476"/>
      <c r="J84" s="476"/>
      <c r="K84" s="1689">
        <f>SUM(K78:K83)</f>
        <v>190417</v>
      </c>
      <c r="L84" s="1689">
        <f>SUM(L78:L83)</f>
        <v>0</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722</v>
      </c>
      <c r="B86" s="636">
        <v>4220</v>
      </c>
      <c r="C86" s="615"/>
      <c r="D86" s="615"/>
      <c r="E86" s="637"/>
      <c r="F86" s="615"/>
      <c r="G86" s="615"/>
      <c r="H86" s="467">
        <v>1075508</v>
      </c>
      <c r="I86" s="476"/>
      <c r="J86" s="476"/>
      <c r="K86" s="1696">
        <f t="shared" ref="K86:K98" si="12">H86</f>
        <v>1075508</v>
      </c>
      <c r="L86" s="528">
        <v>790000</v>
      </c>
    </row>
    <row r="87" spans="1:12" ht="14.25" thickTop="1" thickBot="1" x14ac:dyDescent="0.25">
      <c r="A87" s="1532" t="s">
        <v>723</v>
      </c>
      <c r="B87" s="638">
        <v>4230</v>
      </c>
      <c r="C87" s="615"/>
      <c r="D87" s="615"/>
      <c r="E87" s="637"/>
      <c r="F87" s="615"/>
      <c r="G87" s="615"/>
      <c r="H87" s="467">
        <v>0</v>
      </c>
      <c r="I87" s="476"/>
      <c r="J87" s="476"/>
      <c r="K87" s="1696">
        <f t="shared" si="12"/>
        <v>0</v>
      </c>
      <c r="L87" s="528">
        <v>0</v>
      </c>
    </row>
    <row r="88" spans="1:12" ht="12.75" customHeight="1" thickTop="1" thickBot="1" x14ac:dyDescent="0.25">
      <c r="A88" s="1532" t="s">
        <v>788</v>
      </c>
      <c r="B88" s="638">
        <v>4240</v>
      </c>
      <c r="C88" s="615"/>
      <c r="D88" s="615"/>
      <c r="E88" s="637"/>
      <c r="F88" s="615"/>
      <c r="G88" s="615"/>
      <c r="H88" s="467">
        <v>0</v>
      </c>
      <c r="I88" s="476"/>
      <c r="J88" s="476"/>
      <c r="K88" s="1696">
        <f t="shared" si="12"/>
        <v>0</v>
      </c>
      <c r="L88" s="528">
        <v>6500</v>
      </c>
    </row>
    <row r="89" spans="1:12" ht="12.75" customHeight="1" thickTop="1" thickBot="1" x14ac:dyDescent="0.25">
      <c r="A89" s="1532" t="s">
        <v>724</v>
      </c>
      <c r="B89" s="638">
        <v>4270</v>
      </c>
      <c r="C89" s="615"/>
      <c r="D89" s="615"/>
      <c r="E89" s="637"/>
      <c r="F89" s="615"/>
      <c r="G89" s="615"/>
      <c r="H89" s="467">
        <v>0</v>
      </c>
      <c r="I89" s="476"/>
      <c r="J89" s="476"/>
      <c r="K89" s="1696">
        <f t="shared" si="12"/>
        <v>0</v>
      </c>
      <c r="L89" s="528">
        <v>0</v>
      </c>
    </row>
    <row r="90" spans="1:12" ht="12.75" customHeight="1" thickTop="1" thickBot="1" x14ac:dyDescent="0.25">
      <c r="A90" s="1532" t="s">
        <v>709</v>
      </c>
      <c r="B90" s="638">
        <v>4280</v>
      </c>
      <c r="C90" s="615"/>
      <c r="D90" s="615"/>
      <c r="E90" s="637"/>
      <c r="F90" s="615"/>
      <c r="G90" s="615"/>
      <c r="H90" s="467">
        <v>0</v>
      </c>
      <c r="I90" s="476"/>
      <c r="J90" s="476"/>
      <c r="K90" s="1696">
        <f t="shared" si="12"/>
        <v>0</v>
      </c>
      <c r="L90" s="528">
        <v>0</v>
      </c>
    </row>
    <row r="91" spans="1:12" ht="12.75" customHeight="1" thickTop="1" thickBot="1" x14ac:dyDescent="0.25">
      <c r="A91" s="1532" t="s">
        <v>710</v>
      </c>
      <c r="B91" s="638">
        <v>4290</v>
      </c>
      <c r="C91" s="615"/>
      <c r="D91" s="615"/>
      <c r="E91" s="637"/>
      <c r="F91" s="615"/>
      <c r="G91" s="615"/>
      <c r="H91" s="467">
        <v>0</v>
      </c>
      <c r="I91" s="476"/>
      <c r="J91" s="476"/>
      <c r="K91" s="1696">
        <f t="shared" si="12"/>
        <v>0</v>
      </c>
      <c r="L91" s="528">
        <v>0</v>
      </c>
    </row>
    <row r="92" spans="1:12" ht="14.25" thickTop="1" thickBot="1" x14ac:dyDescent="0.25">
      <c r="A92" s="1699" t="s">
        <v>1640</v>
      </c>
      <c r="B92" s="1697">
        <v>4200</v>
      </c>
      <c r="C92" s="615"/>
      <c r="D92" s="615"/>
      <c r="E92" s="637"/>
      <c r="F92" s="615"/>
      <c r="G92" s="615"/>
      <c r="H92" s="1689">
        <f>SUM(H85:H91)</f>
        <v>1075508</v>
      </c>
      <c r="I92" s="476"/>
      <c r="J92" s="476"/>
      <c r="K92" s="1696">
        <f t="shared" si="12"/>
        <v>1075508</v>
      </c>
      <c r="L92" s="1689">
        <f>SUM(L85:L91)</f>
        <v>796500</v>
      </c>
    </row>
    <row r="93" spans="1:12" ht="14.25" thickTop="1" thickBot="1" x14ac:dyDescent="0.25">
      <c r="A93" s="1531" t="s">
        <v>711</v>
      </c>
      <c r="B93" s="639">
        <v>4310</v>
      </c>
      <c r="C93" s="615"/>
      <c r="D93" s="615"/>
      <c r="E93" s="637"/>
      <c r="F93" s="615"/>
      <c r="G93" s="615"/>
      <c r="H93" s="640">
        <v>0</v>
      </c>
      <c r="I93" s="476"/>
      <c r="J93" s="476"/>
      <c r="K93" s="1696">
        <f t="shared" si="12"/>
        <v>0</v>
      </c>
      <c r="L93" s="530">
        <v>0</v>
      </c>
    </row>
    <row r="94" spans="1:12" ht="12.75" customHeight="1" thickTop="1" thickBot="1" x14ac:dyDescent="0.25">
      <c r="A94" s="1532" t="s">
        <v>712</v>
      </c>
      <c r="B94" s="638">
        <v>4320</v>
      </c>
      <c r="C94" s="615"/>
      <c r="D94" s="615"/>
      <c r="E94" s="637"/>
      <c r="F94" s="615"/>
      <c r="G94" s="615"/>
      <c r="H94" s="467">
        <v>0</v>
      </c>
      <c r="I94" s="476"/>
      <c r="J94" s="476"/>
      <c r="K94" s="1696">
        <f t="shared" si="12"/>
        <v>0</v>
      </c>
      <c r="L94" s="528">
        <v>0</v>
      </c>
    </row>
    <row r="95" spans="1:12" ht="15" customHeight="1" thickTop="1" thickBot="1" x14ac:dyDescent="0.25">
      <c r="A95" s="1532" t="s">
        <v>1567</v>
      </c>
      <c r="B95" s="638">
        <v>4330</v>
      </c>
      <c r="C95" s="615"/>
      <c r="D95" s="615"/>
      <c r="E95" s="637"/>
      <c r="F95" s="615"/>
      <c r="G95" s="615"/>
      <c r="H95" s="467">
        <v>0</v>
      </c>
      <c r="I95" s="476"/>
      <c r="J95" s="476"/>
      <c r="K95" s="1696">
        <f t="shared" si="12"/>
        <v>0</v>
      </c>
      <c r="L95" s="528">
        <v>0</v>
      </c>
    </row>
    <row r="96" spans="1:12" ht="14.25" thickTop="1" thickBot="1" x14ac:dyDescent="0.25">
      <c r="A96" s="1532" t="s">
        <v>713</v>
      </c>
      <c r="B96" s="638">
        <v>4340</v>
      </c>
      <c r="C96" s="615"/>
      <c r="D96" s="615"/>
      <c r="E96" s="637"/>
      <c r="F96" s="615"/>
      <c r="G96" s="615"/>
      <c r="H96" s="467">
        <v>0</v>
      </c>
      <c r="I96" s="476"/>
      <c r="J96" s="476"/>
      <c r="K96" s="1696">
        <f t="shared" si="12"/>
        <v>0</v>
      </c>
      <c r="L96" s="528">
        <v>0</v>
      </c>
    </row>
    <row r="97" spans="1:14" ht="12.75" customHeight="1" thickTop="1" thickBot="1" x14ac:dyDescent="0.25">
      <c r="A97" s="1532" t="s">
        <v>786</v>
      </c>
      <c r="B97" s="638">
        <v>4370</v>
      </c>
      <c r="C97" s="615"/>
      <c r="D97" s="615"/>
      <c r="E97" s="637"/>
      <c r="F97" s="615"/>
      <c r="G97" s="615"/>
      <c r="H97" s="467">
        <v>0</v>
      </c>
      <c r="I97" s="476"/>
      <c r="J97" s="476"/>
      <c r="K97" s="1696">
        <f t="shared" si="12"/>
        <v>0</v>
      </c>
      <c r="L97" s="528">
        <v>0</v>
      </c>
    </row>
    <row r="98" spans="1:14" ht="14.25" thickTop="1" thickBot="1" x14ac:dyDescent="0.25">
      <c r="A98" s="1532" t="s">
        <v>787</v>
      </c>
      <c r="B98" s="638">
        <v>4380</v>
      </c>
      <c r="C98" s="615"/>
      <c r="D98" s="615"/>
      <c r="E98" s="641"/>
      <c r="F98" s="615"/>
      <c r="G98" s="615"/>
      <c r="H98" s="467">
        <v>0</v>
      </c>
      <c r="I98" s="476"/>
      <c r="J98" s="476"/>
      <c r="K98" s="1696">
        <f t="shared" si="12"/>
        <v>0</v>
      </c>
      <c r="L98" s="528">
        <v>0</v>
      </c>
    </row>
    <row r="99" spans="1:14" ht="14.25" thickTop="1" thickBot="1" x14ac:dyDescent="0.25">
      <c r="A99" s="1532" t="s">
        <v>384</v>
      </c>
      <c r="B99" s="638">
        <v>4390</v>
      </c>
      <c r="C99" s="615"/>
      <c r="D99" s="615"/>
      <c r="E99" s="530">
        <v>0</v>
      </c>
      <c r="F99" s="615"/>
      <c r="G99" s="615"/>
      <c r="H99" s="467">
        <v>0</v>
      </c>
      <c r="I99" s="476"/>
      <c r="J99" s="476"/>
      <c r="K99" s="1696">
        <f>SUM(E99,H99)</f>
        <v>0</v>
      </c>
      <c r="L99" s="528">
        <v>0</v>
      </c>
    </row>
    <row r="100" spans="1:14" ht="14.25" thickTop="1" thickBot="1" x14ac:dyDescent="0.25">
      <c r="A100" s="1699" t="s">
        <v>1565</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1568</v>
      </c>
      <c r="B101" s="642" t="s">
        <v>987</v>
      </c>
      <c r="C101" s="615"/>
      <c r="D101" s="615"/>
      <c r="E101" s="529">
        <v>0</v>
      </c>
      <c r="F101" s="615"/>
      <c r="G101" s="615"/>
      <c r="H101" s="529">
        <v>0</v>
      </c>
      <c r="I101" s="476"/>
      <c r="J101" s="476"/>
      <c r="K101" s="1698">
        <f>SUM(C101:J101)</f>
        <v>0</v>
      </c>
      <c r="L101" s="528">
        <v>0</v>
      </c>
    </row>
    <row r="102" spans="1:14" ht="12.75" customHeight="1" thickTop="1" thickBot="1" x14ac:dyDescent="0.25">
      <c r="A102" s="1687" t="s">
        <v>1566</v>
      </c>
      <c r="B102" s="1697">
        <v>4000</v>
      </c>
      <c r="C102" s="615"/>
      <c r="D102" s="615"/>
      <c r="E102" s="1696">
        <f>SUM(E84,E92,E100,E101)</f>
        <v>0</v>
      </c>
      <c r="F102" s="615"/>
      <c r="G102" s="615"/>
      <c r="H102" s="1696">
        <f>SUM(H84,H92,H100,H101)</f>
        <v>1265925</v>
      </c>
      <c r="I102" s="476"/>
      <c r="J102" s="476"/>
      <c r="K102" s="1696">
        <f>SUM(K84,K92,K100,K101)</f>
        <v>1265925</v>
      </c>
      <c r="L102" s="1696">
        <f>SUM(L84,L92,L100,L101)</f>
        <v>796500</v>
      </c>
    </row>
    <row r="103" spans="1:14" s="632" customFormat="1" ht="15.75" customHeight="1" thickTop="1" x14ac:dyDescent="0.2">
      <c r="A103" s="1631" t="s">
        <v>533</v>
      </c>
      <c r="B103" s="1628"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1231</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609</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1163</v>
      </c>
      <c r="B110" s="1694" t="s">
        <v>741</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385</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658</v>
      </c>
      <c r="B112" s="1688" t="s">
        <v>512</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534</v>
      </c>
      <c r="B113" s="1632" t="s">
        <v>915</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22101791</v>
      </c>
      <c r="D114" s="1689">
        <f t="shared" ref="D114:K114" si="13">SUM(D33,D74,D75,D102,D112,D113)</f>
        <v>3792649</v>
      </c>
      <c r="E114" s="1689">
        <f t="shared" si="13"/>
        <v>1241963</v>
      </c>
      <c r="F114" s="1689">
        <f t="shared" si="13"/>
        <v>1409747</v>
      </c>
      <c r="G114" s="1689">
        <f t="shared" si="13"/>
        <v>782219</v>
      </c>
      <c r="H114" s="1689">
        <f>SUM(H33,H74,H75,H102,H112,H113)</f>
        <v>1408241</v>
      </c>
      <c r="I114" s="1689">
        <f t="shared" si="13"/>
        <v>0</v>
      </c>
      <c r="J114" s="1689">
        <f t="shared" si="13"/>
        <v>31312</v>
      </c>
      <c r="K114" s="1689">
        <f t="shared" si="13"/>
        <v>30767922</v>
      </c>
      <c r="L114" s="1689">
        <f>SUM(L33,L74,L75,L102,L112,L113)</f>
        <v>32403194</v>
      </c>
    </row>
    <row r="115" spans="1:14" ht="13.5" thickTop="1" x14ac:dyDescent="0.2">
      <c r="A115" s="2274" t="s">
        <v>1052</v>
      </c>
      <c r="B115" s="2275"/>
      <c r="C115" s="617"/>
      <c r="D115" s="617"/>
      <c r="E115" s="617"/>
      <c r="F115" s="617"/>
      <c r="G115" s="617"/>
      <c r="H115" s="617"/>
      <c r="I115" s="617"/>
      <c r="J115" s="617"/>
      <c r="K115" s="1703">
        <f>'Revenues 9-14'!C275-'Expenditures 15-22'!K114</f>
        <v>2996846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79" t="s">
        <v>313</v>
      </c>
      <c r="B117" s="2280"/>
      <c r="C117" s="1645"/>
      <c r="D117" s="1646"/>
      <c r="E117" s="1646"/>
      <c r="F117" s="1646"/>
      <c r="G117" s="1646"/>
      <c r="H117" s="1646"/>
      <c r="I117" s="1646"/>
      <c r="J117" s="1646"/>
      <c r="K117" s="1646"/>
      <c r="L117" s="1647"/>
      <c r="M117" s="175"/>
      <c r="N117" s="175"/>
    </row>
    <row r="118" spans="1:14" ht="15.75" customHeight="1" x14ac:dyDescent="0.2">
      <c r="A118" s="1633" t="s">
        <v>1094</v>
      </c>
      <c r="B118" s="1634"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3" t="s">
        <v>1127</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1430306</v>
      </c>
      <c r="D124" s="466">
        <v>122879</v>
      </c>
      <c r="E124" s="466">
        <v>722839</v>
      </c>
      <c r="F124" s="466">
        <v>1185187</v>
      </c>
      <c r="G124" s="466">
        <v>362752</v>
      </c>
      <c r="H124" s="466">
        <v>0</v>
      </c>
      <c r="I124" s="467">
        <v>0</v>
      </c>
      <c r="J124" s="467">
        <v>0</v>
      </c>
      <c r="K124" s="1689">
        <f>SUM(C124:J124)</f>
        <v>3823963</v>
      </c>
      <c r="L124" s="466">
        <v>4389962</v>
      </c>
    </row>
    <row r="125" spans="1:14" ht="14.25" thickTop="1" thickBot="1" x14ac:dyDescent="0.25">
      <c r="A125" s="1523" t="s">
        <v>1009</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742</v>
      </c>
      <c r="B127" s="1688" t="s">
        <v>35</v>
      </c>
      <c r="C127" s="1689">
        <f>SUM(C122:C126)</f>
        <v>1430306</v>
      </c>
      <c r="D127" s="1689">
        <f t="shared" ref="D127:L127" si="14">SUM(D122:D126)</f>
        <v>122879</v>
      </c>
      <c r="E127" s="1689">
        <f t="shared" si="14"/>
        <v>722839</v>
      </c>
      <c r="F127" s="1689">
        <f t="shared" si="14"/>
        <v>1185187</v>
      </c>
      <c r="G127" s="1689">
        <f t="shared" si="14"/>
        <v>362752</v>
      </c>
      <c r="H127" s="1689">
        <f t="shared" si="14"/>
        <v>0</v>
      </c>
      <c r="I127" s="1689">
        <f t="shared" si="14"/>
        <v>0</v>
      </c>
      <c r="J127" s="1689">
        <f t="shared" si="14"/>
        <v>0</v>
      </c>
      <c r="K127" s="1689">
        <f t="shared" si="14"/>
        <v>3823963</v>
      </c>
      <c r="L127" s="1689">
        <f t="shared" si="14"/>
        <v>4389962</v>
      </c>
    </row>
    <row r="128" spans="1:14" ht="12.75" customHeight="1" thickTop="1" x14ac:dyDescent="0.2">
      <c r="A128" s="1530" t="s">
        <v>1036</v>
      </c>
      <c r="B128" s="654" t="s">
        <v>594</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864</v>
      </c>
      <c r="B129" s="1706" t="s">
        <v>589</v>
      </c>
      <c r="C129" s="1696">
        <f>SUM(C120,C127,C128)</f>
        <v>1430306</v>
      </c>
      <c r="D129" s="1696">
        <f t="shared" ref="D129:L129" si="15">SUM(D120,D127,D128)</f>
        <v>122879</v>
      </c>
      <c r="E129" s="1696">
        <f t="shared" si="15"/>
        <v>722839</v>
      </c>
      <c r="F129" s="1696">
        <f t="shared" si="15"/>
        <v>1185187</v>
      </c>
      <c r="G129" s="1696">
        <f t="shared" si="15"/>
        <v>362752</v>
      </c>
      <c r="H129" s="1696">
        <f t="shared" si="15"/>
        <v>0</v>
      </c>
      <c r="I129" s="1696">
        <f t="shared" si="15"/>
        <v>0</v>
      </c>
      <c r="J129" s="1696">
        <f t="shared" si="15"/>
        <v>0</v>
      </c>
      <c r="K129" s="1696">
        <f t="shared" si="15"/>
        <v>3823963</v>
      </c>
      <c r="L129" s="1696">
        <f t="shared" si="15"/>
        <v>4389962</v>
      </c>
    </row>
    <row r="130" spans="1:14" ht="15.75" customHeight="1" thickTop="1" thickBot="1" x14ac:dyDescent="0.25">
      <c r="A130" s="1629" t="s">
        <v>1095</v>
      </c>
      <c r="B130" s="1630" t="s">
        <v>595</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636</v>
      </c>
      <c r="B131" s="1628"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09" t="s">
        <v>516</v>
      </c>
      <c r="B133" s="1861" t="s">
        <v>1952</v>
      </c>
      <c r="C133" s="468"/>
      <c r="D133" s="468"/>
      <c r="E133" s="640">
        <v>0</v>
      </c>
      <c r="F133" s="468"/>
      <c r="G133" s="468"/>
      <c r="H133" s="640">
        <v>0</v>
      </c>
      <c r="I133" s="468"/>
      <c r="J133" s="468"/>
      <c r="K133" s="1841">
        <f>SUM(E133,H133)</f>
        <v>0</v>
      </c>
      <c r="L133" s="640">
        <v>0</v>
      </c>
      <c r="M133" s="206"/>
      <c r="N133" s="206"/>
    </row>
    <row r="134" spans="1:14" x14ac:dyDescent="0.2">
      <c r="A134" s="1523" t="s">
        <v>321</v>
      </c>
      <c r="B134" s="613">
        <v>4120</v>
      </c>
      <c r="C134" s="615"/>
      <c r="D134" s="615"/>
      <c r="E134" s="477">
        <v>0</v>
      </c>
      <c r="F134" s="615"/>
      <c r="G134" s="615"/>
      <c r="H134" s="480">
        <v>0</v>
      </c>
      <c r="I134" s="476"/>
      <c r="J134" s="615"/>
      <c r="K134" s="1691">
        <f>SUM(E134,H134)</f>
        <v>0</v>
      </c>
      <c r="L134" s="640">
        <v>0</v>
      </c>
    </row>
    <row r="135" spans="1:14" x14ac:dyDescent="0.2">
      <c r="A135" s="1523" t="s">
        <v>720</v>
      </c>
      <c r="B135" s="613">
        <v>4140</v>
      </c>
      <c r="C135" s="615"/>
      <c r="D135" s="615"/>
      <c r="E135" s="467">
        <v>0</v>
      </c>
      <c r="F135" s="615"/>
      <c r="G135" s="615"/>
      <c r="H135" s="466">
        <v>0</v>
      </c>
      <c r="I135" s="476"/>
      <c r="J135" s="615"/>
      <c r="K135" s="1691">
        <f>SUM(E135,H135)</f>
        <v>0</v>
      </c>
      <c r="L135" s="466">
        <v>0</v>
      </c>
    </row>
    <row r="136" spans="1:14" x14ac:dyDescent="0.2">
      <c r="A136" s="1527" t="s">
        <v>721</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500</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987</v>
      </c>
      <c r="C138" s="615"/>
      <c r="D138" s="615"/>
      <c r="E138" s="478">
        <v>0</v>
      </c>
      <c r="F138" s="615"/>
      <c r="G138" s="615"/>
      <c r="H138" s="574">
        <v>0</v>
      </c>
      <c r="I138" s="476"/>
      <c r="J138" s="615"/>
      <c r="K138" s="1691">
        <f>SUM(E138,H138)</f>
        <v>0</v>
      </c>
      <c r="L138" s="574">
        <v>0</v>
      </c>
    </row>
    <row r="139" spans="1:14" ht="12.75" customHeight="1" thickTop="1" thickBot="1" x14ac:dyDescent="0.25">
      <c r="A139" s="1687" t="s">
        <v>1566</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1096</v>
      </c>
      <c r="B140" s="1632"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1231</v>
      </c>
      <c r="B144" s="627" t="s">
        <v>637</v>
      </c>
      <c r="C144" s="615"/>
      <c r="D144" s="615"/>
      <c r="E144" s="615"/>
      <c r="F144" s="615"/>
      <c r="G144" s="615"/>
      <c r="H144" s="466">
        <v>0</v>
      </c>
      <c r="I144" s="468"/>
      <c r="J144" s="615"/>
      <c r="K144" s="1691">
        <f>SUM(H144)</f>
        <v>0</v>
      </c>
      <c r="L144" s="466">
        <v>0</v>
      </c>
    </row>
    <row r="145" spans="1:14" x14ac:dyDescent="0.2">
      <c r="A145" s="1523" t="s">
        <v>91</v>
      </c>
      <c r="B145" s="613" t="s">
        <v>609</v>
      </c>
      <c r="C145" s="615"/>
      <c r="D145" s="615"/>
      <c r="E145" s="615"/>
      <c r="F145" s="615"/>
      <c r="G145" s="615"/>
      <c r="H145" s="466">
        <v>0</v>
      </c>
      <c r="I145" s="468"/>
      <c r="J145" s="615"/>
      <c r="K145" s="1691">
        <f>SUM(H145)</f>
        <v>0</v>
      </c>
      <c r="L145" s="466">
        <v>0</v>
      </c>
    </row>
    <row r="146" spans="1:14" ht="12.75" customHeight="1" x14ac:dyDescent="0.2">
      <c r="A146" s="1523" t="s">
        <v>639</v>
      </c>
      <c r="B146" s="613" t="s">
        <v>638</v>
      </c>
      <c r="C146" s="615"/>
      <c r="D146" s="615"/>
      <c r="E146" s="615"/>
      <c r="F146" s="615"/>
      <c r="G146" s="615"/>
      <c r="H146" s="466">
        <v>0</v>
      </c>
      <c r="I146" s="468"/>
      <c r="J146" s="615"/>
      <c r="K146" s="1691">
        <f>SUM(H146)</f>
        <v>0</v>
      </c>
      <c r="L146" s="466">
        <v>0</v>
      </c>
    </row>
    <row r="147" spans="1:14" ht="12.75" customHeight="1" thickBot="1" x14ac:dyDescent="0.25">
      <c r="A147" s="1534" t="s">
        <v>646</v>
      </c>
      <c r="B147" s="658" t="s">
        <v>741</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1164</v>
      </c>
      <c r="B148" s="660" t="s">
        <v>38</v>
      </c>
      <c r="C148" s="615"/>
      <c r="D148" s="615"/>
      <c r="E148" s="615"/>
      <c r="F148" s="615"/>
      <c r="G148" s="615"/>
      <c r="H148" s="478">
        <v>0</v>
      </c>
      <c r="I148" s="468"/>
      <c r="J148" s="615"/>
      <c r="K148" s="1691">
        <f>SUM(H148)</f>
        <v>0</v>
      </c>
      <c r="L148" s="490">
        <v>0</v>
      </c>
    </row>
    <row r="149" spans="1:14" ht="12.75" customHeight="1" thickBot="1" x14ac:dyDescent="0.25">
      <c r="A149" s="1526" t="s">
        <v>658</v>
      </c>
      <c r="B149" s="616" t="s">
        <v>512</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1097</v>
      </c>
      <c r="B150" s="1632" t="s">
        <v>915</v>
      </c>
      <c r="C150" s="615"/>
      <c r="D150" s="615"/>
      <c r="E150" s="615"/>
      <c r="F150" s="615"/>
      <c r="G150" s="615"/>
      <c r="H150" s="661"/>
      <c r="I150" s="519"/>
      <c r="J150" s="615"/>
      <c r="K150" s="622"/>
      <c r="L150" s="571">
        <v>125000</v>
      </c>
    </row>
    <row r="151" spans="1:14" ht="12.75" customHeight="1" thickTop="1" thickBot="1" x14ac:dyDescent="0.25">
      <c r="A151" s="2291" t="s">
        <v>640</v>
      </c>
      <c r="B151" s="2271"/>
      <c r="C151" s="1689">
        <f>SUM(C129,C130,C139,C149,C150)</f>
        <v>1430306</v>
      </c>
      <c r="D151" s="1689">
        <f t="shared" ref="D151:K151" si="16">SUM(D129,D130,D139,D149,D150)</f>
        <v>122879</v>
      </c>
      <c r="E151" s="1689">
        <f t="shared" si="16"/>
        <v>722839</v>
      </c>
      <c r="F151" s="1689">
        <f t="shared" si="16"/>
        <v>1185187</v>
      </c>
      <c r="G151" s="1689">
        <f t="shared" si="16"/>
        <v>362752</v>
      </c>
      <c r="H151" s="1689">
        <f t="shared" si="16"/>
        <v>0</v>
      </c>
      <c r="I151" s="1689">
        <f t="shared" si="16"/>
        <v>0</v>
      </c>
      <c r="J151" s="1689">
        <f t="shared" si="16"/>
        <v>0</v>
      </c>
      <c r="K151" s="1689">
        <f t="shared" si="16"/>
        <v>3823963</v>
      </c>
      <c r="L151" s="1689">
        <f>SUM(L129,L130,L139,L149,L150)</f>
        <v>4514962</v>
      </c>
    </row>
    <row r="152" spans="1:14" ht="12.75" customHeight="1" thickTop="1" x14ac:dyDescent="0.2">
      <c r="A152" s="2294" t="s">
        <v>1239</v>
      </c>
      <c r="B152" s="2295"/>
      <c r="C152" s="617"/>
      <c r="D152" s="617"/>
      <c r="E152" s="617"/>
      <c r="F152" s="617"/>
      <c r="G152" s="617"/>
      <c r="H152" s="617"/>
      <c r="I152" s="617"/>
      <c r="J152" s="615"/>
      <c r="K152" s="1703">
        <f>'Revenues 9-14'!D275-'Expenditures 15-22'!K151</f>
        <v>688538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79" t="s">
        <v>641</v>
      </c>
      <c r="B154" s="2281"/>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914</v>
      </c>
      <c r="C155" s="615"/>
      <c r="D155" s="615"/>
      <c r="E155" s="615"/>
      <c r="F155" s="615"/>
      <c r="G155" s="615"/>
      <c r="H155" s="1862"/>
      <c r="I155" s="615"/>
      <c r="J155" s="615"/>
      <c r="K155" s="1845"/>
      <c r="L155" s="1862"/>
      <c r="M155" s="618"/>
      <c r="N155" s="618"/>
    </row>
    <row r="156" spans="1:14" s="619" customFormat="1" ht="15.75" customHeight="1" thickTop="1" x14ac:dyDescent="0.2">
      <c r="A156" s="1842" t="s">
        <v>1953</v>
      </c>
      <c r="B156" s="1843"/>
      <c r="C156" s="615"/>
      <c r="D156" s="615"/>
      <c r="E156" s="615"/>
      <c r="F156" s="615"/>
      <c r="G156" s="615"/>
      <c r="H156" s="1863"/>
      <c r="I156" s="615"/>
      <c r="J156" s="615"/>
      <c r="K156" s="1844"/>
      <c r="L156" s="1863"/>
      <c r="M156" s="618"/>
      <c r="N156" s="618"/>
    </row>
    <row r="157" spans="1:14" s="619" customFormat="1" ht="12" x14ac:dyDescent="0.2">
      <c r="A157" s="1846" t="s">
        <v>516</v>
      </c>
      <c r="B157" s="1847" t="s">
        <v>1952</v>
      </c>
      <c r="C157" s="615"/>
      <c r="D157" s="615"/>
      <c r="E157" s="615"/>
      <c r="F157" s="615"/>
      <c r="G157" s="615"/>
      <c r="H157" s="640">
        <v>0</v>
      </c>
      <c r="I157" s="615"/>
      <c r="J157" s="615"/>
      <c r="K157" s="1690">
        <f>H157</f>
        <v>0</v>
      </c>
      <c r="L157" s="640">
        <v>0</v>
      </c>
      <c r="M157" s="618"/>
      <c r="N157" s="618"/>
    </row>
    <row r="158" spans="1:14" s="619" customFormat="1" ht="12" x14ac:dyDescent="0.2">
      <c r="A158" s="1846" t="s">
        <v>321</v>
      </c>
      <c r="B158" s="1847" t="s">
        <v>1954</v>
      </c>
      <c r="C158" s="615"/>
      <c r="D158" s="615"/>
      <c r="E158" s="615"/>
      <c r="F158" s="615"/>
      <c r="G158" s="615"/>
      <c r="H158" s="467">
        <v>0</v>
      </c>
      <c r="I158" s="615"/>
      <c r="J158" s="615"/>
      <c r="K158" s="1690">
        <f>H158</f>
        <v>0</v>
      </c>
      <c r="L158" s="467">
        <v>0</v>
      </c>
      <c r="M158" s="618"/>
      <c r="N158" s="618"/>
    </row>
    <row r="159" spans="1:14" s="619" customFormat="1" ht="12" x14ac:dyDescent="0.2">
      <c r="A159" s="1846" t="s">
        <v>1955</v>
      </c>
      <c r="B159" s="1847" t="s">
        <v>578</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1956</v>
      </c>
      <c r="B160" s="1849" t="s">
        <v>914</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1231</v>
      </c>
      <c r="B165" s="613" t="s">
        <v>637</v>
      </c>
      <c r="C165" s="615"/>
      <c r="D165" s="615"/>
      <c r="E165" s="615"/>
      <c r="F165" s="615"/>
      <c r="G165" s="615"/>
      <c r="H165" s="466">
        <v>0</v>
      </c>
      <c r="I165" s="615"/>
      <c r="J165" s="615"/>
      <c r="K165" s="1690">
        <f>SUM(C165:J165)</f>
        <v>0</v>
      </c>
      <c r="L165" s="466">
        <v>0</v>
      </c>
    </row>
    <row r="166" spans="1:14" x14ac:dyDescent="0.2">
      <c r="A166" s="1523" t="s">
        <v>91</v>
      </c>
      <c r="B166" s="627" t="s">
        <v>609</v>
      </c>
      <c r="C166" s="615"/>
      <c r="D166" s="615"/>
      <c r="E166" s="615"/>
      <c r="F166" s="615"/>
      <c r="G166" s="615"/>
      <c r="H166" s="466">
        <v>0</v>
      </c>
      <c r="I166" s="615"/>
      <c r="J166" s="615"/>
      <c r="K166" s="1690">
        <f>SUM(C166:J166)</f>
        <v>0</v>
      </c>
      <c r="L166" s="466">
        <v>0</v>
      </c>
    </row>
    <row r="167" spans="1:14" ht="12.75" customHeight="1" x14ac:dyDescent="0.2">
      <c r="A167" s="1523" t="s">
        <v>639</v>
      </c>
      <c r="B167" s="613" t="s">
        <v>638</v>
      </c>
      <c r="C167" s="615"/>
      <c r="D167" s="615"/>
      <c r="E167" s="615"/>
      <c r="F167" s="615"/>
      <c r="G167" s="615"/>
      <c r="H167" s="466">
        <v>0</v>
      </c>
      <c r="I167" s="615"/>
      <c r="J167" s="615"/>
      <c r="K167" s="1690">
        <f>SUM(C167:J167)</f>
        <v>0</v>
      </c>
      <c r="L167" s="466">
        <v>0</v>
      </c>
    </row>
    <row r="168" spans="1:14" ht="13.5" thickBot="1" x14ac:dyDescent="0.25">
      <c r="A168" s="1687" t="s">
        <v>293</v>
      </c>
      <c r="B168" s="1694" t="s">
        <v>741</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2265570</v>
      </c>
      <c r="I169" s="615"/>
      <c r="J169" s="615"/>
      <c r="K169" s="1690">
        <f>SUM(C169:H169)</f>
        <v>2265570</v>
      </c>
      <c r="L169" s="655">
        <v>2340162</v>
      </c>
    </row>
    <row r="170" spans="1:14" ht="33.75" customHeight="1" x14ac:dyDescent="0.2">
      <c r="A170" s="668" t="s">
        <v>1768</v>
      </c>
      <c r="B170" s="670" t="s">
        <v>31</v>
      </c>
      <c r="C170" s="615"/>
      <c r="D170" s="615"/>
      <c r="E170" s="615"/>
      <c r="F170" s="615"/>
      <c r="G170" s="615"/>
      <c r="H170" s="567">
        <v>3710000</v>
      </c>
      <c r="I170" s="615"/>
      <c r="J170" s="615"/>
      <c r="K170" s="1690">
        <f>SUM(C170:J170)</f>
        <v>3710000</v>
      </c>
      <c r="L170" s="567">
        <v>3710000</v>
      </c>
    </row>
    <row r="171" spans="1:14" ht="15.75" customHeight="1" x14ac:dyDescent="0.2">
      <c r="A171" s="620" t="s">
        <v>789</v>
      </c>
      <c r="B171" s="671" t="s">
        <v>86</v>
      </c>
      <c r="C171" s="615"/>
      <c r="D171" s="615"/>
      <c r="E171" s="466">
        <v>6389</v>
      </c>
      <c r="F171" s="615"/>
      <c r="G171" s="615"/>
      <c r="H171" s="567">
        <v>0</v>
      </c>
      <c r="I171" s="476"/>
      <c r="J171" s="615"/>
      <c r="K171" s="1690">
        <f>SUM(C171:J171)</f>
        <v>6389</v>
      </c>
      <c r="L171" s="567">
        <v>7000</v>
      </c>
    </row>
    <row r="172" spans="1:14" ht="12.75" customHeight="1" thickBot="1" x14ac:dyDescent="0.25">
      <c r="A172" s="1687" t="s">
        <v>658</v>
      </c>
      <c r="B172" s="1688" t="s">
        <v>512</v>
      </c>
      <c r="C172" s="615"/>
      <c r="D172" s="615"/>
      <c r="E172" s="1696">
        <f>SUM(E168,E169,E170,E171)</f>
        <v>6389</v>
      </c>
      <c r="F172" s="615"/>
      <c r="G172" s="615"/>
      <c r="H172" s="1696">
        <f>SUM(H168,H169,H170,H171)</f>
        <v>5975570</v>
      </c>
      <c r="I172" s="637"/>
      <c r="J172" s="615"/>
      <c r="K172" s="1696">
        <f>SUM(K168,K169,K170,K171)</f>
        <v>5981959</v>
      </c>
      <c r="L172" s="1696">
        <f>SUM(L168,L169,L170,L171)</f>
        <v>6057162</v>
      </c>
    </row>
    <row r="173" spans="1:14" ht="15.75" customHeight="1" thickTop="1" thickBot="1" x14ac:dyDescent="0.25">
      <c r="A173" s="1638" t="s">
        <v>87</v>
      </c>
      <c r="B173" s="1630" t="s">
        <v>915</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6389</v>
      </c>
      <c r="F174" s="615"/>
      <c r="G174" s="615"/>
      <c r="H174" s="1696">
        <f>SUM(H160,H172,H173)</f>
        <v>5975570</v>
      </c>
      <c r="I174" s="637"/>
      <c r="J174" s="615"/>
      <c r="K174" s="1696">
        <f>SUM(K160,K172,K173)</f>
        <v>5981959</v>
      </c>
      <c r="L174" s="1696">
        <f>SUM(L160,L172,L173)</f>
        <v>6057162</v>
      </c>
    </row>
    <row r="175" spans="1:14" ht="13.5" thickTop="1" x14ac:dyDescent="0.2">
      <c r="A175" s="2274" t="s">
        <v>1052</v>
      </c>
      <c r="B175" s="2275"/>
      <c r="C175" s="615"/>
      <c r="D175" s="615"/>
      <c r="E175" s="615"/>
      <c r="F175" s="615"/>
      <c r="G175" s="615"/>
      <c r="H175" s="617"/>
      <c r="I175" s="615"/>
      <c r="J175" s="615"/>
      <c r="K175" s="1703">
        <f>'Revenues 9-14'!E275-'Expenditures 15-22'!K174</f>
        <v>604164</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993</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994</v>
      </c>
      <c r="B178" s="1640"/>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3" t="s">
        <v>1009</v>
      </c>
      <c r="B182" s="613">
        <v>2550</v>
      </c>
      <c r="C182" s="467">
        <v>1302793</v>
      </c>
      <c r="D182" s="467">
        <v>25446</v>
      </c>
      <c r="E182" s="467">
        <v>162722</v>
      </c>
      <c r="F182" s="467">
        <v>370067</v>
      </c>
      <c r="G182" s="467">
        <v>180322</v>
      </c>
      <c r="H182" s="466">
        <v>0</v>
      </c>
      <c r="I182" s="467">
        <v>0</v>
      </c>
      <c r="J182" s="467">
        <v>0</v>
      </c>
      <c r="K182" s="1690">
        <f>SUM(C182:J182)</f>
        <v>2041350</v>
      </c>
      <c r="L182" s="466">
        <v>2742774</v>
      </c>
    </row>
    <row r="183" spans="1:14" ht="12.75" customHeight="1" thickBot="1" x14ac:dyDescent="0.25">
      <c r="A183" s="1528" t="s">
        <v>1036</v>
      </c>
      <c r="B183" s="676">
        <v>2900</v>
      </c>
      <c r="C183" s="571">
        <v>8306</v>
      </c>
      <c r="D183" s="571">
        <v>0</v>
      </c>
      <c r="E183" s="571">
        <v>0</v>
      </c>
      <c r="F183" s="571">
        <v>0</v>
      </c>
      <c r="G183" s="571">
        <v>0</v>
      </c>
      <c r="H183" s="571">
        <v>0</v>
      </c>
      <c r="I183" s="530">
        <v>0</v>
      </c>
      <c r="J183" s="530">
        <v>0</v>
      </c>
      <c r="K183" s="1696">
        <f>SUM(C183:J183)</f>
        <v>8306</v>
      </c>
      <c r="L183" s="571">
        <v>0</v>
      </c>
    </row>
    <row r="184" spans="1:14" ht="12.75" customHeight="1" thickTop="1" thickBot="1" x14ac:dyDescent="0.25">
      <c r="A184" s="1710" t="s">
        <v>864</v>
      </c>
      <c r="B184" s="1688" t="s">
        <v>589</v>
      </c>
      <c r="C184" s="1696">
        <f>SUM(C180,C182,C183)</f>
        <v>1311099</v>
      </c>
      <c r="D184" s="1696">
        <f t="shared" ref="D184:J184" si="17">SUM(D180,D182,D183)</f>
        <v>25446</v>
      </c>
      <c r="E184" s="1696">
        <f t="shared" si="17"/>
        <v>162722</v>
      </c>
      <c r="F184" s="1696">
        <f t="shared" si="17"/>
        <v>370067</v>
      </c>
      <c r="G184" s="1696">
        <f t="shared" si="17"/>
        <v>180322</v>
      </c>
      <c r="H184" s="1696">
        <f t="shared" si="17"/>
        <v>0</v>
      </c>
      <c r="I184" s="1696">
        <f t="shared" si="17"/>
        <v>0</v>
      </c>
      <c r="J184" s="1696">
        <f t="shared" si="17"/>
        <v>0</v>
      </c>
      <c r="K184" s="1696">
        <f>SUM(K180,K182,K183)</f>
        <v>2049656</v>
      </c>
      <c r="L184" s="1696">
        <f>SUM(L180, L182:L183)</f>
        <v>2742774</v>
      </c>
    </row>
    <row r="185" spans="1:14" ht="15.75" customHeight="1" thickTop="1" thickBot="1" x14ac:dyDescent="0.25">
      <c r="A185" s="1641" t="s">
        <v>995</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3" t="s">
        <v>516</v>
      </c>
      <c r="B188" s="613">
        <v>4110</v>
      </c>
      <c r="C188" s="615"/>
      <c r="D188" s="615"/>
      <c r="E188" s="466">
        <v>0</v>
      </c>
      <c r="F188" s="615"/>
      <c r="G188" s="615"/>
      <c r="H188" s="466">
        <v>0</v>
      </c>
      <c r="I188" s="476"/>
      <c r="J188" s="615"/>
      <c r="K188" s="1690">
        <f t="shared" ref="K188:K193" si="18">SUM(E188,H188)</f>
        <v>0</v>
      </c>
      <c r="L188" s="466">
        <v>0</v>
      </c>
    </row>
    <row r="189" spans="1:14" x14ac:dyDescent="0.2">
      <c r="A189" s="1523" t="s">
        <v>321</v>
      </c>
      <c r="B189" s="613">
        <v>4120</v>
      </c>
      <c r="C189" s="615"/>
      <c r="D189" s="615"/>
      <c r="E189" s="466">
        <v>0</v>
      </c>
      <c r="F189" s="615"/>
      <c r="G189" s="615"/>
      <c r="H189" s="466">
        <v>0</v>
      </c>
      <c r="I189" s="476"/>
      <c r="J189" s="615"/>
      <c r="K189" s="1690">
        <f t="shared" si="18"/>
        <v>0</v>
      </c>
      <c r="L189" s="466">
        <v>0</v>
      </c>
    </row>
    <row r="190" spans="1:14" x14ac:dyDescent="0.2">
      <c r="A190" s="1523" t="s">
        <v>322</v>
      </c>
      <c r="B190" s="627">
        <v>4130</v>
      </c>
      <c r="C190" s="615"/>
      <c r="D190" s="615"/>
      <c r="E190" s="466">
        <v>0</v>
      </c>
      <c r="F190" s="615"/>
      <c r="G190" s="615"/>
      <c r="H190" s="466">
        <v>0</v>
      </c>
      <c r="I190" s="476"/>
      <c r="J190" s="615"/>
      <c r="K190" s="1690">
        <f t="shared" si="18"/>
        <v>0</v>
      </c>
      <c r="L190" s="466">
        <v>0</v>
      </c>
    </row>
    <row r="191" spans="1:14" x14ac:dyDescent="0.2">
      <c r="A191" s="1523" t="s">
        <v>720</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721</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1201</v>
      </c>
      <c r="B194" s="1688" t="s">
        <v>579</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987</v>
      </c>
      <c r="C195" s="615"/>
      <c r="D195" s="615"/>
      <c r="E195" s="655">
        <v>0</v>
      </c>
      <c r="F195" s="615"/>
      <c r="G195" s="615"/>
      <c r="H195" s="655">
        <v>0</v>
      </c>
      <c r="I195" s="476"/>
      <c r="J195" s="615"/>
      <c r="K195" s="1704">
        <f>SUM(E195,H195)</f>
        <v>0</v>
      </c>
      <c r="L195" s="655">
        <v>0</v>
      </c>
    </row>
    <row r="196" spans="1:14" ht="12.75" customHeight="1" thickBot="1" x14ac:dyDescent="0.25">
      <c r="A196" s="1687" t="s">
        <v>1566</v>
      </c>
      <c r="B196" s="1688" t="s">
        <v>914</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996</v>
      </c>
      <c r="B197" s="1628"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1231</v>
      </c>
      <c r="B201" s="627" t="s">
        <v>637</v>
      </c>
      <c r="C201" s="615"/>
      <c r="D201" s="615"/>
      <c r="E201" s="615"/>
      <c r="F201" s="615"/>
      <c r="G201" s="615"/>
      <c r="H201" s="466">
        <v>0</v>
      </c>
      <c r="I201" s="615"/>
      <c r="J201" s="615"/>
      <c r="K201" s="1690">
        <f>SUM(H201)</f>
        <v>0</v>
      </c>
      <c r="L201" s="466">
        <v>0</v>
      </c>
    </row>
    <row r="202" spans="1:14" x14ac:dyDescent="0.2">
      <c r="A202" s="1523" t="s">
        <v>91</v>
      </c>
      <c r="B202" s="613" t="s">
        <v>609</v>
      </c>
      <c r="C202" s="615"/>
      <c r="D202" s="615"/>
      <c r="E202" s="615"/>
      <c r="F202" s="615"/>
      <c r="G202" s="615"/>
      <c r="H202" s="466">
        <v>0</v>
      </c>
      <c r="I202" s="615"/>
      <c r="J202" s="615"/>
      <c r="K202" s="1690">
        <f>SUM(H202)</f>
        <v>0</v>
      </c>
      <c r="L202" s="466">
        <v>0</v>
      </c>
    </row>
    <row r="203" spans="1:14" x14ac:dyDescent="0.2">
      <c r="A203" s="1535" t="s">
        <v>639</v>
      </c>
      <c r="B203" s="613" t="s">
        <v>638</v>
      </c>
      <c r="C203" s="615"/>
      <c r="D203" s="615"/>
      <c r="E203" s="615"/>
      <c r="F203" s="615"/>
      <c r="G203" s="615"/>
      <c r="H203" s="471">
        <v>0</v>
      </c>
      <c r="I203" s="615"/>
      <c r="J203" s="615"/>
      <c r="K203" s="1690">
        <f>SUM(H203)</f>
        <v>0</v>
      </c>
      <c r="L203" s="471">
        <v>0</v>
      </c>
    </row>
    <row r="204" spans="1:14" ht="13.5" thickBot="1" x14ac:dyDescent="0.25">
      <c r="A204" s="1687" t="s">
        <v>293</v>
      </c>
      <c r="B204" s="1688" t="s">
        <v>741</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1769</v>
      </c>
      <c r="B206" s="671" t="s">
        <v>31</v>
      </c>
      <c r="C206" s="615"/>
      <c r="D206" s="615"/>
      <c r="E206" s="615"/>
      <c r="F206" s="615"/>
      <c r="G206" s="615"/>
      <c r="H206" s="466">
        <v>0</v>
      </c>
      <c r="I206" s="615"/>
      <c r="J206" s="615"/>
      <c r="K206" s="1690">
        <f>SUM(H206)</f>
        <v>0</v>
      </c>
      <c r="L206" s="466">
        <v>0</v>
      </c>
    </row>
    <row r="207" spans="1:14" ht="15.75" customHeight="1" x14ac:dyDescent="0.2">
      <c r="A207" s="620" t="s">
        <v>789</v>
      </c>
      <c r="B207" s="671" t="s">
        <v>86</v>
      </c>
      <c r="C207" s="615"/>
      <c r="D207" s="615"/>
      <c r="E207" s="615"/>
      <c r="F207" s="615"/>
      <c r="G207" s="615"/>
      <c r="H207" s="467">
        <v>0</v>
      </c>
      <c r="I207" s="615"/>
      <c r="J207" s="615"/>
      <c r="K207" s="1690">
        <f>H207</f>
        <v>0</v>
      </c>
      <c r="L207" s="466">
        <v>0</v>
      </c>
    </row>
    <row r="208" spans="1:14" ht="12.75" customHeight="1" thickBot="1" x14ac:dyDescent="0.25">
      <c r="A208" s="1705" t="s">
        <v>658</v>
      </c>
      <c r="B208" s="1706" t="s">
        <v>512</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926</v>
      </c>
      <c r="B209" s="1632" t="s">
        <v>915</v>
      </c>
      <c r="C209" s="622"/>
      <c r="D209" s="622"/>
      <c r="E209" s="622"/>
      <c r="F209" s="622"/>
      <c r="G209" s="622"/>
      <c r="H209" s="622"/>
      <c r="I209" s="615"/>
      <c r="J209" s="615"/>
      <c r="K209" s="622"/>
      <c r="L209" s="574">
        <v>0</v>
      </c>
    </row>
    <row r="210" spans="1:14" ht="12.75" customHeight="1" thickTop="1" thickBot="1" x14ac:dyDescent="0.25">
      <c r="A210" s="1711" t="s">
        <v>294</v>
      </c>
      <c r="B210" s="1712"/>
      <c r="C210" s="1689">
        <f>SUM(C184,C185)</f>
        <v>1311099</v>
      </c>
      <c r="D210" s="1689">
        <f>SUM(D184,D185)</f>
        <v>25446</v>
      </c>
      <c r="E210" s="1689">
        <f>SUM(E184,E185,E196)</f>
        <v>162722</v>
      </c>
      <c r="F210" s="1689">
        <f>SUM(F184,F185)</f>
        <v>370067</v>
      </c>
      <c r="G210" s="1689">
        <f>SUM(G184,G185)</f>
        <v>180322</v>
      </c>
      <c r="H210" s="1689">
        <f>SUM(H184,H185,H196,H208,H209)</f>
        <v>0</v>
      </c>
      <c r="I210" s="1689">
        <f>SUM(I184,I185)</f>
        <v>0</v>
      </c>
      <c r="J210" s="1689">
        <f>SUM(J184,J185)</f>
        <v>0</v>
      </c>
      <c r="K210" s="1690">
        <f>SUM(K184,K185,K196,K208,K209)</f>
        <v>2049656</v>
      </c>
      <c r="L210" s="1689">
        <f>SUM(L184,L185,L196,L208,L209)</f>
        <v>2742774</v>
      </c>
    </row>
    <row r="211" spans="1:14" ht="13.5" thickTop="1" x14ac:dyDescent="0.2">
      <c r="A211" s="2274" t="s">
        <v>1052</v>
      </c>
      <c r="B211" s="2275"/>
      <c r="C211" s="617"/>
      <c r="D211" s="617"/>
      <c r="E211" s="617"/>
      <c r="F211" s="617"/>
      <c r="G211" s="617"/>
      <c r="H211" s="617"/>
      <c r="I211" s="615"/>
      <c r="J211" s="615"/>
      <c r="K211" s="1703">
        <f>'Revenues 9-14'!F275-'Expenditures 15-22'!K210</f>
        <v>1305717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96" t="s">
        <v>1021</v>
      </c>
      <c r="B213" s="2297"/>
      <c r="C213" s="1570"/>
      <c r="D213" s="1571"/>
      <c r="E213" s="1571"/>
      <c r="F213" s="1571"/>
      <c r="G213" s="1571"/>
      <c r="H213" s="1571"/>
      <c r="I213" s="1571"/>
      <c r="J213" s="1571"/>
      <c r="K213" s="1571"/>
      <c r="L213" s="1572"/>
      <c r="M213" s="608"/>
      <c r="N213" s="608"/>
    </row>
    <row r="214" spans="1:14" s="673" customFormat="1" ht="15.75" customHeight="1" x14ac:dyDescent="0.2">
      <c r="A214" s="1642" t="s">
        <v>927</v>
      </c>
      <c r="B214" s="1634" t="s">
        <v>590</v>
      </c>
      <c r="C214" s="615"/>
      <c r="D214" s="622"/>
      <c r="E214" s="615"/>
      <c r="F214" s="615"/>
      <c r="G214" s="615"/>
      <c r="H214" s="615"/>
      <c r="I214" s="615"/>
      <c r="J214" s="615"/>
      <c r="K214" s="622"/>
      <c r="L214" s="622"/>
      <c r="M214" s="664"/>
      <c r="N214" s="664"/>
    </row>
    <row r="215" spans="1:14" x14ac:dyDescent="0.2">
      <c r="A215" s="1523" t="s">
        <v>1017</v>
      </c>
      <c r="B215" s="613">
        <v>1100</v>
      </c>
      <c r="C215" s="615"/>
      <c r="D215" s="466">
        <v>206907</v>
      </c>
      <c r="E215" s="615"/>
      <c r="F215" s="615"/>
      <c r="G215" s="615"/>
      <c r="H215" s="615"/>
      <c r="I215" s="615"/>
      <c r="J215" s="615"/>
      <c r="K215" s="1690">
        <f>D215</f>
        <v>206907</v>
      </c>
      <c r="L215" s="466">
        <v>390012</v>
      </c>
    </row>
    <row r="216" spans="1:14" x14ac:dyDescent="0.2">
      <c r="A216" s="1523" t="s">
        <v>165</v>
      </c>
      <c r="B216" s="613" t="s">
        <v>1023</v>
      </c>
      <c r="C216" s="615"/>
      <c r="D216" s="467">
        <v>6645</v>
      </c>
      <c r="E216" s="615"/>
      <c r="F216" s="615"/>
      <c r="G216" s="615"/>
      <c r="H216" s="615"/>
      <c r="I216" s="615"/>
      <c r="J216" s="615"/>
      <c r="K216" s="1690">
        <f t="shared" ref="K216:K228" si="19">D216</f>
        <v>6645</v>
      </c>
      <c r="L216" s="466">
        <v>8248</v>
      </c>
    </row>
    <row r="217" spans="1:14" x14ac:dyDescent="0.2">
      <c r="A217" s="1523" t="s">
        <v>166</v>
      </c>
      <c r="B217" s="613">
        <v>1200</v>
      </c>
      <c r="C217" s="615"/>
      <c r="D217" s="466">
        <v>270147</v>
      </c>
      <c r="E217" s="615"/>
      <c r="F217" s="615"/>
      <c r="G217" s="615"/>
      <c r="H217" s="615"/>
      <c r="I217" s="615"/>
      <c r="J217" s="615"/>
      <c r="K217" s="1690">
        <f t="shared" si="19"/>
        <v>270147</v>
      </c>
      <c r="L217" s="466">
        <v>328254</v>
      </c>
    </row>
    <row r="218" spans="1:14" x14ac:dyDescent="0.2">
      <c r="A218" s="1523" t="s">
        <v>295</v>
      </c>
      <c r="B218" s="613" t="s">
        <v>1024</v>
      </c>
      <c r="C218" s="615"/>
      <c r="D218" s="467">
        <v>0</v>
      </c>
      <c r="E218" s="615"/>
      <c r="F218" s="615"/>
      <c r="G218" s="615"/>
      <c r="H218" s="615"/>
      <c r="I218" s="615"/>
      <c r="J218" s="615"/>
      <c r="K218" s="1690">
        <f t="shared" si="19"/>
        <v>0</v>
      </c>
      <c r="L218" s="466">
        <v>0</v>
      </c>
    </row>
    <row r="219" spans="1:14" x14ac:dyDescent="0.2">
      <c r="A219" s="1523" t="s">
        <v>296</v>
      </c>
      <c r="B219" s="613">
        <v>1250</v>
      </c>
      <c r="C219" s="615"/>
      <c r="D219" s="466">
        <v>26194</v>
      </c>
      <c r="E219" s="615"/>
      <c r="F219" s="615"/>
      <c r="G219" s="615"/>
      <c r="H219" s="615"/>
      <c r="I219" s="615"/>
      <c r="J219" s="615"/>
      <c r="K219" s="1690">
        <f t="shared" si="19"/>
        <v>26194</v>
      </c>
      <c r="L219" s="466">
        <v>31843</v>
      </c>
    </row>
    <row r="220" spans="1:14" x14ac:dyDescent="0.2">
      <c r="A220" s="1523" t="s">
        <v>297</v>
      </c>
      <c r="B220" s="613" t="s">
        <v>163</v>
      </c>
      <c r="C220" s="615"/>
      <c r="D220" s="467">
        <v>0</v>
      </c>
      <c r="E220" s="615"/>
      <c r="F220" s="615"/>
      <c r="G220" s="615"/>
      <c r="H220" s="615"/>
      <c r="I220" s="615"/>
      <c r="J220" s="615"/>
      <c r="K220" s="1690">
        <f t="shared" si="19"/>
        <v>0</v>
      </c>
      <c r="L220" s="466">
        <v>0</v>
      </c>
    </row>
    <row r="221" spans="1:14" x14ac:dyDescent="0.2">
      <c r="A221" s="1523" t="s">
        <v>1018</v>
      </c>
      <c r="B221" s="613">
        <v>1300</v>
      </c>
      <c r="C221" s="615"/>
      <c r="D221" s="466">
        <v>0</v>
      </c>
      <c r="E221" s="615"/>
      <c r="F221" s="615"/>
      <c r="G221" s="615"/>
      <c r="H221" s="615"/>
      <c r="I221" s="615"/>
      <c r="J221" s="615"/>
      <c r="K221" s="1690">
        <f t="shared" si="19"/>
        <v>0</v>
      </c>
      <c r="L221" s="466">
        <v>0</v>
      </c>
    </row>
    <row r="222" spans="1:14" x14ac:dyDescent="0.2">
      <c r="A222" s="1523" t="s">
        <v>746</v>
      </c>
      <c r="B222" s="613">
        <v>1400</v>
      </c>
      <c r="C222" s="615"/>
      <c r="D222" s="466">
        <v>0</v>
      </c>
      <c r="E222" s="615"/>
      <c r="F222" s="615"/>
      <c r="G222" s="615"/>
      <c r="H222" s="615"/>
      <c r="I222" s="615"/>
      <c r="J222" s="615"/>
      <c r="K222" s="1690">
        <f t="shared" si="19"/>
        <v>0</v>
      </c>
      <c r="L222" s="466">
        <v>0</v>
      </c>
    </row>
    <row r="223" spans="1:14" x14ac:dyDescent="0.2">
      <c r="A223" s="1523" t="s">
        <v>1019</v>
      </c>
      <c r="B223" s="613">
        <v>1500</v>
      </c>
      <c r="C223" s="615"/>
      <c r="D223" s="466">
        <v>37528</v>
      </c>
      <c r="E223" s="615"/>
      <c r="F223" s="615"/>
      <c r="G223" s="615"/>
      <c r="H223" s="615"/>
      <c r="I223" s="615"/>
      <c r="J223" s="615"/>
      <c r="K223" s="1690">
        <f t="shared" si="19"/>
        <v>37528</v>
      </c>
      <c r="L223" s="466">
        <v>108179</v>
      </c>
    </row>
    <row r="224" spans="1:14" x14ac:dyDescent="0.2">
      <c r="A224" s="1523" t="s">
        <v>1020</v>
      </c>
      <c r="B224" s="613">
        <v>1600</v>
      </c>
      <c r="C224" s="615"/>
      <c r="D224" s="466">
        <v>65</v>
      </c>
      <c r="E224" s="615"/>
      <c r="F224" s="615"/>
      <c r="G224" s="615"/>
      <c r="H224" s="615"/>
      <c r="I224" s="615"/>
      <c r="J224" s="615"/>
      <c r="K224" s="1690">
        <f t="shared" si="19"/>
        <v>65</v>
      </c>
      <c r="L224" s="466">
        <v>0</v>
      </c>
    </row>
    <row r="225" spans="1:12" x14ac:dyDescent="0.2">
      <c r="A225" s="1523" t="s">
        <v>1043</v>
      </c>
      <c r="B225" s="613">
        <v>1650</v>
      </c>
      <c r="C225" s="615"/>
      <c r="D225" s="466">
        <v>220</v>
      </c>
      <c r="E225" s="615"/>
      <c r="F225" s="615"/>
      <c r="G225" s="615"/>
      <c r="H225" s="615"/>
      <c r="I225" s="615"/>
      <c r="J225" s="615"/>
      <c r="K225" s="1690">
        <f t="shared" si="19"/>
        <v>220</v>
      </c>
      <c r="L225" s="466">
        <v>291</v>
      </c>
    </row>
    <row r="226" spans="1:12" x14ac:dyDescent="0.2">
      <c r="A226" s="1523" t="s">
        <v>747</v>
      </c>
      <c r="B226" s="613" t="s">
        <v>164</v>
      </c>
      <c r="C226" s="615"/>
      <c r="D226" s="467">
        <v>2627</v>
      </c>
      <c r="E226" s="615"/>
      <c r="F226" s="615"/>
      <c r="G226" s="615"/>
      <c r="H226" s="615"/>
      <c r="I226" s="615"/>
      <c r="J226" s="615"/>
      <c r="K226" s="1690">
        <f t="shared" si="19"/>
        <v>2627</v>
      </c>
      <c r="L226" s="466">
        <v>2014</v>
      </c>
    </row>
    <row r="227" spans="1:12" x14ac:dyDescent="0.2">
      <c r="A227" s="1523" t="s">
        <v>1147</v>
      </c>
      <c r="B227" s="613">
        <v>1800</v>
      </c>
      <c r="C227" s="615"/>
      <c r="D227" s="466">
        <v>4524</v>
      </c>
      <c r="E227" s="615"/>
      <c r="F227" s="615"/>
      <c r="G227" s="615"/>
      <c r="H227" s="615"/>
      <c r="I227" s="615"/>
      <c r="J227" s="615"/>
      <c r="K227" s="1690">
        <f t="shared" si="19"/>
        <v>4524</v>
      </c>
      <c r="L227" s="466">
        <v>6291</v>
      </c>
    </row>
    <row r="228" spans="1:12" x14ac:dyDescent="0.2">
      <c r="A228" s="1523" t="s">
        <v>1148</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738</v>
      </c>
      <c r="B229" s="1694" t="s">
        <v>590</v>
      </c>
      <c r="C229" s="615"/>
      <c r="D229" s="1689">
        <f>SUM(D215:D228)</f>
        <v>554857</v>
      </c>
      <c r="E229" s="615"/>
      <c r="F229" s="615"/>
      <c r="G229" s="615"/>
      <c r="H229" s="615"/>
      <c r="I229" s="615"/>
      <c r="J229" s="615"/>
      <c r="K229" s="1689">
        <f>SUM(K215:K228)</f>
        <v>554857</v>
      </c>
      <c r="L229" s="1689">
        <f>SUM(L215:L228)</f>
        <v>875132</v>
      </c>
    </row>
    <row r="230" spans="1:12" ht="15.75" customHeight="1" thickTop="1" x14ac:dyDescent="0.2">
      <c r="A230" s="1631" t="s">
        <v>928</v>
      </c>
      <c r="B230" s="1632"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3" t="s">
        <v>1149</v>
      </c>
      <c r="B232" s="613">
        <v>2110</v>
      </c>
      <c r="C232" s="615"/>
      <c r="D232" s="466">
        <v>1912</v>
      </c>
      <c r="E232" s="615"/>
      <c r="F232" s="615"/>
      <c r="G232" s="615"/>
      <c r="H232" s="615"/>
      <c r="I232" s="615"/>
      <c r="J232" s="615"/>
      <c r="K232" s="1690">
        <f t="shared" ref="K232:K237" si="20">D232</f>
        <v>1912</v>
      </c>
      <c r="L232" s="466">
        <v>1408</v>
      </c>
    </row>
    <row r="233" spans="1:12" x14ac:dyDescent="0.2">
      <c r="A233" s="1523" t="s">
        <v>1150</v>
      </c>
      <c r="B233" s="613">
        <v>2120</v>
      </c>
      <c r="C233" s="615"/>
      <c r="D233" s="466">
        <v>8222</v>
      </c>
      <c r="E233" s="615"/>
      <c r="F233" s="615"/>
      <c r="G233" s="615"/>
      <c r="H233" s="615"/>
      <c r="I233" s="615"/>
      <c r="J233" s="615"/>
      <c r="K233" s="1690">
        <f t="shared" si="20"/>
        <v>8222</v>
      </c>
      <c r="L233" s="466">
        <v>6960</v>
      </c>
    </row>
    <row r="234" spans="1:12" x14ac:dyDescent="0.2">
      <c r="A234" s="1523" t="s">
        <v>207</v>
      </c>
      <c r="B234" s="613">
        <v>2130</v>
      </c>
      <c r="C234" s="615"/>
      <c r="D234" s="466">
        <v>26695</v>
      </c>
      <c r="E234" s="615"/>
      <c r="F234" s="615"/>
      <c r="G234" s="615"/>
      <c r="H234" s="615"/>
      <c r="I234" s="615"/>
      <c r="J234" s="615"/>
      <c r="K234" s="1690">
        <f t="shared" si="20"/>
        <v>26695</v>
      </c>
      <c r="L234" s="466">
        <v>28511</v>
      </c>
    </row>
    <row r="235" spans="1:12" x14ac:dyDescent="0.2">
      <c r="A235" s="1523" t="s">
        <v>208</v>
      </c>
      <c r="B235" s="613">
        <v>2140</v>
      </c>
      <c r="C235" s="615"/>
      <c r="D235" s="466">
        <v>2211</v>
      </c>
      <c r="E235" s="615"/>
      <c r="F235" s="615"/>
      <c r="G235" s="615"/>
      <c r="H235" s="615"/>
      <c r="I235" s="615"/>
      <c r="J235" s="615"/>
      <c r="K235" s="1690">
        <f t="shared" si="20"/>
        <v>2211</v>
      </c>
      <c r="L235" s="466">
        <v>1481</v>
      </c>
    </row>
    <row r="236" spans="1:12" x14ac:dyDescent="0.2">
      <c r="A236" s="1523" t="s">
        <v>209</v>
      </c>
      <c r="B236" s="613">
        <v>2150</v>
      </c>
      <c r="C236" s="615"/>
      <c r="D236" s="466">
        <v>6449</v>
      </c>
      <c r="E236" s="615"/>
      <c r="F236" s="615"/>
      <c r="G236" s="615"/>
      <c r="H236" s="615"/>
      <c r="I236" s="615"/>
      <c r="J236" s="615"/>
      <c r="K236" s="1690">
        <f t="shared" si="20"/>
        <v>6449</v>
      </c>
      <c r="L236" s="466">
        <v>2441</v>
      </c>
    </row>
    <row r="237" spans="1:12" x14ac:dyDescent="0.2">
      <c r="A237" s="1523" t="s">
        <v>167</v>
      </c>
      <c r="B237" s="613">
        <v>2190</v>
      </c>
      <c r="C237" s="615"/>
      <c r="D237" s="466">
        <v>0</v>
      </c>
      <c r="E237" s="615"/>
      <c r="F237" s="615"/>
      <c r="G237" s="615"/>
      <c r="H237" s="615"/>
      <c r="I237" s="615"/>
      <c r="J237" s="615"/>
      <c r="K237" s="1690">
        <f t="shared" si="20"/>
        <v>0</v>
      </c>
      <c r="L237" s="466">
        <v>21578</v>
      </c>
    </row>
    <row r="238" spans="1:12" ht="12.75" customHeight="1" thickBot="1" x14ac:dyDescent="0.25">
      <c r="A238" s="1687" t="s">
        <v>580</v>
      </c>
      <c r="B238" s="1694" t="s">
        <v>739</v>
      </c>
      <c r="C238" s="615"/>
      <c r="D238" s="1689">
        <f>SUM(D232:D237)</f>
        <v>45489</v>
      </c>
      <c r="E238" s="615"/>
      <c r="F238" s="615"/>
      <c r="G238" s="615"/>
      <c r="H238" s="615"/>
      <c r="I238" s="615"/>
      <c r="J238" s="615"/>
      <c r="K238" s="1689">
        <f>SUM(K232:K237)</f>
        <v>45489</v>
      </c>
      <c r="L238" s="1689">
        <f>SUM(L232:L237)</f>
        <v>62379</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3" t="s">
        <v>867</v>
      </c>
      <c r="B240" s="613">
        <v>2210</v>
      </c>
      <c r="C240" s="615"/>
      <c r="D240" s="480">
        <v>5288</v>
      </c>
      <c r="E240" s="615"/>
      <c r="F240" s="615"/>
      <c r="G240" s="615"/>
      <c r="H240" s="615"/>
      <c r="I240" s="615"/>
      <c r="J240" s="615"/>
      <c r="K240" s="1691">
        <f>D240</f>
        <v>5288</v>
      </c>
      <c r="L240" s="480">
        <v>4761</v>
      </c>
    </row>
    <row r="241" spans="1:12" x14ac:dyDescent="0.2">
      <c r="A241" s="1523" t="s">
        <v>868</v>
      </c>
      <c r="B241" s="613">
        <v>2220</v>
      </c>
      <c r="C241" s="615"/>
      <c r="D241" s="466">
        <v>11003</v>
      </c>
      <c r="E241" s="615"/>
      <c r="F241" s="615"/>
      <c r="G241" s="615"/>
      <c r="H241" s="615"/>
      <c r="I241" s="615"/>
      <c r="J241" s="615"/>
      <c r="K241" s="1691">
        <f>D241</f>
        <v>11003</v>
      </c>
      <c r="L241" s="466">
        <v>10623</v>
      </c>
    </row>
    <row r="242" spans="1:12" x14ac:dyDescent="0.2">
      <c r="A242" s="1523" t="s">
        <v>869</v>
      </c>
      <c r="B242" s="613">
        <v>2230</v>
      </c>
      <c r="C242" s="615"/>
      <c r="D242" s="466">
        <v>0</v>
      </c>
      <c r="E242" s="615"/>
      <c r="F242" s="615"/>
      <c r="G242" s="615"/>
      <c r="H242" s="615"/>
      <c r="I242" s="615"/>
      <c r="J242" s="615"/>
      <c r="K242" s="1691">
        <f>D242</f>
        <v>0</v>
      </c>
      <c r="L242" s="466">
        <v>0</v>
      </c>
    </row>
    <row r="243" spans="1:12" ht="12.75" customHeight="1" thickBot="1" x14ac:dyDescent="0.25">
      <c r="A243" s="1713" t="s">
        <v>581</v>
      </c>
      <c r="B243" s="1714">
        <v>2200</v>
      </c>
      <c r="C243" s="615"/>
      <c r="D243" s="1689">
        <f>SUM(D240:D242)</f>
        <v>16291</v>
      </c>
      <c r="E243" s="615"/>
      <c r="F243" s="615"/>
      <c r="G243" s="615"/>
      <c r="H243" s="615"/>
      <c r="I243" s="615"/>
      <c r="J243" s="615"/>
      <c r="K243" s="1689">
        <f>SUM(K240:K242)</f>
        <v>16291</v>
      </c>
      <c r="L243" s="1689">
        <f>SUM(L240:L242)</f>
        <v>15384</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3" t="s">
        <v>870</v>
      </c>
      <c r="B245" s="613">
        <v>2310</v>
      </c>
      <c r="C245" s="615"/>
      <c r="D245" s="480">
        <v>117</v>
      </c>
      <c r="E245" s="615"/>
      <c r="F245" s="615"/>
      <c r="G245" s="615"/>
      <c r="H245" s="615"/>
      <c r="I245" s="615"/>
      <c r="J245" s="615"/>
      <c r="K245" s="1691">
        <f>D245</f>
        <v>117</v>
      </c>
      <c r="L245" s="480">
        <v>459</v>
      </c>
    </row>
    <row r="246" spans="1:12" x14ac:dyDescent="0.2">
      <c r="A246" s="1523" t="s">
        <v>871</v>
      </c>
      <c r="B246" s="613">
        <v>2320</v>
      </c>
      <c r="C246" s="615"/>
      <c r="D246" s="466">
        <v>16796</v>
      </c>
      <c r="E246" s="615"/>
      <c r="F246" s="615"/>
      <c r="G246" s="615"/>
      <c r="H246" s="615"/>
      <c r="I246" s="615"/>
      <c r="J246" s="615"/>
      <c r="K246" s="1691">
        <f t="shared" ref="K246:K256" si="21">D246</f>
        <v>16796</v>
      </c>
      <c r="L246" s="466">
        <v>16180</v>
      </c>
    </row>
    <row r="247" spans="1:12" x14ac:dyDescent="0.2">
      <c r="A247" s="1523" t="s">
        <v>872</v>
      </c>
      <c r="B247" s="613">
        <v>2330</v>
      </c>
      <c r="C247" s="615"/>
      <c r="D247" s="466">
        <v>0</v>
      </c>
      <c r="E247" s="615"/>
      <c r="F247" s="615"/>
      <c r="G247" s="615"/>
      <c r="H247" s="615"/>
      <c r="I247" s="615"/>
      <c r="J247" s="615"/>
      <c r="K247" s="1691">
        <f t="shared" si="21"/>
        <v>0</v>
      </c>
      <c r="L247" s="466">
        <v>0</v>
      </c>
    </row>
    <row r="248" spans="1:12" x14ac:dyDescent="0.2">
      <c r="A248" s="1524" t="s">
        <v>316</v>
      </c>
      <c r="B248" s="601" t="s">
        <v>298</v>
      </c>
      <c r="C248" s="615"/>
      <c r="D248" s="474">
        <v>0</v>
      </c>
      <c r="E248" s="615"/>
      <c r="F248" s="615"/>
      <c r="G248" s="615"/>
      <c r="H248" s="615"/>
      <c r="I248" s="615"/>
      <c r="J248" s="615"/>
      <c r="K248" s="1691">
        <f t="shared" si="21"/>
        <v>0</v>
      </c>
      <c r="L248" s="466">
        <v>0</v>
      </c>
    </row>
    <row r="249" spans="1:12" x14ac:dyDescent="0.2">
      <c r="A249" s="1525" t="s">
        <v>1903</v>
      </c>
      <c r="B249" s="682" t="s">
        <v>299</v>
      </c>
      <c r="C249" s="615"/>
      <c r="D249" s="474">
        <v>0</v>
      </c>
      <c r="E249" s="615"/>
      <c r="F249" s="615"/>
      <c r="G249" s="615"/>
      <c r="H249" s="615"/>
      <c r="I249" s="615"/>
      <c r="J249" s="615"/>
      <c r="K249" s="1691">
        <f t="shared" si="21"/>
        <v>0</v>
      </c>
      <c r="L249" s="466">
        <v>0</v>
      </c>
    </row>
    <row r="250" spans="1:12" x14ac:dyDescent="0.2">
      <c r="A250" s="1524" t="s">
        <v>1904</v>
      </c>
      <c r="B250" s="601" t="s">
        <v>300</v>
      </c>
      <c r="C250" s="615"/>
      <c r="D250" s="474">
        <v>0</v>
      </c>
      <c r="E250" s="615"/>
      <c r="F250" s="615"/>
      <c r="G250" s="615"/>
      <c r="H250" s="615"/>
      <c r="I250" s="615"/>
      <c r="J250" s="615"/>
      <c r="K250" s="1691">
        <f t="shared" si="21"/>
        <v>0</v>
      </c>
      <c r="L250" s="466">
        <v>0</v>
      </c>
    </row>
    <row r="251" spans="1:12" x14ac:dyDescent="0.2">
      <c r="A251" s="1524" t="s">
        <v>256</v>
      </c>
      <c r="B251" s="601" t="s">
        <v>301</v>
      </c>
      <c r="C251" s="615"/>
      <c r="D251" s="474">
        <v>0</v>
      </c>
      <c r="E251" s="615"/>
      <c r="F251" s="615"/>
      <c r="G251" s="615"/>
      <c r="H251" s="615"/>
      <c r="I251" s="615"/>
      <c r="J251" s="615"/>
      <c r="K251" s="1691">
        <f t="shared" si="21"/>
        <v>0</v>
      </c>
      <c r="L251" s="466">
        <v>0</v>
      </c>
    </row>
    <row r="252" spans="1:12" x14ac:dyDescent="0.2">
      <c r="A252" s="1524" t="s">
        <v>725</v>
      </c>
      <c r="B252" s="601" t="s">
        <v>302</v>
      </c>
      <c r="C252" s="615"/>
      <c r="D252" s="474">
        <v>0</v>
      </c>
      <c r="E252" s="615"/>
      <c r="F252" s="615"/>
      <c r="G252" s="615"/>
      <c r="H252" s="615"/>
      <c r="I252" s="615"/>
      <c r="J252" s="615"/>
      <c r="K252" s="1691">
        <f t="shared" si="21"/>
        <v>0</v>
      </c>
      <c r="L252" s="466">
        <v>0</v>
      </c>
    </row>
    <row r="253" spans="1:12" x14ac:dyDescent="0.2">
      <c r="A253" s="1524" t="s">
        <v>257</v>
      </c>
      <c r="B253" s="601" t="s">
        <v>303</v>
      </c>
      <c r="C253" s="615"/>
      <c r="D253" s="474">
        <v>0</v>
      </c>
      <c r="E253" s="615"/>
      <c r="F253" s="615"/>
      <c r="G253" s="615"/>
      <c r="H253" s="615"/>
      <c r="I253" s="615"/>
      <c r="J253" s="615"/>
      <c r="K253" s="1691">
        <f t="shared" si="21"/>
        <v>0</v>
      </c>
      <c r="L253" s="466">
        <v>0</v>
      </c>
    </row>
    <row r="254" spans="1:12" ht="22.5" x14ac:dyDescent="0.2">
      <c r="A254" s="1524" t="s">
        <v>1086</v>
      </c>
      <c r="B254" s="682" t="s">
        <v>304</v>
      </c>
      <c r="C254" s="615"/>
      <c r="D254" s="474">
        <v>12016</v>
      </c>
      <c r="E254" s="615"/>
      <c r="F254" s="615"/>
      <c r="G254" s="615"/>
      <c r="H254" s="615"/>
      <c r="I254" s="615"/>
      <c r="J254" s="615"/>
      <c r="K254" s="1691">
        <f t="shared" si="21"/>
        <v>12016</v>
      </c>
      <c r="L254" s="466">
        <v>3175</v>
      </c>
    </row>
    <row r="255" spans="1:12" x14ac:dyDescent="0.2">
      <c r="A255" s="1524" t="s">
        <v>1087</v>
      </c>
      <c r="B255" s="601" t="s">
        <v>305</v>
      </c>
      <c r="C255" s="615"/>
      <c r="D255" s="474">
        <v>0</v>
      </c>
      <c r="E255" s="615"/>
      <c r="F255" s="615"/>
      <c r="G255" s="615"/>
      <c r="H255" s="615"/>
      <c r="I255" s="615"/>
      <c r="J255" s="615"/>
      <c r="K255" s="1691">
        <f t="shared" si="21"/>
        <v>0</v>
      </c>
      <c r="L255" s="466">
        <v>0</v>
      </c>
    </row>
    <row r="256" spans="1:12" x14ac:dyDescent="0.2">
      <c r="A256" s="1524" t="s">
        <v>1027</v>
      </c>
      <c r="B256" s="613" t="s">
        <v>306</v>
      </c>
      <c r="C256" s="615"/>
      <c r="D256" s="474">
        <v>0</v>
      </c>
      <c r="E256" s="615"/>
      <c r="F256" s="615"/>
      <c r="G256" s="615"/>
      <c r="H256" s="615"/>
      <c r="I256" s="615"/>
      <c r="J256" s="615"/>
      <c r="K256" s="1691">
        <f t="shared" si="21"/>
        <v>0</v>
      </c>
      <c r="L256" s="466">
        <v>0</v>
      </c>
    </row>
    <row r="257" spans="1:14" ht="12.75" customHeight="1" thickBot="1" x14ac:dyDescent="0.25">
      <c r="A257" s="1687" t="s">
        <v>740</v>
      </c>
      <c r="B257" s="1715">
        <v>2300</v>
      </c>
      <c r="C257" s="615"/>
      <c r="D257" s="1689">
        <f>SUM(D245:D256)</f>
        <v>28929</v>
      </c>
      <c r="E257" s="615"/>
      <c r="F257" s="615"/>
      <c r="G257" s="615"/>
      <c r="H257" s="615"/>
      <c r="I257" s="615"/>
      <c r="J257" s="615"/>
      <c r="K257" s="1689">
        <f>SUM(K245:K256)</f>
        <v>28929</v>
      </c>
      <c r="L257" s="1689">
        <f>SUM(L245:L256)</f>
        <v>19814</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3" t="s">
        <v>1126</v>
      </c>
      <c r="B259" s="684">
        <v>2410</v>
      </c>
      <c r="C259" s="615"/>
      <c r="D259" s="480">
        <v>88854</v>
      </c>
      <c r="E259" s="615"/>
      <c r="F259" s="615"/>
      <c r="G259" s="615"/>
      <c r="H259" s="615"/>
      <c r="I259" s="615"/>
      <c r="J259" s="615"/>
      <c r="K259" s="1691">
        <f>D259</f>
        <v>88854</v>
      </c>
      <c r="L259" s="480">
        <v>127659</v>
      </c>
    </row>
    <row r="260" spans="1:14" s="596" customFormat="1" x14ac:dyDescent="0.2">
      <c r="A260" s="1541" t="s">
        <v>1902</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88854</v>
      </c>
      <c r="E261" s="615"/>
      <c r="F261" s="615"/>
      <c r="G261" s="615"/>
      <c r="H261" s="615"/>
      <c r="I261" s="615"/>
      <c r="J261" s="615"/>
      <c r="K261" s="1689">
        <f>SUM(K259:K260)</f>
        <v>88854</v>
      </c>
      <c r="L261" s="1689">
        <f>SUM(L259:L260)</f>
        <v>127659</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3" t="s">
        <v>1127</v>
      </c>
      <c r="B263" s="684">
        <v>2510</v>
      </c>
      <c r="C263" s="615"/>
      <c r="D263" s="466">
        <v>0</v>
      </c>
      <c r="E263" s="615"/>
      <c r="F263" s="615"/>
      <c r="G263" s="615"/>
      <c r="H263" s="615"/>
      <c r="I263" s="615"/>
      <c r="J263" s="615"/>
      <c r="K263" s="1691">
        <f>D263</f>
        <v>0</v>
      </c>
      <c r="L263" s="480">
        <v>0</v>
      </c>
    </row>
    <row r="264" spans="1:14" x14ac:dyDescent="0.2">
      <c r="A264" s="1523" t="s">
        <v>482</v>
      </c>
      <c r="B264" s="684">
        <v>2520</v>
      </c>
      <c r="C264" s="615"/>
      <c r="D264" s="466">
        <v>28578</v>
      </c>
      <c r="E264" s="615"/>
      <c r="F264" s="615"/>
      <c r="G264" s="615"/>
      <c r="H264" s="615"/>
      <c r="I264" s="615"/>
      <c r="J264" s="615"/>
      <c r="K264" s="1691">
        <f t="shared" ref="K264:K269" si="22">D264</f>
        <v>28578</v>
      </c>
      <c r="L264" s="466">
        <v>41274</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215549</v>
      </c>
      <c r="E266" s="615"/>
      <c r="F266" s="615"/>
      <c r="G266" s="615"/>
      <c r="H266" s="615"/>
      <c r="I266" s="615"/>
      <c r="J266" s="615"/>
      <c r="K266" s="1691">
        <f t="shared" si="22"/>
        <v>215549</v>
      </c>
      <c r="L266" s="466">
        <v>339483</v>
      </c>
    </row>
    <row r="267" spans="1:14" x14ac:dyDescent="0.2">
      <c r="A267" s="1523" t="s">
        <v>1009</v>
      </c>
      <c r="B267" s="613">
        <v>2550</v>
      </c>
      <c r="C267" s="615"/>
      <c r="D267" s="466">
        <v>202097</v>
      </c>
      <c r="E267" s="615"/>
      <c r="F267" s="615"/>
      <c r="G267" s="615"/>
      <c r="H267" s="615"/>
      <c r="I267" s="615"/>
      <c r="J267" s="615"/>
      <c r="K267" s="1691">
        <f t="shared" si="22"/>
        <v>202097</v>
      </c>
      <c r="L267" s="466">
        <v>385353</v>
      </c>
    </row>
    <row r="268" spans="1:14" x14ac:dyDescent="0.2">
      <c r="A268" s="1523" t="s">
        <v>102</v>
      </c>
      <c r="B268" s="613">
        <v>2560</v>
      </c>
      <c r="C268" s="615"/>
      <c r="D268" s="466">
        <v>90169</v>
      </c>
      <c r="E268" s="615"/>
      <c r="F268" s="615"/>
      <c r="G268" s="615"/>
      <c r="H268" s="615"/>
      <c r="I268" s="615"/>
      <c r="J268" s="615"/>
      <c r="K268" s="1691">
        <f t="shared" si="22"/>
        <v>90169</v>
      </c>
      <c r="L268" s="466">
        <v>139116</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742</v>
      </c>
      <c r="B270" s="1694" t="s">
        <v>35</v>
      </c>
      <c r="C270" s="615"/>
      <c r="D270" s="1689">
        <f>SUM(D263:D269)</f>
        <v>536393</v>
      </c>
      <c r="E270" s="615"/>
      <c r="F270" s="615"/>
      <c r="G270" s="615"/>
      <c r="H270" s="615"/>
      <c r="I270" s="615"/>
      <c r="J270" s="615"/>
      <c r="K270" s="1689">
        <f>SUM(K263:K269)</f>
        <v>536393</v>
      </c>
      <c r="L270" s="1689">
        <f>SUM(L263:L269)</f>
        <v>905226</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3" t="s">
        <v>1119</v>
      </c>
      <c r="B272" s="613">
        <v>2610</v>
      </c>
      <c r="C272" s="615"/>
      <c r="D272" s="480">
        <v>0</v>
      </c>
      <c r="E272" s="615"/>
      <c r="F272" s="615"/>
      <c r="G272" s="615"/>
      <c r="H272" s="615"/>
      <c r="I272" s="615"/>
      <c r="J272" s="615"/>
      <c r="K272" s="1691">
        <f>D272</f>
        <v>0</v>
      </c>
      <c r="L272" s="480">
        <v>0</v>
      </c>
    </row>
    <row r="273" spans="1:12" x14ac:dyDescent="0.2">
      <c r="A273" s="1523" t="s">
        <v>627</v>
      </c>
      <c r="B273" s="627">
        <v>2620</v>
      </c>
      <c r="C273" s="615"/>
      <c r="D273" s="466">
        <v>0</v>
      </c>
      <c r="E273" s="615"/>
      <c r="F273" s="615"/>
      <c r="G273" s="615"/>
      <c r="H273" s="615"/>
      <c r="I273" s="615"/>
      <c r="J273" s="615"/>
      <c r="K273" s="1691">
        <f>D273</f>
        <v>0</v>
      </c>
      <c r="L273" s="466">
        <v>0</v>
      </c>
    </row>
    <row r="274" spans="1:12" ht="12" customHeight="1" x14ac:dyDescent="0.2">
      <c r="A274" s="1523" t="s">
        <v>1120</v>
      </c>
      <c r="B274" s="613">
        <v>2630</v>
      </c>
      <c r="C274" s="615"/>
      <c r="D274" s="466">
        <v>0</v>
      </c>
      <c r="E274" s="615"/>
      <c r="F274" s="615"/>
      <c r="G274" s="615"/>
      <c r="H274" s="615"/>
      <c r="I274" s="615"/>
      <c r="J274" s="615"/>
      <c r="K274" s="1691">
        <f>D274</f>
        <v>0</v>
      </c>
      <c r="L274" s="466">
        <v>0</v>
      </c>
    </row>
    <row r="275" spans="1:12" x14ac:dyDescent="0.2">
      <c r="A275" s="1523" t="s">
        <v>422</v>
      </c>
      <c r="B275" s="613">
        <v>2640</v>
      </c>
      <c r="C275" s="615"/>
      <c r="D275" s="466">
        <v>0</v>
      </c>
      <c r="E275" s="615"/>
      <c r="F275" s="615"/>
      <c r="G275" s="615"/>
      <c r="H275" s="615"/>
      <c r="I275" s="615"/>
      <c r="J275" s="615"/>
      <c r="K275" s="1691">
        <f>D275</f>
        <v>0</v>
      </c>
      <c r="L275" s="466">
        <v>0</v>
      </c>
    </row>
    <row r="276" spans="1:12" x14ac:dyDescent="0.2">
      <c r="A276" s="1523" t="s">
        <v>423</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1036</v>
      </c>
      <c r="B278" s="654" t="s">
        <v>594</v>
      </c>
      <c r="C278" s="615"/>
      <c r="D278" s="655">
        <v>28121</v>
      </c>
      <c r="E278" s="615"/>
      <c r="F278" s="615"/>
      <c r="G278" s="615"/>
      <c r="H278" s="615"/>
      <c r="I278" s="615"/>
      <c r="J278" s="615"/>
      <c r="K278" s="1704">
        <f>D278</f>
        <v>28121</v>
      </c>
      <c r="L278" s="655">
        <v>36681</v>
      </c>
    </row>
    <row r="279" spans="1:12" ht="12.75" customHeight="1" thickBot="1" x14ac:dyDescent="0.25">
      <c r="A279" s="1717" t="s">
        <v>864</v>
      </c>
      <c r="B279" s="1700">
        <v>2000</v>
      </c>
      <c r="C279" s="615"/>
      <c r="D279" s="1696">
        <f>SUM(D238,D243,D257,D261,D270,D277,D278)</f>
        <v>744077</v>
      </c>
      <c r="E279" s="615"/>
      <c r="F279" s="615"/>
      <c r="G279" s="615"/>
      <c r="H279" s="615"/>
      <c r="I279" s="615"/>
      <c r="J279" s="615"/>
      <c r="K279" s="1696">
        <f>SUM(K238,K243,K257,K261,K270,K277,K278)</f>
        <v>744077</v>
      </c>
      <c r="L279" s="1696">
        <f>SUM(L238,L243,L257,L261,L270,L277,L278)</f>
        <v>1167143</v>
      </c>
    </row>
    <row r="280" spans="1:12" ht="15.75" customHeight="1" thickTop="1" thickBot="1" x14ac:dyDescent="0.25">
      <c r="A280" s="1643" t="s">
        <v>929</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914</v>
      </c>
      <c r="C281" s="615"/>
      <c r="D281" s="564"/>
      <c r="E281" s="615"/>
      <c r="F281" s="615"/>
      <c r="G281" s="615"/>
      <c r="H281" s="615"/>
      <c r="I281" s="615"/>
      <c r="J281" s="615"/>
      <c r="K281" s="615"/>
      <c r="L281" s="615"/>
    </row>
    <row r="282" spans="1:12" ht="15.75" customHeight="1" x14ac:dyDescent="0.2">
      <c r="A282" s="1850" t="s">
        <v>516</v>
      </c>
      <c r="B282" s="689" t="s">
        <v>1952</v>
      </c>
      <c r="C282" s="615"/>
      <c r="D282" s="467">
        <v>0</v>
      </c>
      <c r="E282" s="615"/>
      <c r="F282" s="615"/>
      <c r="G282" s="615"/>
      <c r="H282" s="615"/>
      <c r="I282" s="615"/>
      <c r="J282" s="615"/>
      <c r="K282" s="1690">
        <f>D282</f>
        <v>0</v>
      </c>
      <c r="L282" s="467">
        <v>0</v>
      </c>
    </row>
    <row r="283" spans="1:12" x14ac:dyDescent="0.2">
      <c r="A283" s="1523" t="s">
        <v>321</v>
      </c>
      <c r="B283" s="613">
        <v>4120</v>
      </c>
      <c r="C283" s="615"/>
      <c r="D283" s="466">
        <v>0</v>
      </c>
      <c r="E283" s="615"/>
      <c r="F283" s="615"/>
      <c r="G283" s="615"/>
      <c r="H283" s="615"/>
      <c r="I283" s="615"/>
      <c r="J283" s="615"/>
      <c r="K283" s="1690">
        <f>D283</f>
        <v>0</v>
      </c>
      <c r="L283" s="466">
        <v>0</v>
      </c>
    </row>
    <row r="284" spans="1:12" x14ac:dyDescent="0.2">
      <c r="A284" s="1523" t="s">
        <v>720</v>
      </c>
      <c r="B284" s="613">
        <v>4140</v>
      </c>
      <c r="C284" s="615"/>
      <c r="D284" s="467">
        <v>0</v>
      </c>
      <c r="E284" s="615"/>
      <c r="F284" s="615"/>
      <c r="G284" s="615"/>
      <c r="H284" s="615"/>
      <c r="I284" s="615"/>
      <c r="J284" s="615"/>
      <c r="K284" s="1690">
        <f>D284</f>
        <v>0</v>
      </c>
      <c r="L284" s="466">
        <v>0</v>
      </c>
    </row>
    <row r="285" spans="1:12" ht="12.75" customHeight="1" thickBot="1" x14ac:dyDescent="0.25">
      <c r="A285" s="1687" t="s">
        <v>1566</v>
      </c>
      <c r="B285" s="1688" t="s">
        <v>914</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930</v>
      </c>
      <c r="B286" s="1628"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1231</v>
      </c>
      <c r="B290" s="627" t="s">
        <v>637</v>
      </c>
      <c r="C290" s="615"/>
      <c r="D290" s="615"/>
      <c r="E290" s="615"/>
      <c r="F290" s="615"/>
      <c r="G290" s="615"/>
      <c r="H290" s="466">
        <v>0</v>
      </c>
      <c r="I290" s="615"/>
      <c r="J290" s="615"/>
      <c r="K290" s="1690">
        <f>H290</f>
        <v>0</v>
      </c>
      <c r="L290" s="466">
        <v>0</v>
      </c>
    </row>
    <row r="291" spans="1:14" x14ac:dyDescent="0.2">
      <c r="A291" s="1523" t="s">
        <v>91</v>
      </c>
      <c r="B291" s="613" t="s">
        <v>609</v>
      </c>
      <c r="C291" s="615"/>
      <c r="D291" s="615"/>
      <c r="E291" s="615"/>
      <c r="F291" s="615"/>
      <c r="G291" s="615"/>
      <c r="H291" s="466">
        <v>0</v>
      </c>
      <c r="I291" s="615"/>
      <c r="J291" s="615"/>
      <c r="K291" s="1690">
        <f>H291</f>
        <v>0</v>
      </c>
      <c r="L291" s="466">
        <v>0</v>
      </c>
    </row>
    <row r="292" spans="1:14" x14ac:dyDescent="0.2">
      <c r="A292" s="1523" t="s">
        <v>785</v>
      </c>
      <c r="B292" s="613" t="s">
        <v>638</v>
      </c>
      <c r="C292" s="615"/>
      <c r="D292" s="615"/>
      <c r="E292" s="615"/>
      <c r="F292" s="615"/>
      <c r="G292" s="615"/>
      <c r="H292" s="466">
        <v>0</v>
      </c>
      <c r="I292" s="615"/>
      <c r="J292" s="615"/>
      <c r="K292" s="1690">
        <f>H292</f>
        <v>0</v>
      </c>
      <c r="L292" s="466">
        <v>0</v>
      </c>
    </row>
    <row r="293" spans="1:14" ht="12.75" customHeight="1" thickBot="1" x14ac:dyDescent="0.25">
      <c r="A293" s="1687" t="s">
        <v>504</v>
      </c>
      <c r="B293" s="1688" t="s">
        <v>512</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931</v>
      </c>
      <c r="B294" s="1632" t="s">
        <v>915</v>
      </c>
      <c r="C294" s="615"/>
      <c r="D294" s="622"/>
      <c r="E294" s="615"/>
      <c r="F294" s="615"/>
      <c r="G294" s="615"/>
      <c r="H294" s="685"/>
      <c r="I294" s="615"/>
      <c r="J294" s="615"/>
      <c r="K294" s="685"/>
      <c r="L294" s="576">
        <v>0</v>
      </c>
    </row>
    <row r="295" spans="1:14" ht="12.75" customHeight="1" thickTop="1" thickBot="1" x14ac:dyDescent="0.25">
      <c r="A295" s="2292" t="s">
        <v>525</v>
      </c>
      <c r="B295" s="2293"/>
      <c r="C295" s="615"/>
      <c r="D295" s="1689">
        <f>SUM(D229,D279,D280,D285)</f>
        <v>1298934</v>
      </c>
      <c r="E295" s="615"/>
      <c r="F295" s="615"/>
      <c r="G295" s="615"/>
      <c r="H295" s="1689">
        <f>H293</f>
        <v>0</v>
      </c>
      <c r="I295" s="615"/>
      <c r="J295" s="615"/>
      <c r="K295" s="1689">
        <f>SUM(K229,K279,K280,K285,K293,K294)</f>
        <v>1298934</v>
      </c>
      <c r="L295" s="1689">
        <f>SUM(L229,L279,L280,L285,L293,L294)</f>
        <v>2042275</v>
      </c>
    </row>
    <row r="296" spans="1:14" ht="13.5" thickTop="1" x14ac:dyDescent="0.2">
      <c r="A296" s="2274" t="s">
        <v>1052</v>
      </c>
      <c r="B296" s="2275"/>
      <c r="C296" s="615"/>
      <c r="D296" s="617"/>
      <c r="E296" s="615"/>
      <c r="F296" s="615"/>
      <c r="G296" s="615"/>
      <c r="H296" s="686"/>
      <c r="I296" s="615"/>
      <c r="J296" s="615"/>
      <c r="K296" s="1703">
        <f>'Revenues 9-14'!G275-'Expenditures 15-22'!K295</f>
        <v>815702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84" t="s">
        <v>145</v>
      </c>
      <c r="B298" s="2278"/>
      <c r="C298" s="1570"/>
      <c r="D298" s="1571"/>
      <c r="E298" s="1571"/>
      <c r="F298" s="1571"/>
      <c r="G298" s="1571"/>
      <c r="H298" s="1571"/>
      <c r="I298" s="1571"/>
      <c r="J298" s="1571"/>
      <c r="K298" s="1571"/>
      <c r="L298" s="1572"/>
    </row>
    <row r="299" spans="1:14" ht="15.75" customHeight="1" x14ac:dyDescent="0.2">
      <c r="A299" s="1631" t="s">
        <v>146</v>
      </c>
      <c r="B299" s="1634"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6" t="s">
        <v>628</v>
      </c>
      <c r="B301" s="688">
        <v>2530</v>
      </c>
      <c r="C301" s="466">
        <v>0</v>
      </c>
      <c r="D301" s="466">
        <v>0</v>
      </c>
      <c r="E301" s="466">
        <v>26946</v>
      </c>
      <c r="F301" s="466">
        <v>0</v>
      </c>
      <c r="G301" s="466">
        <v>852828</v>
      </c>
      <c r="H301" s="466">
        <v>0</v>
      </c>
      <c r="I301" s="467">
        <v>0</v>
      </c>
      <c r="J301" s="467">
        <v>0</v>
      </c>
      <c r="K301" s="1690">
        <f>SUM(C301:J301)</f>
        <v>879774</v>
      </c>
      <c r="L301" s="467">
        <v>1019937</v>
      </c>
    </row>
    <row r="302" spans="1:14" ht="13.5" customHeight="1" x14ac:dyDescent="0.2">
      <c r="A302" s="1536" t="s">
        <v>1036</v>
      </c>
      <c r="B302" s="613" t="s">
        <v>594</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864</v>
      </c>
      <c r="B303" s="1688" t="s">
        <v>589</v>
      </c>
      <c r="C303" s="1696">
        <f>SUM(C301:C302)</f>
        <v>0</v>
      </c>
      <c r="D303" s="1696">
        <f t="shared" ref="D303:L303" si="23">SUM(D301:D302)</f>
        <v>0</v>
      </c>
      <c r="E303" s="1696">
        <f t="shared" si="23"/>
        <v>26946</v>
      </c>
      <c r="F303" s="1696">
        <f t="shared" si="23"/>
        <v>0</v>
      </c>
      <c r="G303" s="1696">
        <f t="shared" si="23"/>
        <v>852828</v>
      </c>
      <c r="H303" s="1696">
        <f t="shared" si="23"/>
        <v>0</v>
      </c>
      <c r="I303" s="1696">
        <f t="shared" si="23"/>
        <v>0</v>
      </c>
      <c r="J303" s="1696">
        <f t="shared" si="23"/>
        <v>0</v>
      </c>
      <c r="K303" s="1696">
        <f t="shared" si="23"/>
        <v>879774</v>
      </c>
      <c r="L303" s="1696">
        <f t="shared" si="23"/>
        <v>1019937</v>
      </c>
    </row>
    <row r="304" spans="1:14" ht="15.75" customHeight="1" thickTop="1" x14ac:dyDescent="0.2">
      <c r="A304" s="1631" t="s">
        <v>147</v>
      </c>
      <c r="B304" s="1632"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7" t="s">
        <v>1957</v>
      </c>
      <c r="B306" s="689" t="s">
        <v>1952</v>
      </c>
      <c r="C306" s="615"/>
      <c r="D306" s="615"/>
      <c r="E306" s="467">
        <v>0</v>
      </c>
      <c r="F306" s="615"/>
      <c r="G306" s="615"/>
      <c r="H306" s="467">
        <v>0</v>
      </c>
      <c r="I306" s="615"/>
      <c r="J306" s="615"/>
      <c r="K306" s="1690">
        <f>SUM(E306,H306)</f>
        <v>0</v>
      </c>
      <c r="L306" s="467">
        <v>0</v>
      </c>
    </row>
    <row r="307" spans="1:14" x14ac:dyDescent="0.2">
      <c r="A307" s="1523" t="s">
        <v>321</v>
      </c>
      <c r="B307" s="613">
        <v>4120</v>
      </c>
      <c r="C307" s="615"/>
      <c r="D307" s="615"/>
      <c r="E307" s="467">
        <v>0</v>
      </c>
      <c r="F307" s="615"/>
      <c r="G307" s="615"/>
      <c r="H307" s="467">
        <v>0</v>
      </c>
      <c r="I307" s="476"/>
      <c r="J307" s="615"/>
      <c r="K307" s="1690">
        <f>SUM(E307,H307)</f>
        <v>0</v>
      </c>
      <c r="L307" s="466">
        <v>0</v>
      </c>
    </row>
    <row r="308" spans="1:14" x14ac:dyDescent="0.2">
      <c r="A308" s="1523" t="s">
        <v>720</v>
      </c>
      <c r="B308" s="613">
        <v>4140</v>
      </c>
      <c r="C308" s="615"/>
      <c r="D308" s="615"/>
      <c r="E308" s="467">
        <v>0</v>
      </c>
      <c r="F308" s="615"/>
      <c r="G308" s="615"/>
      <c r="H308" s="467">
        <v>0</v>
      </c>
      <c r="I308" s="476"/>
      <c r="J308" s="615"/>
      <c r="K308" s="1690">
        <f>SUM(E308,H308)</f>
        <v>0</v>
      </c>
      <c r="L308" s="466">
        <v>0</v>
      </c>
    </row>
    <row r="309" spans="1:14" ht="12.75" customHeight="1" x14ac:dyDescent="0.2">
      <c r="A309" s="1527" t="s">
        <v>721</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1566</v>
      </c>
      <c r="B310" s="1694" t="s">
        <v>914</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950</v>
      </c>
      <c r="B311" s="1630" t="s">
        <v>915</v>
      </c>
      <c r="C311" s="622"/>
      <c r="D311" s="622"/>
      <c r="E311" s="622"/>
      <c r="F311" s="622"/>
      <c r="G311" s="622"/>
      <c r="H311" s="622"/>
      <c r="I311" s="622"/>
      <c r="J311" s="615"/>
      <c r="K311" s="622"/>
      <c r="L311" s="574">
        <v>0</v>
      </c>
    </row>
    <row r="312" spans="1:14" s="673" customFormat="1" ht="12.75" customHeight="1" thickTop="1" thickBot="1" x14ac:dyDescent="0.25">
      <c r="A312" s="2289" t="s">
        <v>294</v>
      </c>
      <c r="B312" s="2290"/>
      <c r="C312" s="1689">
        <f>SUM(C303)</f>
        <v>0</v>
      </c>
      <c r="D312" s="1689">
        <f>SUM(D303)</f>
        <v>0</v>
      </c>
      <c r="E312" s="1689">
        <f>SUM(E303,E310)</f>
        <v>26946</v>
      </c>
      <c r="F312" s="1689">
        <f>SUM(F303)</f>
        <v>0</v>
      </c>
      <c r="G312" s="1689">
        <f>SUM(G303)</f>
        <v>852828</v>
      </c>
      <c r="H312" s="1689">
        <f>SUM(H303,H310)</f>
        <v>0</v>
      </c>
      <c r="I312" s="1689">
        <f>SUM(I303)</f>
        <v>0</v>
      </c>
      <c r="J312" s="1689">
        <f>SUM(J303)</f>
        <v>0</v>
      </c>
      <c r="K312" s="1689">
        <f>SUM(K303,K310,K311)</f>
        <v>879774</v>
      </c>
      <c r="L312" s="1689">
        <f>SUM(L303,L310,L311)</f>
        <v>1019937</v>
      </c>
      <c r="M312" s="664"/>
      <c r="N312" s="664"/>
    </row>
    <row r="313" spans="1:14" ht="13.5" thickTop="1" x14ac:dyDescent="0.2">
      <c r="A313" s="2285" t="s">
        <v>1052</v>
      </c>
      <c r="B313" s="2286"/>
      <c r="C313" s="625"/>
      <c r="D313" s="625"/>
      <c r="E313" s="625"/>
      <c r="F313" s="625"/>
      <c r="G313" s="625"/>
      <c r="H313" s="625"/>
      <c r="I313" s="625"/>
      <c r="J313" s="625"/>
      <c r="K313" s="1704">
        <f>'Revenues 9-14'!H275-'Expenditures 15-22'!K312</f>
        <v>-551121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98" t="s">
        <v>151</v>
      </c>
      <c r="B315" s="2299"/>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00" t="s">
        <v>953</v>
      </c>
      <c r="B317" s="2299"/>
      <c r="C317" s="1575"/>
      <c r="D317" s="1576"/>
      <c r="E317" s="1576"/>
      <c r="F317" s="1576"/>
      <c r="G317" s="1576"/>
      <c r="H317" s="1576"/>
      <c r="I317" s="1576"/>
      <c r="J317" s="1576"/>
      <c r="K317" s="1576"/>
      <c r="L317" s="1577"/>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8" t="s">
        <v>316</v>
      </c>
      <c r="B319" s="696" t="s">
        <v>298</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1903</v>
      </c>
      <c r="B320" s="697" t="s">
        <v>299</v>
      </c>
      <c r="C320" s="467">
        <v>0</v>
      </c>
      <c r="D320" s="467">
        <v>0</v>
      </c>
      <c r="E320" s="467">
        <v>187305</v>
      </c>
      <c r="F320" s="467">
        <v>0</v>
      </c>
      <c r="G320" s="467">
        <v>0</v>
      </c>
      <c r="H320" s="467">
        <v>0</v>
      </c>
      <c r="I320" s="467">
        <v>0</v>
      </c>
      <c r="J320" s="467">
        <v>0</v>
      </c>
      <c r="K320" s="1690">
        <f t="shared" ref="K320:K327" si="24">SUM(C320:J320)</f>
        <v>187305</v>
      </c>
      <c r="L320" s="467">
        <v>240000</v>
      </c>
      <c r="M320" s="664"/>
      <c r="N320" s="664"/>
    </row>
    <row r="321" spans="1:14" s="673" customFormat="1" x14ac:dyDescent="0.2">
      <c r="A321" s="1538" t="s">
        <v>317</v>
      </c>
      <c r="B321" s="696" t="s">
        <v>300</v>
      </c>
      <c r="C321" s="467">
        <v>0</v>
      </c>
      <c r="D321" s="467">
        <v>0</v>
      </c>
      <c r="E321" s="467">
        <v>0</v>
      </c>
      <c r="F321" s="467">
        <v>0</v>
      </c>
      <c r="G321" s="467">
        <v>0</v>
      </c>
      <c r="H321" s="467">
        <v>20460</v>
      </c>
      <c r="I321" s="467">
        <v>0</v>
      </c>
      <c r="J321" s="467">
        <v>0</v>
      </c>
      <c r="K321" s="1690">
        <f t="shared" si="24"/>
        <v>20460</v>
      </c>
      <c r="L321" s="467">
        <v>40000</v>
      </c>
      <c r="M321" s="664"/>
      <c r="N321" s="664"/>
    </row>
    <row r="322" spans="1:14" s="673" customFormat="1" x14ac:dyDescent="0.2">
      <c r="A322" s="1538" t="s">
        <v>256</v>
      </c>
      <c r="B322" s="696" t="s">
        <v>301</v>
      </c>
      <c r="C322" s="467">
        <v>0</v>
      </c>
      <c r="D322" s="467">
        <v>0</v>
      </c>
      <c r="E322" s="467">
        <v>194605</v>
      </c>
      <c r="F322" s="467">
        <v>0</v>
      </c>
      <c r="G322" s="467">
        <v>0</v>
      </c>
      <c r="H322" s="467">
        <v>0</v>
      </c>
      <c r="I322" s="467">
        <v>0</v>
      </c>
      <c r="J322" s="467">
        <v>0</v>
      </c>
      <c r="K322" s="1690">
        <f t="shared" si="24"/>
        <v>194605</v>
      </c>
      <c r="L322" s="467">
        <v>235000</v>
      </c>
      <c r="M322" s="664"/>
      <c r="N322" s="664"/>
    </row>
    <row r="323" spans="1:14" s="673" customFormat="1" x14ac:dyDescent="0.2">
      <c r="A323" s="1538" t="s">
        <v>725</v>
      </c>
      <c r="B323" s="696" t="s">
        <v>302</v>
      </c>
      <c r="C323" s="467">
        <v>0</v>
      </c>
      <c r="D323" s="467">
        <v>0</v>
      </c>
      <c r="E323" s="467">
        <v>157406</v>
      </c>
      <c r="F323" s="467">
        <v>0</v>
      </c>
      <c r="G323" s="467">
        <v>21832</v>
      </c>
      <c r="H323" s="467">
        <v>0</v>
      </c>
      <c r="I323" s="467">
        <v>0</v>
      </c>
      <c r="J323" s="467">
        <v>0</v>
      </c>
      <c r="K323" s="1690">
        <f t="shared" si="24"/>
        <v>179238</v>
      </c>
      <c r="L323" s="467">
        <v>205000</v>
      </c>
      <c r="M323" s="664"/>
      <c r="N323" s="664"/>
    </row>
    <row r="324" spans="1:14" s="673" customFormat="1" x14ac:dyDescent="0.2">
      <c r="A324" s="1538" t="s">
        <v>257</v>
      </c>
      <c r="B324" s="696" t="s">
        <v>303</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1086</v>
      </c>
      <c r="B325" s="697" t="s">
        <v>304</v>
      </c>
      <c r="C325" s="467">
        <v>128840</v>
      </c>
      <c r="D325" s="467">
        <v>0</v>
      </c>
      <c r="E325" s="467">
        <v>23750</v>
      </c>
      <c r="F325" s="467">
        <v>0</v>
      </c>
      <c r="G325" s="467">
        <v>0</v>
      </c>
      <c r="H325" s="467">
        <v>0</v>
      </c>
      <c r="I325" s="467">
        <v>0</v>
      </c>
      <c r="J325" s="467">
        <v>0</v>
      </c>
      <c r="K325" s="1690">
        <f t="shared" si="24"/>
        <v>152590</v>
      </c>
      <c r="L325" s="467">
        <v>164638</v>
      </c>
      <c r="M325" s="664"/>
      <c r="N325" s="664"/>
    </row>
    <row r="326" spans="1:14" s="673" customFormat="1" x14ac:dyDescent="0.2">
      <c r="A326" s="1538" t="s">
        <v>1087</v>
      </c>
      <c r="B326" s="696" t="s">
        <v>305</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1027</v>
      </c>
      <c r="B327" s="696" t="s">
        <v>306</v>
      </c>
      <c r="C327" s="467">
        <v>0</v>
      </c>
      <c r="D327" s="467">
        <v>0</v>
      </c>
      <c r="E327" s="467">
        <v>100613</v>
      </c>
      <c r="F327" s="467">
        <v>0</v>
      </c>
      <c r="G327" s="467">
        <v>0</v>
      </c>
      <c r="H327" s="467">
        <v>0</v>
      </c>
      <c r="I327" s="467">
        <v>0</v>
      </c>
      <c r="J327" s="467">
        <v>0</v>
      </c>
      <c r="K327" s="1690">
        <f t="shared" si="24"/>
        <v>100613</v>
      </c>
      <c r="L327" s="467">
        <v>125000</v>
      </c>
      <c r="M327" s="664"/>
      <c r="N327" s="664"/>
    </row>
    <row r="328" spans="1:14" s="673" customFormat="1" x14ac:dyDescent="0.2">
      <c r="A328" s="1539" t="s">
        <v>491</v>
      </c>
      <c r="B328" s="689" t="s">
        <v>1193</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1194</v>
      </c>
      <c r="B329" s="689" t="s">
        <v>1195</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740</v>
      </c>
      <c r="B330" s="1688" t="s">
        <v>589</v>
      </c>
      <c r="C330" s="1689">
        <f>SUM(C319:C329)</f>
        <v>128840</v>
      </c>
      <c r="D330" s="1689">
        <f t="shared" ref="D330:J330" si="25">SUM(D319:D329)</f>
        <v>0</v>
      </c>
      <c r="E330" s="1689">
        <f t="shared" si="25"/>
        <v>663679</v>
      </c>
      <c r="F330" s="1689">
        <f t="shared" si="25"/>
        <v>0</v>
      </c>
      <c r="G330" s="1689">
        <f t="shared" si="25"/>
        <v>21832</v>
      </c>
      <c r="H330" s="1689">
        <f t="shared" si="25"/>
        <v>20460</v>
      </c>
      <c r="I330" s="1689">
        <f t="shared" si="25"/>
        <v>0</v>
      </c>
      <c r="J330" s="1689">
        <f t="shared" si="25"/>
        <v>0</v>
      </c>
      <c r="K330" s="1689">
        <f>SUM(K319:K329)</f>
        <v>834811</v>
      </c>
      <c r="L330" s="1689">
        <f>SUM(L319:L329)</f>
        <v>1009638</v>
      </c>
      <c r="M330" s="664"/>
      <c r="N330" s="664"/>
    </row>
    <row r="331" spans="1:14" s="673" customFormat="1" ht="12.75" customHeight="1" thickTop="1" x14ac:dyDescent="0.2">
      <c r="A331" s="1851" t="s">
        <v>1958</v>
      </c>
      <c r="B331" s="646" t="s">
        <v>914</v>
      </c>
      <c r="C331" s="1853"/>
      <c r="D331" s="1853"/>
      <c r="E331" s="1853"/>
      <c r="F331" s="1853"/>
      <c r="G331" s="1853"/>
      <c r="H331" s="1853"/>
      <c r="I331" s="1853"/>
      <c r="J331" s="1853"/>
      <c r="K331" s="1853"/>
      <c r="L331" s="1853"/>
      <c r="M331" s="664"/>
      <c r="N331" s="664"/>
    </row>
    <row r="332" spans="1:14" s="673" customFormat="1" ht="12.75" customHeight="1" x14ac:dyDescent="0.2">
      <c r="A332" s="1852" t="s">
        <v>516</v>
      </c>
      <c r="B332" s="1847" t="s">
        <v>1952</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321</v>
      </c>
      <c r="B333" s="1847" t="s">
        <v>1954</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1959</v>
      </c>
      <c r="B334" s="1847" t="s">
        <v>914</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954</v>
      </c>
      <c r="B335" s="1626"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7" t="s">
        <v>89</v>
      </c>
      <c r="B337" s="689" t="s">
        <v>955</v>
      </c>
      <c r="C337" s="637"/>
      <c r="D337" s="637"/>
      <c r="E337" s="637"/>
      <c r="F337" s="637"/>
      <c r="G337" s="637"/>
      <c r="H337" s="477">
        <v>0</v>
      </c>
      <c r="I337" s="637"/>
      <c r="J337" s="637"/>
      <c r="K337" s="1690">
        <f>H337</f>
        <v>0</v>
      </c>
      <c r="L337" s="477">
        <v>0</v>
      </c>
    </row>
    <row r="338" spans="1:14" ht="12.75" customHeight="1" x14ac:dyDescent="0.2">
      <c r="A338" s="1537" t="s">
        <v>1231</v>
      </c>
      <c r="B338" s="689" t="s">
        <v>637</v>
      </c>
      <c r="C338" s="637"/>
      <c r="D338" s="637"/>
      <c r="E338" s="637"/>
      <c r="F338" s="637"/>
      <c r="G338" s="637"/>
      <c r="H338" s="477">
        <v>0</v>
      </c>
      <c r="I338" s="637"/>
      <c r="J338" s="637"/>
      <c r="K338" s="1690">
        <f>H338</f>
        <v>0</v>
      </c>
      <c r="L338" s="477">
        <v>0</v>
      </c>
    </row>
    <row r="339" spans="1:14" x14ac:dyDescent="0.2">
      <c r="A339" s="1523" t="s">
        <v>956</v>
      </c>
      <c r="B339" s="627">
        <v>5150</v>
      </c>
      <c r="C339" s="637"/>
      <c r="D339" s="637"/>
      <c r="E339" s="637"/>
      <c r="F339" s="637"/>
      <c r="G339" s="637"/>
      <c r="H339" s="467">
        <v>0</v>
      </c>
      <c r="I339" s="637"/>
      <c r="J339" s="637"/>
      <c r="K339" s="1690">
        <f>H339</f>
        <v>0</v>
      </c>
      <c r="L339" s="467">
        <v>0</v>
      </c>
    </row>
    <row r="340" spans="1:14" ht="13.5" thickBot="1" x14ac:dyDescent="0.25">
      <c r="A340" s="1713" t="s">
        <v>957</v>
      </c>
      <c r="B340" s="1688" t="s">
        <v>512</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958</v>
      </c>
      <c r="B341" s="1630" t="s">
        <v>915</v>
      </c>
      <c r="C341" s="615"/>
      <c r="D341" s="615"/>
      <c r="E341" s="476"/>
      <c r="F341" s="468"/>
      <c r="G341" s="468"/>
      <c r="H341" s="476"/>
      <c r="I341" s="476"/>
      <c r="J341" s="468"/>
      <c r="K341" s="476"/>
      <c r="L341" s="574">
        <v>200000</v>
      </c>
    </row>
    <row r="342" spans="1:14" ht="12.75" customHeight="1" thickTop="1" thickBot="1" x14ac:dyDescent="0.25">
      <c r="A342" s="1705" t="s">
        <v>525</v>
      </c>
      <c r="B342" s="1720"/>
      <c r="C342" s="1689">
        <f>SUM(C330)</f>
        <v>128840</v>
      </c>
      <c r="D342" s="1689">
        <f>SUM(D330)</f>
        <v>0</v>
      </c>
      <c r="E342" s="1689">
        <f>SUM(E330)</f>
        <v>663679</v>
      </c>
      <c r="F342" s="1689">
        <f>SUM(F330)</f>
        <v>0</v>
      </c>
      <c r="G342" s="1689">
        <f>SUM(G330)</f>
        <v>21832</v>
      </c>
      <c r="H342" s="1689">
        <f>SUM(H330,H334,H340)</f>
        <v>20460</v>
      </c>
      <c r="I342" s="1689">
        <f>SUM(I330)</f>
        <v>0</v>
      </c>
      <c r="J342" s="1689">
        <f>SUM(J330)</f>
        <v>0</v>
      </c>
      <c r="K342" s="1689">
        <f>SUM(K330,K334,K340)</f>
        <v>834811</v>
      </c>
      <c r="L342" s="1696">
        <f>SUM(L330,L340,L341)</f>
        <v>1209638</v>
      </c>
    </row>
    <row r="343" spans="1:14" ht="12.75" customHeight="1" thickTop="1" x14ac:dyDescent="0.2">
      <c r="A343" s="2287" t="s">
        <v>1052</v>
      </c>
      <c r="B343" s="2288"/>
      <c r="C343" s="615"/>
      <c r="D343" s="615"/>
      <c r="E343" s="615"/>
      <c r="F343" s="615"/>
      <c r="G343" s="615"/>
      <c r="H343" s="615"/>
      <c r="I343" s="615"/>
      <c r="J343" s="615"/>
      <c r="K343" s="1703">
        <f>'Revenues 9-14'!J275-'Expenditures 15-22'!K342</f>
        <v>753142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77" t="s">
        <v>1022</v>
      </c>
      <c r="B345" s="2278"/>
      <c r="C345" s="1570"/>
      <c r="D345" s="1571"/>
      <c r="E345" s="1571"/>
      <c r="F345" s="1571"/>
      <c r="G345" s="1571"/>
      <c r="H345" s="1571"/>
      <c r="I345" s="1571"/>
      <c r="J345" s="1571"/>
      <c r="K345" s="1571"/>
      <c r="L345" s="1572"/>
      <c r="M345" s="666"/>
      <c r="N345" s="666"/>
    </row>
    <row r="346" spans="1:14" s="343" customFormat="1" ht="15.75" customHeight="1" x14ac:dyDescent="0.2">
      <c r="A346" s="1642" t="s">
        <v>898</v>
      </c>
      <c r="B346" s="1634"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107663</v>
      </c>
      <c r="H348" s="466">
        <v>0</v>
      </c>
      <c r="I348" s="467">
        <v>0</v>
      </c>
      <c r="J348" s="467">
        <v>0</v>
      </c>
      <c r="K348" s="1690">
        <f>SUM(C348:J348)</f>
        <v>107663</v>
      </c>
      <c r="L348" s="466">
        <v>625000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742</v>
      </c>
      <c r="B350" s="1688" t="s">
        <v>35</v>
      </c>
      <c r="C350" s="1689">
        <f>SUM(C348:C349)</f>
        <v>0</v>
      </c>
      <c r="D350" s="1689">
        <f t="shared" ref="D350:L350" si="26">SUM(D348:D349)</f>
        <v>0</v>
      </c>
      <c r="E350" s="1689">
        <f t="shared" si="26"/>
        <v>0</v>
      </c>
      <c r="F350" s="1689">
        <f t="shared" si="26"/>
        <v>0</v>
      </c>
      <c r="G350" s="1689">
        <f t="shared" si="26"/>
        <v>107663</v>
      </c>
      <c r="H350" s="1689">
        <f t="shared" si="26"/>
        <v>0</v>
      </c>
      <c r="I350" s="1689">
        <f t="shared" si="26"/>
        <v>0</v>
      </c>
      <c r="J350" s="1689">
        <f t="shared" si="26"/>
        <v>0</v>
      </c>
      <c r="K350" s="1689">
        <f t="shared" si="26"/>
        <v>107663</v>
      </c>
      <c r="L350" s="1689">
        <f t="shared" si="26"/>
        <v>625000</v>
      </c>
    </row>
    <row r="351" spans="1:14" ht="12.75" customHeight="1" thickTop="1" x14ac:dyDescent="0.2">
      <c r="A351" s="1529"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644</v>
      </c>
      <c r="B352" s="1694" t="s">
        <v>589</v>
      </c>
      <c r="C352" s="1689">
        <f>SUM(C350:C351)</f>
        <v>0</v>
      </c>
      <c r="D352" s="1689">
        <f t="shared" ref="D352:L352" si="27">SUM(D350:D351)</f>
        <v>0</v>
      </c>
      <c r="E352" s="1689">
        <f t="shared" si="27"/>
        <v>0</v>
      </c>
      <c r="F352" s="1689">
        <f t="shared" si="27"/>
        <v>0</v>
      </c>
      <c r="G352" s="1689">
        <f t="shared" si="27"/>
        <v>107663</v>
      </c>
      <c r="H352" s="1689">
        <f t="shared" si="27"/>
        <v>0</v>
      </c>
      <c r="I352" s="1689">
        <f t="shared" si="27"/>
        <v>0</v>
      </c>
      <c r="J352" s="1689">
        <f t="shared" si="27"/>
        <v>0</v>
      </c>
      <c r="K352" s="1689">
        <f t="shared" si="27"/>
        <v>107663</v>
      </c>
      <c r="L352" s="1689">
        <f t="shared" si="27"/>
        <v>625000</v>
      </c>
    </row>
    <row r="353" spans="1:14" s="343" customFormat="1" ht="15.75" customHeight="1" thickTop="1" x14ac:dyDescent="0.2">
      <c r="A353" s="1631" t="s">
        <v>645</v>
      </c>
      <c r="B353" s="1628" t="s">
        <v>914</v>
      </c>
      <c r="C353" s="615"/>
      <c r="D353" s="615"/>
      <c r="E353" s="615"/>
      <c r="F353" s="615"/>
      <c r="G353" s="615"/>
      <c r="H353" s="615"/>
      <c r="I353" s="615"/>
      <c r="J353" s="615"/>
      <c r="K353" s="615"/>
      <c r="L353" s="615"/>
      <c r="M353" s="608"/>
      <c r="N353" s="608"/>
    </row>
    <row r="354" spans="1:14" x14ac:dyDescent="0.2">
      <c r="A354" s="1854" t="s">
        <v>1960</v>
      </c>
      <c r="B354" s="682" t="s">
        <v>1952</v>
      </c>
      <c r="C354" s="615"/>
      <c r="D354" s="615"/>
      <c r="E354" s="615"/>
      <c r="F354" s="615"/>
      <c r="G354" s="615"/>
      <c r="H354" s="474">
        <v>0</v>
      </c>
      <c r="I354" s="700"/>
      <c r="J354" s="615"/>
      <c r="K354" s="1718">
        <f>H354</f>
        <v>0</v>
      </c>
      <c r="L354" s="471">
        <v>0</v>
      </c>
    </row>
    <row r="355" spans="1:14" ht="12.75" customHeight="1" x14ac:dyDescent="0.2">
      <c r="A355" s="1532" t="s">
        <v>1961</v>
      </c>
      <c r="B355" s="689" t="s">
        <v>1954</v>
      </c>
      <c r="C355" s="615"/>
      <c r="D355" s="615"/>
      <c r="E355" s="615"/>
      <c r="F355" s="615"/>
      <c r="G355" s="615"/>
      <c r="H355" s="467">
        <v>0</v>
      </c>
      <c r="I355" s="700"/>
      <c r="J355" s="615"/>
      <c r="K355" s="1762">
        <f>H355</f>
        <v>0</v>
      </c>
      <c r="L355" s="467">
        <v>0</v>
      </c>
    </row>
    <row r="356" spans="1:14" ht="12.75" customHeight="1" x14ac:dyDescent="0.2">
      <c r="A356" s="1854" t="s">
        <v>721</v>
      </c>
      <c r="B356" s="682" t="s">
        <v>578</v>
      </c>
      <c r="C356" s="615"/>
      <c r="D356" s="615"/>
      <c r="E356" s="615"/>
      <c r="F356" s="615"/>
      <c r="G356" s="615"/>
      <c r="H356" s="478">
        <v>0</v>
      </c>
      <c r="I356" s="700"/>
      <c r="J356" s="615"/>
      <c r="K356" s="1759">
        <f>H356</f>
        <v>0</v>
      </c>
      <c r="L356" s="478">
        <v>0</v>
      </c>
    </row>
    <row r="357" spans="1:14" ht="12.75" customHeight="1" thickBot="1" x14ac:dyDescent="0.25">
      <c r="A357" s="1687" t="s">
        <v>1566</v>
      </c>
      <c r="B357" s="1688" t="s">
        <v>914</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1004</v>
      </c>
      <c r="B358" s="1628"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639</v>
      </c>
      <c r="B361" s="601" t="s">
        <v>638</v>
      </c>
      <c r="C361" s="615"/>
      <c r="D361" s="615"/>
      <c r="E361" s="615"/>
      <c r="F361" s="615"/>
      <c r="G361" s="615"/>
      <c r="H361" s="467">
        <v>0</v>
      </c>
      <c r="I361" s="615"/>
      <c r="J361" s="615"/>
      <c r="K361" s="1690">
        <f>SUM(C361:J361)</f>
        <v>0</v>
      </c>
      <c r="L361" s="466">
        <v>0</v>
      </c>
    </row>
    <row r="362" spans="1:14" ht="12.75" customHeight="1" thickBot="1" x14ac:dyDescent="0.25">
      <c r="A362" s="1687" t="s">
        <v>646</v>
      </c>
      <c r="B362" s="1688" t="s">
        <v>741</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610</v>
      </c>
      <c r="B365" s="658" t="s">
        <v>512</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1005</v>
      </c>
      <c r="B366" s="1632" t="s">
        <v>915</v>
      </c>
      <c r="C366" s="622"/>
      <c r="D366" s="622"/>
      <c r="E366" s="622"/>
      <c r="F366" s="622"/>
      <c r="G366" s="622"/>
      <c r="H366" s="622"/>
      <c r="I366" s="622"/>
      <c r="J366" s="615"/>
      <c r="K366" s="622"/>
      <c r="L366" s="571">
        <v>0</v>
      </c>
      <c r="M366" s="608"/>
      <c r="N366" s="608"/>
    </row>
    <row r="367" spans="1:14" ht="12.75" customHeight="1" thickTop="1" thickBot="1" x14ac:dyDescent="0.25">
      <c r="A367" s="1711" t="s">
        <v>525</v>
      </c>
      <c r="B367" s="1723"/>
      <c r="C367" s="1689">
        <f t="shared" ref="C367:L367" si="28">SUM(C352,C357,C365,C366)</f>
        <v>0</v>
      </c>
      <c r="D367" s="1689">
        <f t="shared" si="28"/>
        <v>0</v>
      </c>
      <c r="E367" s="1689">
        <f t="shared" si="28"/>
        <v>0</v>
      </c>
      <c r="F367" s="1689">
        <f t="shared" si="28"/>
        <v>0</v>
      </c>
      <c r="G367" s="1689">
        <f t="shared" si="28"/>
        <v>107663</v>
      </c>
      <c r="H367" s="1689">
        <f t="shared" si="28"/>
        <v>0</v>
      </c>
      <c r="I367" s="1689">
        <f t="shared" si="28"/>
        <v>0</v>
      </c>
      <c r="J367" s="1689">
        <f t="shared" si="28"/>
        <v>0</v>
      </c>
      <c r="K367" s="1689">
        <f t="shared" si="28"/>
        <v>107663</v>
      </c>
      <c r="L367" s="1689">
        <f t="shared" si="28"/>
        <v>625000</v>
      </c>
    </row>
    <row r="368" spans="1:14" ht="13.5" thickTop="1" x14ac:dyDescent="0.2">
      <c r="A368" s="2274" t="s">
        <v>1052</v>
      </c>
      <c r="B368" s="2275"/>
      <c r="C368" s="653"/>
      <c r="D368" s="653"/>
      <c r="E368" s="625"/>
      <c r="F368" s="625"/>
      <c r="G368" s="625"/>
      <c r="H368" s="625"/>
      <c r="I368" s="625"/>
      <c r="J368" s="622"/>
      <c r="K368" s="1690">
        <f>'Revenues 9-14'!K275-'Expenditures 15-22'!K367</f>
        <v>354451</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if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301" t="s">
        <v>1900</v>
      </c>
      <c r="B2" s="1547" t="s">
        <v>2032</v>
      </c>
      <c r="C2" s="713" t="s">
        <v>1905</v>
      </c>
      <c r="D2" s="713" t="s">
        <v>1906</v>
      </c>
      <c r="E2" s="713" t="s">
        <v>1907</v>
      </c>
      <c r="F2" s="713" t="s">
        <v>1908</v>
      </c>
    </row>
    <row r="3" spans="1:6" ht="12" customHeight="1" x14ac:dyDescent="0.2">
      <c r="A3" s="2302"/>
      <c r="B3" s="1544"/>
      <c r="C3" s="1545"/>
      <c r="D3" s="1546" t="s">
        <v>274</v>
      </c>
      <c r="E3" s="1545"/>
      <c r="F3" s="1546" t="s">
        <v>275</v>
      </c>
    </row>
    <row r="4" spans="1:6" ht="13.7" customHeight="1" x14ac:dyDescent="0.2">
      <c r="A4" s="714" t="s">
        <v>1216</v>
      </c>
      <c r="B4" s="1768">
        <f>'Revenues 9-14'!C5</f>
        <v>24837503</v>
      </c>
      <c r="C4" s="1543">
        <v>11735600</v>
      </c>
      <c r="D4" s="1771">
        <f>B4-C4</f>
        <v>13101903</v>
      </c>
      <c r="E4" s="1543">
        <v>25086756</v>
      </c>
      <c r="F4" s="1771">
        <f>E4-C4</f>
        <v>13351156</v>
      </c>
    </row>
    <row r="5" spans="1:6" ht="13.7" customHeight="1" x14ac:dyDescent="0.2">
      <c r="A5" s="714" t="s">
        <v>924</v>
      </c>
      <c r="B5" s="1769">
        <f>'Revenues 9-14'!D5</f>
        <v>4369560</v>
      </c>
      <c r="C5" s="583">
        <v>2064596</v>
      </c>
      <c r="D5" s="1772">
        <f t="shared" ref="D5:D18" si="0">B5-C5</f>
        <v>2304964</v>
      </c>
      <c r="E5" s="583">
        <v>4413411</v>
      </c>
      <c r="F5" s="1772">
        <f>E5-C5</f>
        <v>2348815</v>
      </c>
    </row>
    <row r="6" spans="1:6" ht="13.7" customHeight="1" x14ac:dyDescent="0.2">
      <c r="A6" s="714" t="s">
        <v>430</v>
      </c>
      <c r="B6" s="1769">
        <f>'Revenues 9-14'!E5</f>
        <v>5647998</v>
      </c>
      <c r="C6" s="583">
        <v>2553884</v>
      </c>
      <c r="D6" s="1772">
        <f t="shared" si="0"/>
        <v>3094114</v>
      </c>
      <c r="E6" s="583">
        <v>5459343</v>
      </c>
      <c r="F6" s="1772">
        <f t="shared" ref="F6:F18" si="1">E6-C6</f>
        <v>2905459</v>
      </c>
    </row>
    <row r="7" spans="1:6" ht="13.7" customHeight="1" x14ac:dyDescent="0.2">
      <c r="A7" s="714" t="s">
        <v>157</v>
      </c>
      <c r="B7" s="1769">
        <f>'Revenues 9-14'!F5</f>
        <v>1839815</v>
      </c>
      <c r="C7" s="583">
        <v>869304</v>
      </c>
      <c r="D7" s="1772">
        <f t="shared" si="0"/>
        <v>970511</v>
      </c>
      <c r="E7" s="583">
        <v>1858278</v>
      </c>
      <c r="F7" s="1772">
        <f t="shared" si="1"/>
        <v>988974</v>
      </c>
    </row>
    <row r="8" spans="1:6" ht="13.7" customHeight="1" x14ac:dyDescent="0.2">
      <c r="A8" s="714" t="s">
        <v>1240</v>
      </c>
      <c r="B8" s="1769">
        <f>'Revenues 9-14'!G5</f>
        <v>901882</v>
      </c>
      <c r="C8" s="583">
        <v>422960</v>
      </c>
      <c r="D8" s="1772">
        <f t="shared" si="0"/>
        <v>478922</v>
      </c>
      <c r="E8" s="583">
        <v>904145</v>
      </c>
      <c r="F8" s="1772">
        <f t="shared" si="1"/>
        <v>481185</v>
      </c>
    </row>
    <row r="9" spans="1:6" ht="13.7" customHeight="1" x14ac:dyDescent="0.2">
      <c r="A9" s="714" t="s">
        <v>427</v>
      </c>
      <c r="B9" s="1769">
        <f>'Revenues 9-14'!H5</f>
        <v>0</v>
      </c>
      <c r="C9" s="583">
        <v>0</v>
      </c>
      <c r="D9" s="1772">
        <f t="shared" si="0"/>
        <v>0</v>
      </c>
      <c r="E9" s="583">
        <v>0</v>
      </c>
      <c r="F9" s="1772">
        <f t="shared" si="1"/>
        <v>0</v>
      </c>
    </row>
    <row r="10" spans="1:6" ht="13.7" customHeight="1" x14ac:dyDescent="0.2">
      <c r="A10" s="714" t="s">
        <v>426</v>
      </c>
      <c r="B10" s="1769">
        <f>'Revenues 9-14'!I5</f>
        <v>459954</v>
      </c>
      <c r="C10" s="583">
        <v>217326</v>
      </c>
      <c r="D10" s="1772">
        <f t="shared" si="0"/>
        <v>242628</v>
      </c>
      <c r="E10" s="583">
        <v>464570</v>
      </c>
      <c r="F10" s="1772">
        <f t="shared" si="1"/>
        <v>247244</v>
      </c>
    </row>
    <row r="11" spans="1:6" x14ac:dyDescent="0.2">
      <c r="A11" s="714" t="s">
        <v>428</v>
      </c>
      <c r="B11" s="1769">
        <f>'Revenues 9-14'!J5</f>
        <v>1553692</v>
      </c>
      <c r="C11" s="583">
        <v>771898</v>
      </c>
      <c r="D11" s="1772">
        <f t="shared" si="0"/>
        <v>781794</v>
      </c>
      <c r="E11" s="583">
        <v>1650058</v>
      </c>
      <c r="F11" s="1772">
        <f t="shared" si="1"/>
        <v>878160</v>
      </c>
    </row>
    <row r="12" spans="1:6" ht="13.7" customHeight="1" x14ac:dyDescent="0.2">
      <c r="A12" s="714" t="s">
        <v>159</v>
      </c>
      <c r="B12" s="1769">
        <f>'Revenues 9-14'!K5</f>
        <v>459954</v>
      </c>
      <c r="C12" s="583">
        <v>217326</v>
      </c>
      <c r="D12" s="1772">
        <f t="shared" si="0"/>
        <v>242628</v>
      </c>
      <c r="E12" s="583">
        <v>464570</v>
      </c>
      <c r="F12" s="1772">
        <f t="shared" si="1"/>
        <v>247244</v>
      </c>
    </row>
    <row r="13" spans="1:6" ht="13.7" customHeight="1" x14ac:dyDescent="0.2">
      <c r="A13" s="714" t="s">
        <v>992</v>
      </c>
      <c r="B13" s="1769">
        <f>SUM('Revenues 9-14'!C6:D6)</f>
        <v>459953</v>
      </c>
      <c r="C13" s="583">
        <v>217325</v>
      </c>
      <c r="D13" s="1772">
        <f t="shared" si="0"/>
        <v>242628</v>
      </c>
      <c r="E13" s="583">
        <v>464570</v>
      </c>
      <c r="F13" s="1772">
        <f t="shared" si="1"/>
        <v>247245</v>
      </c>
    </row>
    <row r="14" spans="1:6" ht="13.7" customHeight="1" x14ac:dyDescent="0.2">
      <c r="A14" s="714" t="s">
        <v>429</v>
      </c>
      <c r="B14" s="1769">
        <f>SUM('Revenues 9-14'!C7:D7,'Revenues 9-14'!F7:H7)</f>
        <v>367963</v>
      </c>
      <c r="C14" s="583">
        <v>173861</v>
      </c>
      <c r="D14" s="1772">
        <f t="shared" si="0"/>
        <v>194102</v>
      </c>
      <c r="E14" s="583">
        <v>371656</v>
      </c>
      <c r="F14" s="1772">
        <f t="shared" si="1"/>
        <v>197795</v>
      </c>
    </row>
    <row r="15" spans="1:6" ht="13.7" customHeight="1" x14ac:dyDescent="0.2">
      <c r="A15" s="714" t="s">
        <v>1219</v>
      </c>
      <c r="B15" s="1769">
        <f>'Revenues 9-14'!E9</f>
        <v>0</v>
      </c>
      <c r="C15" s="583">
        <v>0</v>
      </c>
      <c r="D15" s="1772">
        <f t="shared" si="0"/>
        <v>0</v>
      </c>
      <c r="E15" s="583">
        <v>0</v>
      </c>
      <c r="F15" s="1772">
        <f t="shared" si="1"/>
        <v>0</v>
      </c>
    </row>
    <row r="16" spans="1:6" ht="13.7" customHeight="1" x14ac:dyDescent="0.2">
      <c r="A16" s="714" t="s">
        <v>1220</v>
      </c>
      <c r="B16" s="1769">
        <f>'Revenues 9-14'!G8</f>
        <v>1092600</v>
      </c>
      <c r="C16" s="583">
        <v>512368</v>
      </c>
      <c r="D16" s="1772">
        <f t="shared" si="0"/>
        <v>580232</v>
      </c>
      <c r="E16" s="583">
        <v>1095269</v>
      </c>
      <c r="F16" s="1772">
        <f t="shared" si="1"/>
        <v>582901</v>
      </c>
    </row>
    <row r="17" spans="1:6" ht="13.7" customHeight="1" x14ac:dyDescent="0.2">
      <c r="A17" s="714" t="s">
        <v>1221</v>
      </c>
      <c r="B17" s="1769">
        <f>'Revenues 9-14'!C10</f>
        <v>0</v>
      </c>
      <c r="C17" s="583">
        <v>0</v>
      </c>
      <c r="D17" s="1772">
        <f t="shared" si="0"/>
        <v>0</v>
      </c>
      <c r="E17" s="583">
        <v>0</v>
      </c>
      <c r="F17" s="1772">
        <f t="shared" si="1"/>
        <v>0</v>
      </c>
    </row>
    <row r="18" spans="1:6" ht="13.7" customHeight="1" x14ac:dyDescent="0.2">
      <c r="A18" s="714" t="s">
        <v>785</v>
      </c>
      <c r="B18" s="1769">
        <f>SUM('Revenues 9-14'!C11:K11)</f>
        <v>0</v>
      </c>
      <c r="C18" s="583">
        <v>0</v>
      </c>
      <c r="D18" s="1772">
        <f t="shared" si="0"/>
        <v>0</v>
      </c>
      <c r="E18" s="583">
        <v>0</v>
      </c>
      <c r="F18" s="1772">
        <f t="shared" si="1"/>
        <v>0</v>
      </c>
    </row>
    <row r="19" spans="1:6" ht="13.7" customHeight="1" thickBot="1" x14ac:dyDescent="0.25">
      <c r="A19" s="1773" t="s">
        <v>1222</v>
      </c>
      <c r="B19" s="1770">
        <f>SUM(B4:B18)</f>
        <v>41990874</v>
      </c>
      <c r="C19" s="1770">
        <f>SUM(C4:C18)</f>
        <v>19756448</v>
      </c>
      <c r="D19" s="1770">
        <f>SUM(D4:D18)</f>
        <v>22234426</v>
      </c>
      <c r="E19" s="1770">
        <f>SUM(E4:E18)</f>
        <v>42232626</v>
      </c>
      <c r="F19" s="1770">
        <f>SUM(F4:F18)</f>
        <v>22476178</v>
      </c>
    </row>
    <row r="20" spans="1:6" ht="13.5" thickTop="1" x14ac:dyDescent="0.2">
      <c r="B20" s="712"/>
      <c r="F20" s="715"/>
    </row>
    <row r="21" spans="1:6" x14ac:dyDescent="0.2">
      <c r="A21" s="716" t="s">
        <v>1910</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30" zoomScaleNormal="13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23" t="s">
        <v>649</v>
      </c>
      <c r="B1" s="2321"/>
      <c r="C1" s="720"/>
    </row>
    <row r="2" spans="1:7" ht="33.75" x14ac:dyDescent="0.2">
      <c r="A2" s="2328" t="s">
        <v>1900</v>
      </c>
      <c r="B2" s="2329"/>
      <c r="C2" s="1906" t="s">
        <v>2033</v>
      </c>
      <c r="D2" s="722" t="s">
        <v>2040</v>
      </c>
      <c r="E2" s="722" t="s">
        <v>2041</v>
      </c>
      <c r="F2" s="1906" t="s">
        <v>2034</v>
      </c>
    </row>
    <row r="3" spans="1:7" ht="15.75" customHeight="1" x14ac:dyDescent="0.2">
      <c r="A3" s="2330" t="s">
        <v>1175</v>
      </c>
      <c r="B3" s="2331"/>
      <c r="C3" s="2324"/>
      <c r="D3" s="2325"/>
      <c r="E3" s="2325"/>
      <c r="F3" s="2326"/>
    </row>
    <row r="4" spans="1:7" ht="12.75" customHeight="1" thickBot="1" x14ac:dyDescent="0.25">
      <c r="A4" s="2318" t="s">
        <v>650</v>
      </c>
      <c r="B4" s="2319"/>
      <c r="C4" s="579"/>
      <c r="D4" s="579"/>
      <c r="E4" s="579"/>
      <c r="F4" s="1774">
        <f>SUM(C4+D4)-E4</f>
        <v>0</v>
      </c>
    </row>
    <row r="5" spans="1:7" ht="15.75" customHeight="1" thickTop="1" x14ac:dyDescent="0.2">
      <c r="A5" s="2322" t="s">
        <v>1171</v>
      </c>
      <c r="B5" s="2317"/>
      <c r="C5" s="2311"/>
      <c r="D5" s="2312"/>
      <c r="E5" s="2312"/>
      <c r="F5" s="2313"/>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528</v>
      </c>
      <c r="B8" s="724"/>
      <c r="C8" s="725"/>
      <c r="D8" s="583"/>
      <c r="E8" s="725"/>
      <c r="F8" s="1774">
        <f t="shared" si="0"/>
        <v>0</v>
      </c>
    </row>
    <row r="9" spans="1:7" ht="12.75" customHeight="1" thickTop="1" thickBot="1" x14ac:dyDescent="0.25">
      <c r="A9" s="723" t="s">
        <v>529</v>
      </c>
      <c r="B9" s="724"/>
      <c r="C9" s="725"/>
      <c r="D9" s="583"/>
      <c r="E9" s="725"/>
      <c r="F9" s="1774">
        <f t="shared" si="0"/>
        <v>0</v>
      </c>
    </row>
    <row r="10" spans="1:7" ht="12.75" customHeight="1" thickTop="1" thickBot="1" x14ac:dyDescent="0.25">
      <c r="A10" s="723" t="s">
        <v>530</v>
      </c>
      <c r="B10" s="724"/>
      <c r="C10" s="725"/>
      <c r="D10" s="583"/>
      <c r="E10" s="725"/>
      <c r="F10" s="1774">
        <f t="shared" si="0"/>
        <v>0</v>
      </c>
    </row>
    <row r="11" spans="1:7" ht="12.75" customHeight="1" thickTop="1" thickBot="1" x14ac:dyDescent="0.25">
      <c r="A11" s="723" t="s">
        <v>358</v>
      </c>
      <c r="B11" s="724"/>
      <c r="C11" s="725"/>
      <c r="D11" s="583"/>
      <c r="E11" s="725"/>
      <c r="F11" s="1774">
        <f t="shared" si="0"/>
        <v>0</v>
      </c>
    </row>
    <row r="12" spans="1:7" ht="12.75" customHeight="1" thickTop="1" thickBot="1" x14ac:dyDescent="0.25">
      <c r="A12" s="723" t="s">
        <v>1218</v>
      </c>
      <c r="B12" s="724"/>
      <c r="C12" s="725"/>
      <c r="D12" s="583"/>
      <c r="E12" s="725"/>
      <c r="F12" s="1774">
        <f t="shared" si="0"/>
        <v>0</v>
      </c>
    </row>
    <row r="13" spans="1:7" ht="12.75" customHeight="1" thickTop="1" thickBot="1" x14ac:dyDescent="0.25">
      <c r="A13" s="723" t="s">
        <v>405</v>
      </c>
      <c r="B13" s="724"/>
      <c r="C13" s="725"/>
      <c r="D13" s="583"/>
      <c r="E13" s="725"/>
      <c r="F13" s="1774">
        <f t="shared" si="0"/>
        <v>0</v>
      </c>
    </row>
    <row r="14" spans="1:7" ht="12.75" customHeight="1" thickTop="1" thickBot="1" x14ac:dyDescent="0.25">
      <c r="A14" s="723" t="s">
        <v>467</v>
      </c>
      <c r="B14" s="724"/>
      <c r="C14" s="725"/>
      <c r="D14" s="583"/>
      <c r="E14" s="725"/>
      <c r="F14" s="1774">
        <f t="shared" si="0"/>
        <v>0</v>
      </c>
    </row>
    <row r="15" spans="1:7" ht="14.25" thickTop="1" thickBot="1" x14ac:dyDescent="0.25">
      <c r="A15" s="2314" t="s">
        <v>651</v>
      </c>
      <c r="B15" s="2315"/>
      <c r="C15" s="1774">
        <f>SUM(C6:C14)</f>
        <v>0</v>
      </c>
      <c r="D15" s="1774">
        <f>SUM(D6:D14)</f>
        <v>0</v>
      </c>
      <c r="E15" s="1774">
        <f>SUM(E6:E14)</f>
        <v>0</v>
      </c>
      <c r="F15" s="1774">
        <f>SUM(F6:F14)</f>
        <v>0</v>
      </c>
      <c r="G15" s="550"/>
    </row>
    <row r="16" spans="1:7" s="202" customFormat="1" ht="15.75" customHeight="1" thickTop="1" x14ac:dyDescent="0.2">
      <c r="A16" s="2327" t="s">
        <v>1172</v>
      </c>
      <c r="B16" s="2317"/>
      <c r="C16" s="2311"/>
      <c r="D16" s="2312"/>
      <c r="E16" s="2312"/>
      <c r="F16" s="2313"/>
    </row>
    <row r="17" spans="1:11" ht="12.75" customHeight="1" thickBot="1" x14ac:dyDescent="0.25">
      <c r="A17" s="2309" t="s">
        <v>66</v>
      </c>
      <c r="B17" s="2310"/>
      <c r="C17" s="725"/>
      <c r="D17" s="583"/>
      <c r="E17" s="725"/>
      <c r="F17" s="1774">
        <f>SUM(C17+D17)-E17</f>
        <v>0</v>
      </c>
    </row>
    <row r="18" spans="1:11" ht="12.75" customHeight="1" thickTop="1" thickBot="1" x14ac:dyDescent="0.25">
      <c r="A18" s="2309" t="s">
        <v>6</v>
      </c>
      <c r="B18" s="2310"/>
      <c r="C18" s="725"/>
      <c r="D18" s="583"/>
      <c r="E18" s="725"/>
      <c r="F18" s="1774">
        <f>SUM(C18+D18)-E18</f>
        <v>0</v>
      </c>
    </row>
    <row r="19" spans="1:11" ht="12.75" customHeight="1" thickTop="1" thickBot="1" x14ac:dyDescent="0.25">
      <c r="A19" s="2309" t="s">
        <v>405</v>
      </c>
      <c r="B19" s="2310"/>
      <c r="C19" s="725"/>
      <c r="D19" s="583"/>
      <c r="E19" s="725"/>
      <c r="F19" s="1774">
        <f>SUM(C19+D19)-E19</f>
        <v>0</v>
      </c>
    </row>
    <row r="20" spans="1:11" ht="12.75" customHeight="1" thickTop="1" thickBot="1" x14ac:dyDescent="0.25">
      <c r="A20" s="2309" t="s">
        <v>467</v>
      </c>
      <c r="B20" s="2310"/>
      <c r="C20" s="725"/>
      <c r="D20" s="583"/>
      <c r="E20" s="725"/>
      <c r="F20" s="1774">
        <f>SUM(C20+D20)-E20</f>
        <v>0</v>
      </c>
    </row>
    <row r="21" spans="1:11" ht="14.25" thickTop="1" thickBot="1" x14ac:dyDescent="0.25">
      <c r="A21" s="2314" t="s">
        <v>652</v>
      </c>
      <c r="B21" s="2315"/>
      <c r="C21" s="1774">
        <f>SUM(C17:C20)</f>
        <v>0</v>
      </c>
      <c r="D21" s="1774">
        <f>SUM(D17:D20)</f>
        <v>0</v>
      </c>
      <c r="E21" s="1774">
        <f>SUM(E17:E20)</f>
        <v>0</v>
      </c>
      <c r="F21" s="1774">
        <f>SUM(F17:F20)</f>
        <v>0</v>
      </c>
      <c r="G21" s="550"/>
    </row>
    <row r="22" spans="1:11" ht="15.75" customHeight="1" thickTop="1" x14ac:dyDescent="0.2">
      <c r="A22" s="2316" t="s">
        <v>1173</v>
      </c>
      <c r="B22" s="2317"/>
      <c r="C22" s="2311"/>
      <c r="D22" s="2312"/>
      <c r="E22" s="2312"/>
      <c r="F22" s="2313"/>
    </row>
    <row r="23" spans="1:11" ht="13.5" thickBot="1" x14ac:dyDescent="0.25">
      <c r="A23" s="2318" t="s">
        <v>653</v>
      </c>
      <c r="B23" s="2319"/>
      <c r="C23" s="579"/>
      <c r="D23" s="579"/>
      <c r="E23" s="579"/>
      <c r="F23" s="1774">
        <f>SUM(C23+D23)-E23</f>
        <v>0</v>
      </c>
      <c r="G23" s="550"/>
    </row>
    <row r="24" spans="1:11" ht="15.75" customHeight="1" thickTop="1" x14ac:dyDescent="0.2">
      <c r="A24" s="2316" t="s">
        <v>1174</v>
      </c>
      <c r="B24" s="2317"/>
      <c r="C24" s="2311"/>
      <c r="D24" s="2312"/>
      <c r="E24" s="2312"/>
      <c r="F24" s="2313"/>
    </row>
    <row r="25" spans="1:11" ht="13.5" thickBot="1" x14ac:dyDescent="0.25">
      <c r="A25" s="2318" t="s">
        <v>654</v>
      </c>
      <c r="B25" s="2319"/>
      <c r="C25" s="579"/>
      <c r="D25" s="579"/>
      <c r="E25" s="579"/>
      <c r="F25" s="1774">
        <f>SUM(C25+D25)-E25</f>
        <v>0</v>
      </c>
      <c r="G25" s="550"/>
    </row>
    <row r="26" spans="1:11" ht="15.75" customHeight="1" thickTop="1" x14ac:dyDescent="0.2">
      <c r="A26" s="2322" t="s">
        <v>677</v>
      </c>
      <c r="B26" s="2317"/>
      <c r="C26" s="726"/>
      <c r="D26" s="726"/>
      <c r="E26" s="726"/>
      <c r="F26" s="727"/>
    </row>
    <row r="27" spans="1:11" ht="13.5" thickBot="1" x14ac:dyDescent="0.25">
      <c r="A27" s="2314" t="s">
        <v>1129</v>
      </c>
      <c r="B27" s="2315"/>
      <c r="C27" s="583"/>
      <c r="D27" s="583"/>
      <c r="E27" s="583"/>
      <c r="F27" s="1774">
        <f>SUM(C27+D27)-E27</f>
        <v>0</v>
      </c>
      <c r="G27" s="550"/>
    </row>
    <row r="28" spans="1:11" ht="7.5" customHeight="1" thickTop="1" x14ac:dyDescent="0.2">
      <c r="A28" s="592"/>
    </row>
    <row r="29" spans="1:11" ht="23.25" customHeight="1" x14ac:dyDescent="0.2">
      <c r="A29" s="2320" t="s">
        <v>602</v>
      </c>
      <c r="B29" s="2321"/>
      <c r="C29" s="728"/>
      <c r="D29" s="728"/>
      <c r="E29" s="728"/>
      <c r="F29" s="728"/>
      <c r="G29" s="728"/>
      <c r="H29" s="728"/>
      <c r="I29" s="728"/>
      <c r="J29" s="728"/>
    </row>
    <row r="30" spans="1:11" ht="33.75" x14ac:dyDescent="0.2">
      <c r="A30" s="1548" t="s">
        <v>1130</v>
      </c>
      <c r="B30" s="729" t="s">
        <v>1185</v>
      </c>
      <c r="C30" s="1907" t="s">
        <v>603</v>
      </c>
      <c r="D30" s="1907" t="s">
        <v>1771</v>
      </c>
      <c r="E30" s="1907" t="s">
        <v>2035</v>
      </c>
      <c r="F30" s="1907" t="s">
        <v>2036</v>
      </c>
      <c r="G30" s="1907" t="s">
        <v>2039</v>
      </c>
      <c r="H30" s="1907" t="s">
        <v>2037</v>
      </c>
      <c r="I30" s="1907" t="s">
        <v>2038</v>
      </c>
      <c r="J30" s="1908" t="s">
        <v>2</v>
      </c>
      <c r="K30" s="730"/>
    </row>
    <row r="31" spans="1:11" ht="12" customHeight="1" x14ac:dyDescent="0.2">
      <c r="A31" s="731" t="s">
        <v>2086</v>
      </c>
      <c r="B31" s="732">
        <v>39133</v>
      </c>
      <c r="C31" s="733">
        <v>9920000</v>
      </c>
      <c r="D31" s="734">
        <v>3</v>
      </c>
      <c r="E31" s="733">
        <v>4820000</v>
      </c>
      <c r="F31" s="733"/>
      <c r="G31" s="733">
        <v>-4820000</v>
      </c>
      <c r="H31" s="733"/>
      <c r="I31" s="1775">
        <f>((E31+F31)-H31)+G31</f>
        <v>0</v>
      </c>
      <c r="J31" s="733"/>
      <c r="K31" s="735"/>
    </row>
    <row r="32" spans="1:11" ht="12" customHeight="1" x14ac:dyDescent="0.2">
      <c r="A32" s="731" t="s">
        <v>2087</v>
      </c>
      <c r="B32" s="732">
        <v>40163</v>
      </c>
      <c r="C32" s="733">
        <v>12235000</v>
      </c>
      <c r="D32" s="734">
        <v>3</v>
      </c>
      <c r="E32" s="733">
        <v>11935000</v>
      </c>
      <c r="F32" s="733"/>
      <c r="G32" s="733"/>
      <c r="H32" s="733"/>
      <c r="I32" s="1775">
        <f>((E32+F32)-H32)+G32</f>
        <v>11935000</v>
      </c>
      <c r="J32" s="733">
        <f>I32-228755</f>
        <v>11706245</v>
      </c>
      <c r="K32" s="735"/>
    </row>
    <row r="33" spans="1:11" ht="12" customHeight="1" x14ac:dyDescent="0.2">
      <c r="A33" s="731" t="s">
        <v>2088</v>
      </c>
      <c r="B33" s="732">
        <v>40399</v>
      </c>
      <c r="C33" s="733">
        <v>10000000</v>
      </c>
      <c r="D33" s="734">
        <v>6</v>
      </c>
      <c r="E33" s="733">
        <v>10000000</v>
      </c>
      <c r="F33" s="733"/>
      <c r="G33" s="733"/>
      <c r="H33" s="733"/>
      <c r="I33" s="1775">
        <f t="shared" ref="I33:I48" si="1">((E33+F33)-H33)+G33</f>
        <v>10000000</v>
      </c>
      <c r="J33" s="733">
        <f>I33-193662</f>
        <v>9806338</v>
      </c>
      <c r="K33" s="735"/>
    </row>
    <row r="34" spans="1:11" ht="12" customHeight="1" x14ac:dyDescent="0.2">
      <c r="A34" s="731" t="s">
        <v>2089</v>
      </c>
      <c r="B34" s="732">
        <v>41261</v>
      </c>
      <c r="C34" s="733">
        <v>5410000</v>
      </c>
      <c r="D34" s="734">
        <v>3</v>
      </c>
      <c r="E34" s="733">
        <v>2555000</v>
      </c>
      <c r="F34" s="733"/>
      <c r="G34" s="733"/>
      <c r="H34" s="733">
        <v>1270000</v>
      </c>
      <c r="I34" s="1775">
        <f t="shared" si="1"/>
        <v>1285000</v>
      </c>
      <c r="J34" s="733">
        <f>I34-437480</f>
        <v>847520</v>
      </c>
      <c r="K34" s="736"/>
    </row>
    <row r="35" spans="1:11" ht="12" customHeight="1" x14ac:dyDescent="0.2">
      <c r="A35" s="731" t="s">
        <v>2090</v>
      </c>
      <c r="B35" s="732">
        <v>41436</v>
      </c>
      <c r="C35" s="737">
        <v>917000</v>
      </c>
      <c r="D35" s="734">
        <v>3</v>
      </c>
      <c r="E35" s="737">
        <v>9170000</v>
      </c>
      <c r="F35" s="737"/>
      <c r="G35" s="737"/>
      <c r="H35" s="737"/>
      <c r="I35" s="1775">
        <f t="shared" si="1"/>
        <v>9170000</v>
      </c>
      <c r="J35" s="737">
        <f>I35-185728</f>
        <v>8984272</v>
      </c>
      <c r="K35" s="736"/>
    </row>
    <row r="36" spans="1:11" ht="12" customHeight="1" x14ac:dyDescent="0.2">
      <c r="A36" s="731" t="s">
        <v>2091</v>
      </c>
      <c r="B36" s="732">
        <v>41436</v>
      </c>
      <c r="C36" s="733">
        <v>6865000</v>
      </c>
      <c r="D36" s="734">
        <v>3</v>
      </c>
      <c r="E36" s="733">
        <v>4870000</v>
      </c>
      <c r="F36" s="733"/>
      <c r="G36" s="733"/>
      <c r="H36" s="733">
        <v>685000</v>
      </c>
      <c r="I36" s="1775">
        <f t="shared" si="1"/>
        <v>4185000</v>
      </c>
      <c r="J36" s="733">
        <f>I36-390077</f>
        <v>3794923</v>
      </c>
      <c r="K36" s="738"/>
    </row>
    <row r="37" spans="1:11" ht="12" customHeight="1" x14ac:dyDescent="0.2">
      <c r="A37" s="731" t="s">
        <v>2092</v>
      </c>
      <c r="B37" s="732">
        <v>41725</v>
      </c>
      <c r="C37" s="467">
        <v>8845000</v>
      </c>
      <c r="D37" s="739">
        <v>3</v>
      </c>
      <c r="E37" s="467">
        <v>8845000</v>
      </c>
      <c r="F37" s="467"/>
      <c r="G37" s="467"/>
      <c r="H37" s="467"/>
      <c r="I37" s="1775">
        <f t="shared" si="1"/>
        <v>8845000</v>
      </c>
      <c r="J37" s="467">
        <f>I37-198318</f>
        <v>8646682</v>
      </c>
      <c r="K37" s="736"/>
    </row>
    <row r="38" spans="1:11" ht="12" customHeight="1" x14ac:dyDescent="0.2">
      <c r="A38" s="731" t="s">
        <v>2093</v>
      </c>
      <c r="B38" s="732">
        <v>41725</v>
      </c>
      <c r="C38" s="733">
        <v>1800000</v>
      </c>
      <c r="D38" s="740">
        <v>3</v>
      </c>
      <c r="E38" s="741">
        <v>1800000</v>
      </c>
      <c r="F38" s="741"/>
      <c r="G38" s="741"/>
      <c r="H38" s="741"/>
      <c r="I38" s="1775">
        <f t="shared" si="1"/>
        <v>1800000</v>
      </c>
      <c r="J38" s="742">
        <f>I38-48975</f>
        <v>1751025</v>
      </c>
      <c r="K38" s="743"/>
    </row>
    <row r="39" spans="1:11" ht="12" customHeight="1" x14ac:dyDescent="0.2">
      <c r="A39" s="731" t="s">
        <v>2205</v>
      </c>
      <c r="B39" s="732">
        <v>42923</v>
      </c>
      <c r="C39" s="733">
        <v>4850000</v>
      </c>
      <c r="D39" s="740">
        <v>3</v>
      </c>
      <c r="E39" s="741"/>
      <c r="F39" s="741"/>
      <c r="G39" s="741">
        <v>4850000</v>
      </c>
      <c r="H39" s="741">
        <v>1755000</v>
      </c>
      <c r="I39" s="1775">
        <f t="shared" si="1"/>
        <v>3095000</v>
      </c>
      <c r="J39" s="742">
        <f>I39-927434</f>
        <v>2167566</v>
      </c>
      <c r="K39" s="743"/>
    </row>
    <row r="40" spans="1:11" ht="12" customHeight="1" x14ac:dyDescent="0.2">
      <c r="A40" s="731" t="s">
        <v>2206</v>
      </c>
      <c r="B40" s="732">
        <v>43257</v>
      </c>
      <c r="C40" s="733">
        <v>7720000</v>
      </c>
      <c r="D40" s="740">
        <v>8</v>
      </c>
      <c r="E40" s="741"/>
      <c r="F40" s="741">
        <v>7720000</v>
      </c>
      <c r="G40" s="741"/>
      <c r="H40" s="741"/>
      <c r="I40" s="1775">
        <f t="shared" si="1"/>
        <v>7720000</v>
      </c>
      <c r="J40" s="742">
        <f>I40-1022805</f>
        <v>6697195</v>
      </c>
      <c r="K40" s="743"/>
    </row>
    <row r="41" spans="1:11" ht="12" customHeight="1" x14ac:dyDescent="0.2">
      <c r="A41" s="731" t="s">
        <v>2094</v>
      </c>
      <c r="B41" s="732">
        <v>42630</v>
      </c>
      <c r="C41" s="733">
        <v>275000</v>
      </c>
      <c r="D41" s="740">
        <v>7</v>
      </c>
      <c r="E41" s="741">
        <v>222028</v>
      </c>
      <c r="F41" s="741"/>
      <c r="G41" s="741">
        <v>-53967</v>
      </c>
      <c r="H41" s="741"/>
      <c r="I41" s="1775">
        <f t="shared" si="1"/>
        <v>168061</v>
      </c>
      <c r="J41" s="742">
        <f>I41</f>
        <v>168061</v>
      </c>
      <c r="K41" s="743"/>
    </row>
    <row r="42" spans="1:11" ht="12" customHeight="1" x14ac:dyDescent="0.2">
      <c r="A42" s="731" t="s">
        <v>2094</v>
      </c>
      <c r="B42" s="732">
        <v>42948</v>
      </c>
      <c r="C42" s="733">
        <v>649800</v>
      </c>
      <c r="D42" s="740">
        <v>7</v>
      </c>
      <c r="E42" s="741">
        <v>649800</v>
      </c>
      <c r="F42" s="741"/>
      <c r="G42" s="741">
        <v>-649800</v>
      </c>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69486800</v>
      </c>
      <c r="D49" s="744"/>
      <c r="E49" s="1775">
        <f t="shared" ref="E49:J49" si="2">SUM(E31:E48)</f>
        <v>54866828</v>
      </c>
      <c r="F49" s="1775">
        <f t="shared" si="2"/>
        <v>7720000</v>
      </c>
      <c r="G49" s="1775">
        <f t="shared" si="2"/>
        <v>-673767</v>
      </c>
      <c r="H49" s="1775">
        <f t="shared" si="2"/>
        <v>3710000</v>
      </c>
      <c r="I49" s="1775">
        <f t="shared" si="2"/>
        <v>58203061</v>
      </c>
      <c r="J49" s="1775">
        <f t="shared" si="2"/>
        <v>54569827</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967</v>
      </c>
      <c r="B52" s="2303" t="s">
        <v>604</v>
      </c>
      <c r="C52" s="2304"/>
      <c r="D52" s="2304"/>
      <c r="E52" s="748" t="s">
        <v>899</v>
      </c>
      <c r="F52" s="2305" t="s">
        <v>2094</v>
      </c>
      <c r="G52" s="2306"/>
      <c r="H52" s="735"/>
      <c r="I52" s="735"/>
      <c r="J52" s="745"/>
    </row>
    <row r="53" spans="1:11" ht="11.25" customHeight="1" x14ac:dyDescent="0.2">
      <c r="A53" s="749" t="s">
        <v>968</v>
      </c>
      <c r="B53" s="750" t="s">
        <v>1007</v>
      </c>
      <c r="C53" s="745"/>
      <c r="D53" s="736"/>
      <c r="E53" s="748" t="s">
        <v>517</v>
      </c>
      <c r="F53" s="2307" t="s">
        <v>2207</v>
      </c>
      <c r="G53" s="2308"/>
      <c r="H53" s="735"/>
      <c r="I53" s="735"/>
      <c r="J53" s="745"/>
    </row>
    <row r="54" spans="1:11" ht="11.25" customHeight="1" x14ac:dyDescent="0.2">
      <c r="A54" s="751" t="s">
        <v>969</v>
      </c>
      <c r="B54" s="746" t="s">
        <v>1008</v>
      </c>
      <c r="C54" s="745"/>
      <c r="D54" s="736"/>
      <c r="E54" s="748" t="s">
        <v>518</v>
      </c>
      <c r="F54" s="2307"/>
      <c r="G54" s="230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32" t="s">
        <v>910</v>
      </c>
      <c r="B1" s="2333"/>
      <c r="C1" s="2333"/>
      <c r="D1" s="2333"/>
      <c r="E1" s="2333"/>
      <c r="F1" s="2333"/>
      <c r="G1" s="2334"/>
      <c r="H1" s="1549"/>
      <c r="I1" s="759"/>
      <c r="J1" s="433"/>
    </row>
    <row r="2" spans="1:11" ht="26.25" x14ac:dyDescent="0.2">
      <c r="A2" s="2351" t="s">
        <v>1775</v>
      </c>
      <c r="B2" s="2352"/>
      <c r="C2" s="2352"/>
      <c r="D2" s="2352"/>
      <c r="E2" s="2353"/>
      <c r="F2" s="760" t="s">
        <v>959</v>
      </c>
      <c r="G2" s="761" t="s">
        <v>1772</v>
      </c>
      <c r="H2" s="761" t="s">
        <v>429</v>
      </c>
      <c r="I2" s="761" t="s">
        <v>1219</v>
      </c>
      <c r="J2" s="761" t="s">
        <v>1914</v>
      </c>
      <c r="K2" s="761" t="s">
        <v>140</v>
      </c>
    </row>
    <row r="3" spans="1:11" x14ac:dyDescent="0.2">
      <c r="A3" s="2354" t="s">
        <v>1697</v>
      </c>
      <c r="B3" s="2355"/>
      <c r="C3" s="2355"/>
      <c r="D3" s="2355"/>
      <c r="E3" s="2356"/>
      <c r="F3" s="762"/>
      <c r="G3" s="763"/>
      <c r="H3" s="763"/>
      <c r="I3" s="763"/>
      <c r="J3" s="764"/>
      <c r="K3" s="764"/>
    </row>
    <row r="4" spans="1:11" x14ac:dyDescent="0.2">
      <c r="A4" s="2357" t="s">
        <v>386</v>
      </c>
      <c r="B4" s="2358"/>
      <c r="C4" s="2358"/>
      <c r="D4" s="2358"/>
      <c r="E4" s="2304"/>
      <c r="F4" s="765"/>
      <c r="G4" s="766"/>
      <c r="H4" s="767"/>
      <c r="I4" s="766"/>
      <c r="J4" s="768"/>
      <c r="K4" s="768"/>
    </row>
    <row r="5" spans="1:11" x14ac:dyDescent="0.2">
      <c r="A5" s="2335" t="s">
        <v>1128</v>
      </c>
      <c r="B5" s="2336"/>
      <c r="C5" s="2336"/>
      <c r="D5" s="2336"/>
      <c r="E5" s="2337"/>
      <c r="F5" s="769" t="s">
        <v>902</v>
      </c>
      <c r="G5" s="770"/>
      <c r="H5" s="763">
        <v>367963</v>
      </c>
      <c r="I5" s="771"/>
      <c r="J5" s="772"/>
      <c r="K5" s="772"/>
    </row>
    <row r="6" spans="1:11" x14ac:dyDescent="0.2">
      <c r="A6" s="773" t="s">
        <v>743</v>
      </c>
      <c r="B6" s="774"/>
      <c r="C6" s="774"/>
      <c r="D6" s="774"/>
      <c r="E6" s="775"/>
      <c r="F6" s="776" t="s">
        <v>903</v>
      </c>
      <c r="G6" s="763"/>
      <c r="H6" s="763">
        <v>97</v>
      </c>
      <c r="I6" s="763"/>
      <c r="J6" s="764">
        <v>172</v>
      </c>
      <c r="K6" s="764"/>
    </row>
    <row r="7" spans="1:11" x14ac:dyDescent="0.2">
      <c r="A7" s="777" t="s">
        <v>264</v>
      </c>
      <c r="B7" s="778"/>
      <c r="C7" s="778"/>
      <c r="D7" s="778"/>
      <c r="E7" s="779"/>
      <c r="F7" s="769" t="s">
        <v>904</v>
      </c>
      <c r="G7" s="766"/>
      <c r="H7" s="766"/>
      <c r="I7" s="766"/>
      <c r="J7" s="780"/>
      <c r="K7" s="764">
        <v>15125</v>
      </c>
    </row>
    <row r="8" spans="1:11" x14ac:dyDescent="0.2">
      <c r="A8" s="777" t="s">
        <v>362</v>
      </c>
      <c r="B8" s="778"/>
      <c r="C8" s="778"/>
      <c r="D8" s="778"/>
      <c r="E8" s="779"/>
      <c r="F8" s="769" t="s">
        <v>905</v>
      </c>
      <c r="G8" s="781"/>
      <c r="H8" s="781"/>
      <c r="I8" s="781"/>
      <c r="J8" s="764">
        <v>1044714</v>
      </c>
      <c r="K8" s="768"/>
    </row>
    <row r="9" spans="1:11" x14ac:dyDescent="0.2">
      <c r="A9" s="777" t="s">
        <v>140</v>
      </c>
      <c r="B9" s="778"/>
      <c r="C9" s="778"/>
      <c r="D9" s="778"/>
      <c r="E9" s="779"/>
      <c r="F9" s="776" t="s">
        <v>907</v>
      </c>
      <c r="G9" s="781"/>
      <c r="H9" s="770"/>
      <c r="I9" s="770"/>
      <c r="J9" s="780"/>
      <c r="K9" s="764">
        <v>67091</v>
      </c>
    </row>
    <row r="10" spans="1:11" x14ac:dyDescent="0.2">
      <c r="A10" s="2335" t="s">
        <v>1915</v>
      </c>
      <c r="B10" s="2336"/>
      <c r="C10" s="2336"/>
      <c r="D10" s="2336"/>
      <c r="E10" s="2338"/>
      <c r="F10" s="782" t="s">
        <v>916</v>
      </c>
      <c r="G10" s="781"/>
      <c r="H10" s="783"/>
      <c r="I10" s="763"/>
      <c r="J10" s="764"/>
      <c r="K10" s="764"/>
    </row>
    <row r="11" spans="1:11" x14ac:dyDescent="0.2">
      <c r="A11" s="2335" t="s">
        <v>162</v>
      </c>
      <c r="B11" s="2336"/>
      <c r="C11" s="2336"/>
      <c r="D11" s="2336"/>
      <c r="E11" s="2337"/>
      <c r="F11" s="769" t="s">
        <v>906</v>
      </c>
      <c r="G11" s="770"/>
      <c r="H11" s="763"/>
      <c r="I11" s="763"/>
      <c r="J11" s="764"/>
      <c r="K11" s="772"/>
    </row>
    <row r="12" spans="1:11" ht="13.5" thickBot="1" x14ac:dyDescent="0.25">
      <c r="A12" s="2362" t="s">
        <v>960</v>
      </c>
      <c r="B12" s="2363"/>
      <c r="C12" s="2363"/>
      <c r="D12" s="2363"/>
      <c r="E12" s="2364"/>
      <c r="F12" s="1776"/>
      <c r="G12" s="1777">
        <f>SUM(G5:G11)</f>
        <v>0</v>
      </c>
      <c r="H12" s="1777">
        <f>SUM(H5:H11)</f>
        <v>368060</v>
      </c>
      <c r="I12" s="1777">
        <f>SUM(I5:I11)</f>
        <v>0</v>
      </c>
      <c r="J12" s="1777">
        <f>SUM(J5:J11)</f>
        <v>1044886</v>
      </c>
      <c r="K12" s="1777">
        <f>SUM(K5:K11)</f>
        <v>82216</v>
      </c>
    </row>
    <row r="13" spans="1:11" ht="13.5" thickTop="1" x14ac:dyDescent="0.2">
      <c r="A13" s="2359" t="s">
        <v>387</v>
      </c>
      <c r="B13" s="2360"/>
      <c r="C13" s="2360"/>
      <c r="D13" s="2360"/>
      <c r="E13" s="2361"/>
      <c r="F13" s="784"/>
      <c r="G13" s="785"/>
      <c r="H13" s="786"/>
      <c r="I13" s="787"/>
      <c r="J13" s="787"/>
      <c r="K13" s="787"/>
    </row>
    <row r="14" spans="1:11" x14ac:dyDescent="0.2">
      <c r="A14" s="2342" t="s">
        <v>475</v>
      </c>
      <c r="B14" s="2342"/>
      <c r="C14" s="2342"/>
      <c r="D14" s="2342"/>
      <c r="E14" s="2343"/>
      <c r="F14" s="788" t="s">
        <v>908</v>
      </c>
      <c r="G14" s="781"/>
      <c r="H14" s="763">
        <v>368060</v>
      </c>
      <c r="I14" s="770"/>
      <c r="J14" s="772"/>
      <c r="K14" s="764">
        <v>82216</v>
      </c>
    </row>
    <row r="15" spans="1:11" x14ac:dyDescent="0.2">
      <c r="A15" s="2336" t="s">
        <v>4</v>
      </c>
      <c r="B15" s="2336"/>
      <c r="C15" s="2336"/>
      <c r="D15" s="2336"/>
      <c r="E15" s="2337"/>
      <c r="F15" s="788" t="s">
        <v>909</v>
      </c>
      <c r="G15" s="770"/>
      <c r="H15" s="763"/>
      <c r="I15" s="763"/>
      <c r="J15" s="764">
        <v>110492</v>
      </c>
      <c r="K15" s="764"/>
    </row>
    <row r="16" spans="1:11" x14ac:dyDescent="0.2">
      <c r="A16" s="2336" t="s">
        <v>315</v>
      </c>
      <c r="B16" s="2336"/>
      <c r="C16" s="2336"/>
      <c r="D16" s="2336"/>
      <c r="E16" s="2337"/>
      <c r="F16" s="788" t="s">
        <v>979</v>
      </c>
      <c r="G16" s="771"/>
      <c r="H16" s="766"/>
      <c r="I16" s="766"/>
      <c r="J16" s="768"/>
      <c r="K16" s="768"/>
    </row>
    <row r="17" spans="1:11" x14ac:dyDescent="0.2">
      <c r="A17" s="2367" t="s">
        <v>991</v>
      </c>
      <c r="B17" s="2367"/>
      <c r="C17" s="2367"/>
      <c r="D17" s="2367"/>
      <c r="E17" s="2368"/>
      <c r="F17" s="789"/>
      <c r="G17" s="790"/>
      <c r="H17" s="791"/>
      <c r="I17" s="791"/>
      <c r="J17" s="792"/>
      <c r="K17" s="793"/>
    </row>
    <row r="18" spans="1:11" x14ac:dyDescent="0.2">
      <c r="A18" s="2346" t="s">
        <v>385</v>
      </c>
      <c r="B18" s="2347"/>
      <c r="C18" s="2347"/>
      <c r="D18" s="2347"/>
      <c r="E18" s="2348"/>
      <c r="F18" s="788" t="s">
        <v>988</v>
      </c>
      <c r="G18" s="781"/>
      <c r="H18" s="781"/>
      <c r="I18" s="781"/>
      <c r="J18" s="764"/>
      <c r="K18" s="794"/>
    </row>
    <row r="19" spans="1:11" ht="21.75" customHeight="1" x14ac:dyDescent="0.2">
      <c r="A19" s="2344" t="s">
        <v>1911</v>
      </c>
      <c r="B19" s="2344"/>
      <c r="C19" s="2344"/>
      <c r="D19" s="2344"/>
      <c r="E19" s="2345"/>
      <c r="F19" s="788" t="s">
        <v>989</v>
      </c>
      <c r="G19" s="781"/>
      <c r="H19" s="781"/>
      <c r="I19" s="781"/>
      <c r="J19" s="764"/>
      <c r="K19" s="794"/>
    </row>
    <row r="20" spans="1:11" x14ac:dyDescent="0.2">
      <c r="A20" s="2346" t="s">
        <v>1916</v>
      </c>
      <c r="B20" s="2347"/>
      <c r="C20" s="2347"/>
      <c r="D20" s="2347"/>
      <c r="E20" s="2348"/>
      <c r="F20" s="788" t="s">
        <v>990</v>
      </c>
      <c r="G20" s="781"/>
      <c r="H20" s="781"/>
      <c r="I20" s="781"/>
      <c r="J20" s="764"/>
      <c r="K20" s="794"/>
    </row>
    <row r="21" spans="1:11" ht="13.5" thickBot="1" x14ac:dyDescent="0.25">
      <c r="A21" s="2365" t="s">
        <v>658</v>
      </c>
      <c r="B21" s="2365"/>
      <c r="C21" s="2365"/>
      <c r="D21" s="2365"/>
      <c r="E21" s="2365"/>
      <c r="F21" s="1778"/>
      <c r="G21" s="791"/>
      <c r="H21" s="795"/>
      <c r="I21" s="795"/>
      <c r="J21" s="1779">
        <f>SUM(J18:J20)</f>
        <v>0</v>
      </c>
      <c r="K21" s="792"/>
    </row>
    <row r="22" spans="1:11" ht="13.5" thickTop="1" x14ac:dyDescent="0.2">
      <c r="A22" s="2336" t="s">
        <v>1917</v>
      </c>
      <c r="B22" s="2336"/>
      <c r="C22" s="2336"/>
      <c r="D22" s="2336"/>
      <c r="E22" s="2337"/>
      <c r="F22" s="788" t="s">
        <v>916</v>
      </c>
      <c r="G22" s="781"/>
      <c r="H22" s="763"/>
      <c r="I22" s="763"/>
      <c r="J22" s="796"/>
      <c r="K22" s="764"/>
    </row>
    <row r="23" spans="1:11" ht="13.5" thickBot="1" x14ac:dyDescent="0.25">
      <c r="A23" s="2366" t="s">
        <v>961</v>
      </c>
      <c r="B23" s="2365"/>
      <c r="C23" s="2365"/>
      <c r="D23" s="2365"/>
      <c r="E23" s="2365"/>
      <c r="F23" s="1780"/>
      <c r="G23" s="1777">
        <f>SUM(G14:G16,G21,G22)</f>
        <v>0</v>
      </c>
      <c r="H23" s="1777">
        <f>SUM(H14:H16,H21,H22)</f>
        <v>368060</v>
      </c>
      <c r="I23" s="1777">
        <f>SUM(I14:I16,I21,I22)</f>
        <v>0</v>
      </c>
      <c r="J23" s="1777">
        <f>SUM(J14:J16,J21,J22)</f>
        <v>110492</v>
      </c>
      <c r="K23" s="1777">
        <f>SUM(K14:K16,K21,K22)</f>
        <v>82216</v>
      </c>
    </row>
    <row r="24" spans="1:11" ht="14.25" thickTop="1" thickBot="1" x14ac:dyDescent="0.25">
      <c r="A24" s="2366" t="s">
        <v>2021</v>
      </c>
      <c r="B24" s="2365"/>
      <c r="C24" s="2365"/>
      <c r="D24" s="2365"/>
      <c r="E24" s="2365"/>
      <c r="F24" s="1781"/>
      <c r="G24" s="1782">
        <f>SUM(G3,G12)-G23</f>
        <v>0</v>
      </c>
      <c r="H24" s="1782">
        <f>SUM(H3,H12)-H23</f>
        <v>0</v>
      </c>
      <c r="I24" s="1782">
        <f>SUM(I3,I12)-I23</f>
        <v>0</v>
      </c>
      <c r="J24" s="1782">
        <f>SUM(J3,J12)-J23</f>
        <v>934394</v>
      </c>
      <c r="K24" s="1782">
        <f>SUM(K3,K12)-K23</f>
        <v>0</v>
      </c>
    </row>
    <row r="25" spans="1:11" ht="13.5" thickTop="1" x14ac:dyDescent="0.2">
      <c r="A25" s="797" t="s">
        <v>439</v>
      </c>
      <c r="B25" s="798"/>
      <c r="C25" s="798"/>
      <c r="D25" s="798"/>
      <c r="E25" s="799"/>
      <c r="F25" s="800">
        <v>714</v>
      </c>
      <c r="G25" s="801"/>
      <c r="H25" s="801"/>
      <c r="I25" s="801"/>
      <c r="J25" s="796">
        <v>934394</v>
      </c>
      <c r="K25" s="796"/>
    </row>
    <row r="26" spans="1:11" ht="13.5" thickBot="1" x14ac:dyDescent="0.25">
      <c r="A26" s="797" t="s">
        <v>359</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2031</v>
      </c>
      <c r="B28" s="1903"/>
      <c r="C28" s="1903"/>
      <c r="D28" s="1903"/>
      <c r="E28" s="1904"/>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339"/>
      <c r="I31" s="2340"/>
      <c r="J31" s="2340"/>
      <c r="K31" s="2340"/>
    </row>
    <row r="32" spans="1:11" x14ac:dyDescent="0.2">
      <c r="A32" s="808"/>
      <c r="B32" s="237"/>
      <c r="C32" s="237"/>
      <c r="D32" s="237"/>
      <c r="E32" s="804"/>
      <c r="F32" s="810" t="s">
        <v>560</v>
      </c>
      <c r="G32" s="763"/>
      <c r="H32" s="2341"/>
      <c r="I32" s="2340"/>
      <c r="J32" s="2340"/>
      <c r="K32" s="2340"/>
    </row>
    <row r="33" spans="1:11" ht="1.5" customHeight="1" x14ac:dyDescent="0.2">
      <c r="A33" s="811" t="s">
        <v>1230</v>
      </c>
      <c r="B33" s="364"/>
      <c r="C33" s="364"/>
      <c r="D33" s="364"/>
      <c r="E33" s="364"/>
      <c r="F33" s="364"/>
      <c r="G33" s="812"/>
      <c r="H33" s="2341"/>
      <c r="I33" s="2340"/>
      <c r="J33" s="2340"/>
      <c r="K33" s="2340"/>
    </row>
    <row r="34" spans="1:11" x14ac:dyDescent="0.2">
      <c r="A34" s="813" t="s">
        <v>1918</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336" t="s">
        <v>561</v>
      </c>
      <c r="B41" s="2349"/>
      <c r="C41" s="2349"/>
      <c r="D41" s="2349"/>
      <c r="E41" s="2349"/>
      <c r="F41" s="2350"/>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50" t="s">
        <v>1912</v>
      </c>
      <c r="B46" s="408" t="s">
        <v>1773</v>
      </c>
    </row>
    <row r="47" spans="1:11" s="822" customFormat="1" ht="12.75" customHeight="1" x14ac:dyDescent="0.2">
      <c r="A47" s="820"/>
      <c r="B47" s="821" t="s">
        <v>1774</v>
      </c>
      <c r="E47" s="821"/>
      <c r="K47" s="823"/>
    </row>
    <row r="48" spans="1:11" ht="12.75" customHeight="1" x14ac:dyDescent="0.2">
      <c r="A48" s="1551" t="s">
        <v>1913</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71" t="s">
        <v>2030</v>
      </c>
      <c r="B1" s="2372"/>
      <c r="C1" s="2373"/>
      <c r="D1" s="825"/>
      <c r="E1" s="826"/>
      <c r="F1" s="826"/>
      <c r="G1" s="827"/>
      <c r="H1" s="828"/>
      <c r="I1" s="829"/>
      <c r="J1" s="2369"/>
      <c r="K1" s="2370"/>
      <c r="L1" s="2370"/>
    </row>
    <row r="2" spans="1:14" ht="69.75" customHeight="1" x14ac:dyDescent="0.2">
      <c r="A2" s="830" t="s">
        <v>1776</v>
      </c>
      <c r="B2" s="831" t="s">
        <v>395</v>
      </c>
      <c r="C2" s="832" t="s">
        <v>2025</v>
      </c>
      <c r="D2" s="832" t="s">
        <v>2022</v>
      </c>
      <c r="E2" s="832" t="s">
        <v>2023</v>
      </c>
      <c r="F2" s="832" t="s">
        <v>2024</v>
      </c>
      <c r="G2" s="832" t="s">
        <v>625</v>
      </c>
      <c r="H2" s="832" t="s">
        <v>2026</v>
      </c>
      <c r="I2" s="832" t="s">
        <v>2027</v>
      </c>
      <c r="J2" s="832" t="s">
        <v>2042</v>
      </c>
      <c r="K2" s="832" t="s">
        <v>2028</v>
      </c>
      <c r="L2" s="832" t="s">
        <v>2029</v>
      </c>
      <c r="M2" s="833"/>
      <c r="N2" s="833"/>
    </row>
    <row r="3" spans="1:14" ht="13.5" thickBot="1" x14ac:dyDescent="0.25">
      <c r="A3" s="1648" t="s">
        <v>947</v>
      </c>
      <c r="B3" s="1649">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948</v>
      </c>
      <c r="B5" s="839">
        <v>221</v>
      </c>
      <c r="C5" s="840">
        <v>2812408</v>
      </c>
      <c r="D5" s="840">
        <v>0</v>
      </c>
      <c r="E5" s="840">
        <v>0</v>
      </c>
      <c r="F5" s="1779">
        <f>(C5+D5)-E5</f>
        <v>2812408</v>
      </c>
      <c r="G5" s="836"/>
      <c r="H5" s="841"/>
      <c r="I5" s="841"/>
      <c r="J5" s="841"/>
      <c r="K5" s="792"/>
      <c r="L5" s="1788">
        <f>F5-K5</f>
        <v>2812408</v>
      </c>
    </row>
    <row r="6" spans="1:14" ht="14.25" thickTop="1" thickBot="1" x14ac:dyDescent="0.25">
      <c r="A6" s="777" t="s">
        <v>1178</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1179</v>
      </c>
      <c r="B8" s="839">
        <v>231</v>
      </c>
      <c r="C8" s="843">
        <v>105073273</v>
      </c>
      <c r="D8" s="843">
        <v>452164</v>
      </c>
      <c r="E8" s="843">
        <v>0</v>
      </c>
      <c r="F8" s="1779">
        <f>(C8+D8)-E8</f>
        <v>105525437</v>
      </c>
      <c r="G8" s="842">
        <v>50</v>
      </c>
      <c r="H8" s="764">
        <v>25495490</v>
      </c>
      <c r="I8" s="764">
        <v>2082545</v>
      </c>
      <c r="J8" s="764">
        <v>0</v>
      </c>
      <c r="K8" s="1788">
        <f>(H8+I8)-J8</f>
        <v>27578035</v>
      </c>
      <c r="L8" s="1788">
        <f>F8-K8</f>
        <v>77947402</v>
      </c>
    </row>
    <row r="9" spans="1:14" ht="14.25" thickTop="1" thickBot="1" x14ac:dyDescent="0.25">
      <c r="A9" s="777" t="s">
        <v>1180</v>
      </c>
      <c r="B9" s="839">
        <v>232</v>
      </c>
      <c r="C9" s="764">
        <v>572956</v>
      </c>
      <c r="D9" s="764">
        <v>57868</v>
      </c>
      <c r="E9" s="764">
        <v>0</v>
      </c>
      <c r="F9" s="1779">
        <f>(C9+D9)-E9</f>
        <v>630824</v>
      </c>
      <c r="G9" s="842">
        <v>20</v>
      </c>
      <c r="H9" s="764">
        <v>101990</v>
      </c>
      <c r="I9" s="764">
        <v>31541</v>
      </c>
      <c r="J9" s="764">
        <v>0</v>
      </c>
      <c r="K9" s="1788">
        <f>(H9+I9)-J9</f>
        <v>133531</v>
      </c>
      <c r="L9" s="1788">
        <f>F9-K9</f>
        <v>497293</v>
      </c>
    </row>
    <row r="10" spans="1:14" ht="24" thickTop="1" thickBot="1" x14ac:dyDescent="0.25">
      <c r="A10" s="844" t="s">
        <v>1181</v>
      </c>
      <c r="B10" s="839">
        <v>240</v>
      </c>
      <c r="C10" s="845">
        <v>10900004</v>
      </c>
      <c r="D10" s="845">
        <v>242695</v>
      </c>
      <c r="E10" s="845">
        <v>0</v>
      </c>
      <c r="F10" s="1783">
        <f>(C10+D10)-E10</f>
        <v>11142699</v>
      </c>
      <c r="G10" s="842">
        <v>20</v>
      </c>
      <c r="H10" s="846">
        <v>4149577</v>
      </c>
      <c r="I10" s="846">
        <v>553753</v>
      </c>
      <c r="J10" s="846">
        <v>0</v>
      </c>
      <c r="K10" s="1788">
        <f>(H10+I10)-J10</f>
        <v>4703330</v>
      </c>
      <c r="L10" s="1788">
        <f>F10-K10</f>
        <v>6439369</v>
      </c>
    </row>
    <row r="11" spans="1:14" ht="13.5" thickTop="1" x14ac:dyDescent="0.2">
      <c r="A11" s="1651" t="s">
        <v>1197</v>
      </c>
      <c r="B11" s="1649">
        <v>250</v>
      </c>
      <c r="C11" s="780"/>
      <c r="D11" s="780"/>
      <c r="E11" s="780"/>
      <c r="F11" s="772"/>
      <c r="G11" s="842"/>
      <c r="H11" s="780"/>
      <c r="I11" s="780"/>
      <c r="J11" s="780"/>
      <c r="K11" s="772"/>
      <c r="L11" s="772"/>
    </row>
    <row r="12" spans="1:14" ht="13.5" thickBot="1" x14ac:dyDescent="0.25">
      <c r="A12" s="847" t="s">
        <v>1182</v>
      </c>
      <c r="B12" s="839">
        <v>251</v>
      </c>
      <c r="C12" s="843">
        <v>8188763</v>
      </c>
      <c r="D12" s="843">
        <v>893511</v>
      </c>
      <c r="E12" s="843">
        <v>442168</v>
      </c>
      <c r="F12" s="1779">
        <f>(C12+D12)-E12</f>
        <v>8640106</v>
      </c>
      <c r="G12" s="842">
        <v>10</v>
      </c>
      <c r="H12" s="764">
        <v>4760783</v>
      </c>
      <c r="I12" s="764">
        <v>820098</v>
      </c>
      <c r="J12" s="764">
        <v>442168</v>
      </c>
      <c r="K12" s="1788">
        <f>(H12+I12)-J12</f>
        <v>5138713</v>
      </c>
      <c r="L12" s="1788">
        <f>F12-K12</f>
        <v>3501393</v>
      </c>
    </row>
    <row r="13" spans="1:14" ht="14.25" thickTop="1" thickBot="1" x14ac:dyDescent="0.25">
      <c r="A13" s="847" t="s">
        <v>1183</v>
      </c>
      <c r="B13" s="839">
        <v>252</v>
      </c>
      <c r="C13" s="843">
        <v>3884258</v>
      </c>
      <c r="D13" s="843">
        <v>180322</v>
      </c>
      <c r="E13" s="843">
        <v>0</v>
      </c>
      <c r="F13" s="1779">
        <f>(C13+D13)-E13</f>
        <v>4064580</v>
      </c>
      <c r="G13" s="842">
        <v>5</v>
      </c>
      <c r="H13" s="764">
        <v>3382674</v>
      </c>
      <c r="I13" s="764">
        <v>200476</v>
      </c>
      <c r="J13" s="764">
        <v>0</v>
      </c>
      <c r="K13" s="1788">
        <f>(H13+I13)-J13</f>
        <v>3583150</v>
      </c>
      <c r="L13" s="1788">
        <f>F13-K13</f>
        <v>481430</v>
      </c>
    </row>
    <row r="14" spans="1:14" ht="14.25" thickTop="1" thickBot="1" x14ac:dyDescent="0.25">
      <c r="A14" s="847" t="s">
        <v>1184</v>
      </c>
      <c r="B14" s="839">
        <v>253</v>
      </c>
      <c r="C14" s="764">
        <v>78152</v>
      </c>
      <c r="D14" s="764">
        <v>0</v>
      </c>
      <c r="E14" s="764">
        <v>0</v>
      </c>
      <c r="F14" s="1779">
        <f>(C14+D14)-E14</f>
        <v>78152</v>
      </c>
      <c r="G14" s="842">
        <v>3</v>
      </c>
      <c r="H14" s="764">
        <v>70853</v>
      </c>
      <c r="I14" s="764">
        <v>3649</v>
      </c>
      <c r="J14" s="764">
        <v>0</v>
      </c>
      <c r="K14" s="1788">
        <f>(H14+I14)-J14</f>
        <v>74502</v>
      </c>
      <c r="L14" s="1788">
        <f>F14-K14</f>
        <v>3650</v>
      </c>
    </row>
    <row r="15" spans="1:14" ht="15" customHeight="1" thickTop="1" thickBot="1" x14ac:dyDescent="0.25">
      <c r="A15" s="1650" t="s">
        <v>548</v>
      </c>
      <c r="B15" s="1649">
        <v>260</v>
      </c>
      <c r="C15" s="843">
        <v>0</v>
      </c>
      <c r="D15" s="843">
        <v>481056</v>
      </c>
      <c r="E15" s="843">
        <v>0</v>
      </c>
      <c r="F15" s="1779">
        <f>(C15+D15)-E15</f>
        <v>481056</v>
      </c>
      <c r="G15" s="848" t="s">
        <v>916</v>
      </c>
      <c r="H15" s="780"/>
      <c r="I15" s="780"/>
      <c r="J15" s="780"/>
      <c r="K15" s="780"/>
      <c r="L15" s="1788">
        <f>F15-K15</f>
        <v>481056</v>
      </c>
    </row>
    <row r="16" spans="1:14" ht="15" customHeight="1" thickTop="1" thickBot="1" x14ac:dyDescent="0.25">
      <c r="A16" s="1784" t="s">
        <v>663</v>
      </c>
      <c r="B16" s="1785">
        <v>200</v>
      </c>
      <c r="C16" s="1779">
        <f>SUM(C3,C5:C6,C8:C10,C12:C15)</f>
        <v>131509814</v>
      </c>
      <c r="D16" s="1779">
        <f>SUM(D3,D5:D6,D8:D10,D12:D15)</f>
        <v>2307616</v>
      </c>
      <c r="E16" s="1779">
        <f>SUM(E3,E5:E6,E8:E10,E12:E15)</f>
        <v>442168</v>
      </c>
      <c r="F16" s="1779">
        <f>SUM(F3,F5:F6,F8:F10,F12:F15)</f>
        <v>133375262</v>
      </c>
      <c r="G16" s="842"/>
      <c r="H16" s="1779">
        <f>SUM(H3,H6,H8:H10,H12:H14,)</f>
        <v>37961367</v>
      </c>
      <c r="I16" s="1779">
        <f>SUM(I3,I6,I8:I10,I12:I14,)</f>
        <v>3692062</v>
      </c>
      <c r="J16" s="1779">
        <f>SUM(J3,J6,J8:J10,J12:J14,)</f>
        <v>442168</v>
      </c>
      <c r="K16" s="1779">
        <f>(H16+I16)-J16</f>
        <v>41211261</v>
      </c>
      <c r="L16" s="1779">
        <f>F16-K16</f>
        <v>92164001</v>
      </c>
    </row>
    <row r="17" spans="1:12" ht="15" customHeight="1" thickTop="1" thickBot="1" x14ac:dyDescent="0.25">
      <c r="A17" s="1652" t="s">
        <v>308</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705</v>
      </c>
      <c r="B18" s="1787"/>
      <c r="C18" s="770"/>
      <c r="D18" s="770"/>
      <c r="E18" s="770"/>
      <c r="F18" s="849"/>
      <c r="G18" s="850"/>
      <c r="H18" s="772"/>
      <c r="I18" s="1779">
        <f>SUM(I16,I17)</f>
        <v>3692062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D23" sqref="AD23"/>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77" t="s">
        <v>1698</v>
      </c>
      <c r="B1" s="2378"/>
      <c r="C1" s="2378"/>
      <c r="D1" s="2378"/>
      <c r="E1" s="2378"/>
      <c r="F1" s="2379"/>
      <c r="G1" s="854"/>
    </row>
    <row r="2" spans="1:7" ht="15" customHeight="1" thickBot="1" x14ac:dyDescent="0.25">
      <c r="A2" s="2380" t="s">
        <v>497</v>
      </c>
      <c r="B2" s="2381"/>
      <c r="C2" s="2381"/>
      <c r="D2" s="2381"/>
      <c r="E2" s="2381"/>
      <c r="F2" s="2382"/>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383"/>
      <c r="B5" s="2384"/>
      <c r="C5" s="2384"/>
      <c r="D5" s="2384"/>
      <c r="E5" s="2384"/>
      <c r="F5" s="2384"/>
    </row>
    <row r="6" spans="1:7" ht="13.5" customHeight="1" thickBot="1" x14ac:dyDescent="0.25">
      <c r="A6" s="2374" t="s">
        <v>1165</v>
      </c>
      <c r="B6" s="2375"/>
      <c r="C6" s="2375"/>
      <c r="D6" s="2375"/>
      <c r="E6" s="2375"/>
      <c r="F6" s="2376"/>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31">
        <f>'Expenditures 15-22'!K114</f>
        <v>30767922</v>
      </c>
      <c r="G8" s="864"/>
    </row>
    <row r="9" spans="1:7" x14ac:dyDescent="0.2">
      <c r="A9" s="868" t="s">
        <v>479</v>
      </c>
      <c r="B9" s="869" t="s">
        <v>1984</v>
      </c>
      <c r="C9" s="870"/>
      <c r="D9" s="868" t="s">
        <v>521</v>
      </c>
      <c r="E9" s="867"/>
      <c r="F9" s="1932">
        <f>'Expenditures 15-22'!K151</f>
        <v>3823963</v>
      </c>
      <c r="G9" s="871"/>
    </row>
    <row r="10" spans="1:7" x14ac:dyDescent="0.2">
      <c r="A10" s="868" t="s">
        <v>519</v>
      </c>
      <c r="B10" s="869" t="s">
        <v>1985</v>
      </c>
      <c r="C10" s="870"/>
      <c r="D10" s="868" t="s">
        <v>521</v>
      </c>
      <c r="E10" s="867"/>
      <c r="F10" s="1932">
        <f>'Expenditures 15-22'!K174</f>
        <v>5981959</v>
      </c>
      <c r="G10" s="871"/>
    </row>
    <row r="11" spans="1:7" x14ac:dyDescent="0.2">
      <c r="A11" s="868" t="s">
        <v>480</v>
      </c>
      <c r="B11" s="869" t="s">
        <v>1986</v>
      </c>
      <c r="C11" s="870"/>
      <c r="D11" s="868" t="s">
        <v>521</v>
      </c>
      <c r="E11" s="867"/>
      <c r="F11" s="1932">
        <f>'Expenditures 15-22'!K210</f>
        <v>2049656</v>
      </c>
      <c r="G11" s="871"/>
    </row>
    <row r="12" spans="1:7" x14ac:dyDescent="0.2">
      <c r="A12" s="868" t="s">
        <v>481</v>
      </c>
      <c r="B12" s="869" t="s">
        <v>1987</v>
      </c>
      <c r="C12" s="870"/>
      <c r="D12" s="868" t="s">
        <v>521</v>
      </c>
      <c r="E12" s="867"/>
      <c r="F12" s="1932">
        <f>'Expenditures 15-22'!K295</f>
        <v>1298934</v>
      </c>
      <c r="G12" s="871"/>
    </row>
    <row r="13" spans="1:7" x14ac:dyDescent="0.2">
      <c r="A13" s="868" t="s">
        <v>108</v>
      </c>
      <c r="B13" s="869" t="s">
        <v>1988</v>
      </c>
      <c r="C13" s="870"/>
      <c r="D13" s="868" t="s">
        <v>521</v>
      </c>
      <c r="E13" s="867"/>
      <c r="F13" s="1932">
        <f>'Expenditures 15-22'!K342</f>
        <v>834811</v>
      </c>
      <c r="G13" s="872"/>
    </row>
    <row r="14" spans="1:7" ht="12" customHeight="1" thickBot="1" x14ac:dyDescent="0.25">
      <c r="A14" s="1789"/>
      <c r="B14" s="1790"/>
      <c r="C14" s="1791"/>
      <c r="D14" s="1792" t="s">
        <v>521</v>
      </c>
      <c r="E14" s="1793" t="s">
        <v>1014</v>
      </c>
      <c r="F14" s="1794">
        <f>SUM(F8:F13)</f>
        <v>44757245</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3">
        <f>'Revenues 9-14'!F43</f>
        <v>0</v>
      </c>
      <c r="G18" s="864"/>
    </row>
    <row r="19" spans="1:7" x14ac:dyDescent="0.2">
      <c r="A19" s="868" t="s">
        <v>480</v>
      </c>
      <c r="B19" s="869" t="s">
        <v>1068</v>
      </c>
      <c r="C19" s="876">
        <f>'Revenues 9-14'!B47</f>
        <v>1421</v>
      </c>
      <c r="D19" s="877" t="str">
        <f>'Revenues 9-14'!A47</f>
        <v>Summer Sch - Transp. Fees from Pupils or Parents (In State)</v>
      </c>
      <c r="E19" s="878"/>
      <c r="F19" s="1934">
        <f>'Revenues 9-14'!F47</f>
        <v>0</v>
      </c>
      <c r="G19" s="864"/>
    </row>
    <row r="20" spans="1:7" x14ac:dyDescent="0.2">
      <c r="A20" s="868" t="s">
        <v>480</v>
      </c>
      <c r="B20" s="869" t="s">
        <v>1069</v>
      </c>
      <c r="C20" s="874">
        <f>'Revenues 9-14'!B48</f>
        <v>1422</v>
      </c>
      <c r="D20" s="875" t="str">
        <f>'Revenues 9-14'!A48</f>
        <v>Summer Sch - Transp. Fees from Other Districts (In State)</v>
      </c>
      <c r="E20" s="867"/>
      <c r="F20" s="1935">
        <f>'Revenues 9-14'!F48</f>
        <v>0</v>
      </c>
      <c r="G20" s="864"/>
    </row>
    <row r="21" spans="1:7" x14ac:dyDescent="0.2">
      <c r="A21" s="868" t="s">
        <v>480</v>
      </c>
      <c r="B21" s="869" t="s">
        <v>1070</v>
      </c>
      <c r="C21" s="876">
        <f>'Revenues 9-14'!B49</f>
        <v>1423</v>
      </c>
      <c r="D21" s="875" t="str">
        <f>'Revenues 9-14'!A49</f>
        <v>Summer Sch - Transp. Fees from Other Sources (In State)</v>
      </c>
      <c r="E21" s="867"/>
      <c r="F21" s="1936">
        <f>'Revenues 9-14'!F49</f>
        <v>0</v>
      </c>
      <c r="G21" s="864"/>
    </row>
    <row r="22" spans="1:7" x14ac:dyDescent="0.2">
      <c r="A22" s="868" t="s">
        <v>480</v>
      </c>
      <c r="B22" s="869" t="s">
        <v>1071</v>
      </c>
      <c r="C22" s="876">
        <f>'Revenues 9-14'!B50</f>
        <v>1424</v>
      </c>
      <c r="D22" s="875" t="str">
        <f>'Revenues 9-14'!A50</f>
        <v>Summer Sch - Transp. Fees from Other Sources (Out of State)</v>
      </c>
      <c r="E22" s="867"/>
      <c r="F22" s="1936">
        <f>'Revenues 9-14'!F50</f>
        <v>0</v>
      </c>
      <c r="G22" s="864"/>
    </row>
    <row r="23" spans="1:7" x14ac:dyDescent="0.2">
      <c r="A23" s="868" t="s">
        <v>480</v>
      </c>
      <c r="B23" s="869" t="s">
        <v>1072</v>
      </c>
      <c r="C23" s="874">
        <f>'Revenues 9-14'!B52</f>
        <v>1432</v>
      </c>
      <c r="D23" s="875" t="str">
        <f>'Revenues 9-14'!A52</f>
        <v>CTE - Transp Fees from Other Districts (In State)</v>
      </c>
      <c r="E23" s="867"/>
      <c r="F23" s="1936">
        <f>'Revenues 9-14'!F52</f>
        <v>0</v>
      </c>
      <c r="G23" s="864"/>
    </row>
    <row r="24" spans="1:7" x14ac:dyDescent="0.2">
      <c r="A24" s="868" t="s">
        <v>480</v>
      </c>
      <c r="B24" s="869" t="s">
        <v>1073</v>
      </c>
      <c r="C24" s="874">
        <f>'Revenues 9-14'!B56</f>
        <v>1442</v>
      </c>
      <c r="D24" s="875" t="str">
        <f>'Revenues 9-14'!A56</f>
        <v>Special Ed - Transp Fees from Other Districts (In State)</v>
      </c>
      <c r="E24" s="867"/>
      <c r="F24" s="1936">
        <f>'Revenues 9-14'!F56</f>
        <v>0</v>
      </c>
      <c r="G24" s="864"/>
    </row>
    <row r="25" spans="1:7" x14ac:dyDescent="0.2">
      <c r="A25" s="868" t="s">
        <v>480</v>
      </c>
      <c r="B25" s="869" t="s">
        <v>1074</v>
      </c>
      <c r="C25" s="874">
        <f>'Revenues 9-14'!B59</f>
        <v>1451</v>
      </c>
      <c r="D25" s="875" t="str">
        <f>'Revenues 9-14'!A59</f>
        <v>Adult - Transp Fees from Pupils or Parents (In State)</v>
      </c>
      <c r="E25" s="867"/>
      <c r="F25" s="1936">
        <f>'Revenues 9-14'!F59</f>
        <v>0</v>
      </c>
      <c r="G25" s="864"/>
    </row>
    <row r="26" spans="1:7" x14ac:dyDescent="0.2">
      <c r="A26" s="868" t="s">
        <v>480</v>
      </c>
      <c r="B26" s="869" t="s">
        <v>1075</v>
      </c>
      <c r="C26" s="874">
        <f>'Revenues 9-14'!B60</f>
        <v>1452</v>
      </c>
      <c r="D26" s="875" t="str">
        <f>'Revenues 9-14'!A60</f>
        <v>Adult - Transp Fees from Other Districts (In State)</v>
      </c>
      <c r="E26" s="867"/>
      <c r="F26" s="1936">
        <f>'Revenues 9-14'!F60</f>
        <v>0</v>
      </c>
      <c r="G26" s="864"/>
    </row>
    <row r="27" spans="1:7" x14ac:dyDescent="0.2">
      <c r="A27" s="868" t="s">
        <v>480</v>
      </c>
      <c r="B27" s="869" t="s">
        <v>1076</v>
      </c>
      <c r="C27" s="874">
        <f>'Revenues 9-14'!B61</f>
        <v>1453</v>
      </c>
      <c r="D27" s="875" t="str">
        <f>'Revenues 9-14'!A61</f>
        <v>Adult - Transp Fees from Other Sources (In State)</v>
      </c>
      <c r="E27" s="867"/>
      <c r="F27" s="1936">
        <f>'Revenues 9-14'!F61</f>
        <v>0</v>
      </c>
      <c r="G27" s="864"/>
    </row>
    <row r="28" spans="1:7" x14ac:dyDescent="0.2">
      <c r="A28" s="868" t="s">
        <v>480</v>
      </c>
      <c r="B28" s="869" t="s">
        <v>1077</v>
      </c>
      <c r="C28" s="874">
        <f>'Revenues 9-14'!B62</f>
        <v>1454</v>
      </c>
      <c r="D28" s="875" t="str">
        <f>'Revenues 9-14'!A62</f>
        <v>Adult - Transp Fees from Other Sources (Out of State)</v>
      </c>
      <c r="E28" s="867"/>
      <c r="F28" s="1936">
        <f>'Revenues 9-14'!F62</f>
        <v>0</v>
      </c>
      <c r="G28" s="864"/>
    </row>
    <row r="29" spans="1:7" x14ac:dyDescent="0.2">
      <c r="A29" s="868" t="s">
        <v>1158</v>
      </c>
      <c r="B29" s="869" t="s">
        <v>1682</v>
      </c>
      <c r="C29" s="879">
        <f>'Revenues 9-14'!B148</f>
        <v>3410</v>
      </c>
      <c r="D29" s="880" t="str">
        <f>'Revenues 9-14'!A148</f>
        <v>Adult Ed (from ICCB)</v>
      </c>
      <c r="E29" s="867"/>
      <c r="F29" s="1936">
        <f>SUM('Revenues 9-14'!D148,F149)</f>
        <v>0</v>
      </c>
      <c r="G29" s="864"/>
    </row>
    <row r="30" spans="1:7" x14ac:dyDescent="0.2">
      <c r="A30" s="868" t="s">
        <v>1158</v>
      </c>
      <c r="B30" s="869" t="s">
        <v>860</v>
      </c>
      <c r="C30" s="879">
        <f>'Revenues 9-14'!B149</f>
        <v>3499</v>
      </c>
      <c r="D30" s="880" t="str">
        <f>'Revenues 9-14'!A149</f>
        <v>Adult Ed - Other (Describe &amp; Itemize)</v>
      </c>
      <c r="E30" s="867"/>
      <c r="F30" s="1937">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6">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6">
        <f>SUM('Revenues 9-14'!D219,'Revenues 9-14'!F219)</f>
        <v>0</v>
      </c>
      <c r="G32" s="864"/>
    </row>
    <row r="33" spans="1:7" x14ac:dyDescent="0.2">
      <c r="A33" s="868" t="s">
        <v>479</v>
      </c>
      <c r="B33" s="869" t="s">
        <v>800</v>
      </c>
      <c r="C33" s="874">
        <f>'Revenues 9-14'!B229</f>
        <v>4810</v>
      </c>
      <c r="D33" s="882" t="str">
        <f>'Revenues 9-14'!A229</f>
        <v>Federal - Adult Education</v>
      </c>
      <c r="E33" s="867"/>
      <c r="F33" s="1936">
        <f>'Revenues 9-14'!D229</f>
        <v>0</v>
      </c>
      <c r="G33" s="864"/>
    </row>
    <row r="34" spans="1:7" x14ac:dyDescent="0.2">
      <c r="A34" s="868" t="s">
        <v>478</v>
      </c>
      <c r="B34" s="868" t="s">
        <v>1544</v>
      </c>
      <c r="C34" s="885" t="str">
        <f>'Expenditures 15-22'!B7</f>
        <v>1125</v>
      </c>
      <c r="D34" s="886" t="str">
        <f>'Expenditures 15-22'!A7</f>
        <v>Pre-K Programs</v>
      </c>
      <c r="E34" s="867"/>
      <c r="F34" s="1936">
        <f>'Expenditures 15-22'!K7-SUM('Expenditures 15-22'!G7,'Expenditures 15-22'!I7)</f>
        <v>96939</v>
      </c>
      <c r="G34" s="864"/>
    </row>
    <row r="35" spans="1:7" x14ac:dyDescent="0.2">
      <c r="A35" s="868" t="s">
        <v>478</v>
      </c>
      <c r="B35" s="868" t="s">
        <v>1545</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6">
        <f>'Expenditures 15-22'!K15-SUM('Expenditures 15-22'!G15,'Expenditures 15-22'!I15)</f>
        <v>4564</v>
      </c>
      <c r="G38" s="864"/>
    </row>
    <row r="39" spans="1:7" x14ac:dyDescent="0.2">
      <c r="A39" s="868" t="s">
        <v>478</v>
      </c>
      <c r="B39" s="868" t="s">
        <v>119</v>
      </c>
      <c r="C39" s="885" t="str">
        <f>'Expenditures 15-22'!B20</f>
        <v>1910</v>
      </c>
      <c r="D39" s="887" t="str">
        <f>'Expenditures 15-22'!A20</f>
        <v>Pre-K Programs - Private Tuition</v>
      </c>
      <c r="E39" s="867"/>
      <c r="F39" s="1936">
        <f>'Expenditures 15-22'!K20</f>
        <v>0</v>
      </c>
      <c r="G39" s="864"/>
    </row>
    <row r="40" spans="1:7" x14ac:dyDescent="0.2">
      <c r="A40" s="868" t="s">
        <v>478</v>
      </c>
      <c r="B40" s="868" t="s">
        <v>120</v>
      </c>
      <c r="C40" s="885" t="str">
        <f>'Expenditures 15-22'!B21</f>
        <v>1911</v>
      </c>
      <c r="D40" s="887" t="str">
        <f>'Expenditures 15-22'!A21</f>
        <v>Regular K-12 Programs - Private Tuition</v>
      </c>
      <c r="E40" s="867"/>
      <c r="F40" s="1936">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6">
        <f>'Expenditures 15-22'!K22</f>
        <v>142316</v>
      </c>
      <c r="G41" s="864"/>
    </row>
    <row r="42" spans="1:7" x14ac:dyDescent="0.2">
      <c r="A42" s="868" t="s">
        <v>478</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478</v>
      </c>
      <c r="B46" s="868" t="s">
        <v>126</v>
      </c>
      <c r="C46" s="885" t="str">
        <f>'Expenditures 15-22'!B27</f>
        <v>1917</v>
      </c>
      <c r="D46" s="887" t="str">
        <f>'Expenditures 15-22'!A27</f>
        <v>CTE Programs - Private Tuition</v>
      </c>
      <c r="E46" s="867"/>
      <c r="F46" s="1936">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478</v>
      </c>
      <c r="B49" s="868" t="s">
        <v>129</v>
      </c>
      <c r="C49" s="885" t="str">
        <f>'Expenditures 15-22'!B30</f>
        <v>1920</v>
      </c>
      <c r="D49" s="887" t="str">
        <f>'Expenditures 15-22'!A30</f>
        <v>Gifted Programs - Private Tuition</v>
      </c>
      <c r="E49" s="867"/>
      <c r="F49" s="1936">
        <f>'Expenditures 15-22'!K30</f>
        <v>0</v>
      </c>
      <c r="G49" s="864"/>
    </row>
    <row r="50" spans="1:7" x14ac:dyDescent="0.2">
      <c r="A50" s="868" t="s">
        <v>478</v>
      </c>
      <c r="B50" s="868" t="s">
        <v>130</v>
      </c>
      <c r="C50" s="885" t="str">
        <f>'Expenditures 15-22'!B31</f>
        <v>1921</v>
      </c>
      <c r="D50" s="887" t="str">
        <f>'Expenditures 15-22'!A31</f>
        <v>Bilingual Programs - Private Tuition</v>
      </c>
      <c r="E50" s="867"/>
      <c r="F50" s="1936">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6">
        <f>'Expenditures 15-22'!K32</f>
        <v>0</v>
      </c>
      <c r="G51" s="864"/>
    </row>
    <row r="52" spans="1:7" x14ac:dyDescent="0.2">
      <c r="A52" s="868" t="s">
        <v>478</v>
      </c>
      <c r="B52" s="868" t="s">
        <v>1549</v>
      </c>
      <c r="C52" s="888" t="str">
        <f>'Expenditures 15-22'!B75</f>
        <v>3000</v>
      </c>
      <c r="D52" s="887" t="s">
        <v>468</v>
      </c>
      <c r="E52" s="867"/>
      <c r="F52" s="1936">
        <f>'Expenditures 15-22'!K75-SUM('Expenditures 15-22'!G75,'Expenditures 15-22'!I75)</f>
        <v>17700</v>
      </c>
      <c r="G52" s="864"/>
    </row>
    <row r="53" spans="1:7" x14ac:dyDescent="0.2">
      <c r="A53" s="868" t="s">
        <v>478</v>
      </c>
      <c r="B53" s="868" t="s">
        <v>1550</v>
      </c>
      <c r="C53" s="888">
        <f>'Expenditures 15-22'!B102</f>
        <v>4000</v>
      </c>
      <c r="D53" s="887" t="str">
        <f>'Expenditures 15-22'!A102</f>
        <v>Total Payments to Other Govt Units</v>
      </c>
      <c r="E53" s="867"/>
      <c r="F53" s="1936">
        <f>'Expenditures 15-22'!K102</f>
        <v>1265925</v>
      </c>
      <c r="G53" s="864"/>
    </row>
    <row r="54" spans="1:7" x14ac:dyDescent="0.2">
      <c r="A54" s="868" t="s">
        <v>478</v>
      </c>
      <c r="B54" s="868" t="s">
        <v>1551</v>
      </c>
      <c r="C54" s="888" t="s">
        <v>1038</v>
      </c>
      <c r="D54" s="884" t="s">
        <v>1156</v>
      </c>
      <c r="E54" s="867"/>
      <c r="F54" s="1936">
        <f>'Expenditures 15-22'!G114</f>
        <v>782219</v>
      </c>
      <c r="G54" s="864"/>
    </row>
    <row r="55" spans="1:7" x14ac:dyDescent="0.2">
      <c r="A55" s="868" t="s">
        <v>478</v>
      </c>
      <c r="B55" s="868" t="s">
        <v>1552</v>
      </c>
      <c r="C55" s="888" t="s">
        <v>1038</v>
      </c>
      <c r="D55" s="884" t="s">
        <v>308</v>
      </c>
      <c r="E55" s="867"/>
      <c r="F55" s="1936">
        <f>'Expenditures 15-22'!I114</f>
        <v>0</v>
      </c>
      <c r="G55" s="864"/>
    </row>
    <row r="56" spans="1:7" x14ac:dyDescent="0.2">
      <c r="A56" s="868" t="s">
        <v>479</v>
      </c>
      <c r="B56" s="868" t="s">
        <v>1553</v>
      </c>
      <c r="C56" s="885" t="str">
        <f>'Expenditures 15-22'!B130</f>
        <v>3000</v>
      </c>
      <c r="D56" s="891" t="s">
        <v>468</v>
      </c>
      <c r="E56" s="867"/>
      <c r="F56" s="1936">
        <f>'Expenditures 15-22'!K130-SUM('Expenditures 15-22'!G130+'Expenditures 15-22'!I130)</f>
        <v>0</v>
      </c>
      <c r="G56" s="864"/>
    </row>
    <row r="57" spans="1:7" x14ac:dyDescent="0.2">
      <c r="A57" s="868" t="s">
        <v>479</v>
      </c>
      <c r="B57" s="868" t="s">
        <v>1989</v>
      </c>
      <c r="C57" s="888">
        <f>'Expenditures 15-22'!B139</f>
        <v>4000</v>
      </c>
      <c r="D57" s="886" t="str">
        <f>'Expenditures 15-22'!A139</f>
        <v>Total Payments to Other Govt Units</v>
      </c>
      <c r="E57" s="867"/>
      <c r="F57" s="1936">
        <f>'Expenditures 15-22'!K139</f>
        <v>0</v>
      </c>
      <c r="G57" s="864"/>
    </row>
    <row r="58" spans="1:7" x14ac:dyDescent="0.2">
      <c r="A58" s="868" t="s">
        <v>479</v>
      </c>
      <c r="B58" s="868" t="s">
        <v>1990</v>
      </c>
      <c r="C58" s="885" t="s">
        <v>1038</v>
      </c>
      <c r="D58" s="884" t="s">
        <v>1156</v>
      </c>
      <c r="E58" s="867"/>
      <c r="F58" s="1938">
        <f>'Expenditures 15-22'!G151</f>
        <v>362752</v>
      </c>
      <c r="G58" s="864"/>
    </row>
    <row r="59" spans="1:7" x14ac:dyDescent="0.2">
      <c r="A59" s="892" t="s">
        <v>479</v>
      </c>
      <c r="B59" s="855" t="s">
        <v>1991</v>
      </c>
      <c r="C59" s="893" t="s">
        <v>1038</v>
      </c>
      <c r="D59" s="855" t="s">
        <v>308</v>
      </c>
      <c r="F59" s="1939">
        <f>'Expenditures 15-22'!I151</f>
        <v>0</v>
      </c>
      <c r="G59" s="864"/>
    </row>
    <row r="60" spans="1:7" x14ac:dyDescent="0.2">
      <c r="A60" s="892" t="s">
        <v>519</v>
      </c>
      <c r="B60" s="855" t="s">
        <v>1992</v>
      </c>
      <c r="C60" s="893">
        <v>4000</v>
      </c>
      <c r="D60" s="855" t="s">
        <v>329</v>
      </c>
      <c r="F60" s="1937">
        <f>'Expenditures 15-22'!K160</f>
        <v>0</v>
      </c>
      <c r="G60" s="864"/>
    </row>
    <row r="61" spans="1:7" x14ac:dyDescent="0.2">
      <c r="A61" s="894" t="s">
        <v>519</v>
      </c>
      <c r="B61" s="894" t="s">
        <v>1993</v>
      </c>
      <c r="C61" s="895" t="str">
        <f>'Expenditures 15-22'!B170</f>
        <v>5300</v>
      </c>
      <c r="D61" s="896" t="s">
        <v>328</v>
      </c>
      <c r="E61" s="878"/>
      <c r="F61" s="1936">
        <f>'Expenditures 15-22'!K170</f>
        <v>3710000</v>
      </c>
      <c r="G61" s="864"/>
    </row>
    <row r="62" spans="1:7" x14ac:dyDescent="0.2">
      <c r="A62" s="868" t="s">
        <v>480</v>
      </c>
      <c r="B62" s="868" t="s">
        <v>1994</v>
      </c>
      <c r="C62" s="885">
        <f>'Expenditures 15-22'!B185</f>
        <v>3000</v>
      </c>
      <c r="D62" s="875" t="s">
        <v>468</v>
      </c>
      <c r="E62" s="867"/>
      <c r="F62" s="1936">
        <f>'Expenditures 15-22'!K185-SUM('Expenditures 15-22'!G185,'Expenditures 15-22'!I185)</f>
        <v>0</v>
      </c>
      <c r="G62" s="864"/>
    </row>
    <row r="63" spans="1:7" x14ac:dyDescent="0.2">
      <c r="A63" s="868" t="s">
        <v>480</v>
      </c>
      <c r="B63" s="868" t="s">
        <v>1995</v>
      </c>
      <c r="C63" s="885" t="str">
        <f>'Expenditures 15-22'!B196</f>
        <v>4000</v>
      </c>
      <c r="D63" s="886" t="str">
        <f>'Expenditures 15-22'!A196</f>
        <v>Total Payments to Other Govt Units</v>
      </c>
      <c r="E63" s="867"/>
      <c r="F63" s="1936">
        <f>'Expenditures 15-22'!K196</f>
        <v>0</v>
      </c>
      <c r="G63" s="864"/>
    </row>
    <row r="64" spans="1:7" x14ac:dyDescent="0.2">
      <c r="A64" s="894" t="s">
        <v>480</v>
      </c>
      <c r="B64" s="894" t="s">
        <v>1996</v>
      </c>
      <c r="C64" s="895" t="str">
        <f>'Expenditures 15-22'!B206</f>
        <v>5300</v>
      </c>
      <c r="D64" s="891" t="s">
        <v>328</v>
      </c>
      <c r="E64" s="867"/>
      <c r="F64" s="1936">
        <f>'Expenditures 15-22'!K206</f>
        <v>0</v>
      </c>
      <c r="G64" s="864"/>
    </row>
    <row r="65" spans="1:8" x14ac:dyDescent="0.2">
      <c r="A65" s="868" t="s">
        <v>480</v>
      </c>
      <c r="B65" s="868" t="s">
        <v>1997</v>
      </c>
      <c r="C65" s="885" t="s">
        <v>1038</v>
      </c>
      <c r="D65" s="884" t="s">
        <v>1156</v>
      </c>
      <c r="E65" s="867"/>
      <c r="F65" s="1936">
        <f>'Expenditures 15-22'!G210</f>
        <v>180322</v>
      </c>
      <c r="G65" s="864"/>
    </row>
    <row r="66" spans="1:8" x14ac:dyDescent="0.2">
      <c r="A66" s="868" t="s">
        <v>480</v>
      </c>
      <c r="B66" s="868" t="s">
        <v>1998</v>
      </c>
      <c r="C66" s="885" t="s">
        <v>1038</v>
      </c>
      <c r="D66" s="884" t="s">
        <v>308</v>
      </c>
      <c r="E66" s="867"/>
      <c r="F66" s="1936">
        <f>'Expenditures 15-22'!I210</f>
        <v>0</v>
      </c>
      <c r="G66" s="864"/>
    </row>
    <row r="67" spans="1:8" x14ac:dyDescent="0.2">
      <c r="A67" s="868" t="s">
        <v>481</v>
      </c>
      <c r="B67" s="868" t="s">
        <v>1999</v>
      </c>
      <c r="C67" s="885" t="str">
        <f>'Expenditures 15-22'!B216</f>
        <v>1125</v>
      </c>
      <c r="D67" s="891" t="str">
        <f>'Expenditures 15-22'!A216</f>
        <v>Pre-K Programs</v>
      </c>
      <c r="E67" s="867"/>
      <c r="F67" s="1936">
        <f>'Expenditures 15-22'!K216</f>
        <v>6645</v>
      </c>
      <c r="G67" s="864"/>
    </row>
    <row r="68" spans="1:8" x14ac:dyDescent="0.2">
      <c r="A68" s="868" t="s">
        <v>481</v>
      </c>
      <c r="B68" s="868" t="s">
        <v>1554</v>
      </c>
      <c r="C68" s="885" t="str">
        <f>'Expenditures 15-22'!B218</f>
        <v>1225</v>
      </c>
      <c r="D68" s="891" t="str">
        <f>'Expenditures 15-22'!A218</f>
        <v>Special Education Programs - Pre-K</v>
      </c>
      <c r="E68" s="867"/>
      <c r="F68" s="1936">
        <f>'Expenditures 15-22'!K218</f>
        <v>0</v>
      </c>
      <c r="G68" s="864"/>
    </row>
    <row r="69" spans="1:8" x14ac:dyDescent="0.2">
      <c r="A69" s="868" t="s">
        <v>481</v>
      </c>
      <c r="B69" s="868" t="s">
        <v>2000</v>
      </c>
      <c r="C69" s="885" t="str">
        <f>'Expenditures 15-22'!B220</f>
        <v>1275</v>
      </c>
      <c r="D69" s="891" t="str">
        <f>'Expenditures 15-22'!A220</f>
        <v>Remedial and Supplemental Programs - Pre-K</v>
      </c>
      <c r="E69" s="867"/>
      <c r="F69" s="1936">
        <f>'Expenditures 15-22'!K220</f>
        <v>0</v>
      </c>
      <c r="G69" s="864"/>
    </row>
    <row r="70" spans="1:8" x14ac:dyDescent="0.2">
      <c r="A70" s="868" t="s">
        <v>481</v>
      </c>
      <c r="B70" s="868" t="s">
        <v>2001</v>
      </c>
      <c r="C70" s="885">
        <f>'Expenditures 15-22'!B221</f>
        <v>1300</v>
      </c>
      <c r="D70" s="886" t="str">
        <f>'Expenditures 15-22'!A221</f>
        <v>Adult/Continuing Education Programs</v>
      </c>
      <c r="E70" s="867"/>
      <c r="F70" s="1936">
        <f>'Expenditures 15-22'!K221</f>
        <v>0</v>
      </c>
      <c r="G70" s="864"/>
    </row>
    <row r="71" spans="1:8" x14ac:dyDescent="0.2">
      <c r="A71" s="868" t="s">
        <v>481</v>
      </c>
      <c r="B71" s="868" t="s">
        <v>2002</v>
      </c>
      <c r="C71" s="885">
        <f>'Expenditures 15-22'!B224</f>
        <v>1600</v>
      </c>
      <c r="D71" s="886" t="str">
        <f>'Expenditures 15-22'!A224</f>
        <v>Summer School Programs</v>
      </c>
      <c r="E71" s="867"/>
      <c r="F71" s="1936">
        <f>'Expenditures 15-22'!K224</f>
        <v>65</v>
      </c>
      <c r="G71" s="864"/>
    </row>
    <row r="72" spans="1:8" x14ac:dyDescent="0.2">
      <c r="A72" s="868" t="s">
        <v>481</v>
      </c>
      <c r="B72" s="868" t="s">
        <v>2003</v>
      </c>
      <c r="C72" s="885">
        <f>'Expenditures 15-22'!B280</f>
        <v>3000</v>
      </c>
      <c r="D72" s="875" t="s">
        <v>468</v>
      </c>
      <c r="E72" s="867"/>
      <c r="F72" s="1936">
        <f>'Expenditures 15-22'!K280</f>
        <v>0</v>
      </c>
      <c r="G72" s="864"/>
    </row>
    <row r="73" spans="1:8" x14ac:dyDescent="0.2">
      <c r="A73" s="868" t="s">
        <v>481</v>
      </c>
      <c r="B73" s="868" t="s">
        <v>2004</v>
      </c>
      <c r="C73" s="885" t="str">
        <f>'Expenditures 15-22'!B285</f>
        <v>4000</v>
      </c>
      <c r="D73" s="886" t="str">
        <f>'Expenditures 15-22'!A285</f>
        <v>Total Payments to Other Govt Units</v>
      </c>
      <c r="E73" s="867"/>
      <c r="F73" s="1936">
        <f>'Expenditures 15-22'!K285</f>
        <v>0</v>
      </c>
      <c r="G73" s="864"/>
    </row>
    <row r="74" spans="1:8" x14ac:dyDescent="0.2">
      <c r="A74" s="868" t="s">
        <v>455</v>
      </c>
      <c r="B74" s="868" t="s">
        <v>2005</v>
      </c>
      <c r="C74" s="885" t="s">
        <v>914</v>
      </c>
      <c r="D74" s="886" t="s">
        <v>1566</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2006</v>
      </c>
      <c r="E76" s="1793" t="s">
        <v>1014</v>
      </c>
      <c r="F76" s="1797">
        <f>SUM(F18:F74)</f>
        <v>6569447</v>
      </c>
      <c r="G76" s="864"/>
    </row>
    <row r="77" spans="1:8" s="892" customFormat="1" ht="12" customHeight="1" thickTop="1" thickBot="1" x14ac:dyDescent="0.25">
      <c r="A77" s="1798"/>
      <c r="B77" s="1795"/>
      <c r="C77" s="1791"/>
      <c r="D77" s="1796" t="s">
        <v>2007</v>
      </c>
      <c r="E77" s="1793"/>
      <c r="F77" s="1799">
        <f>(F14-F76)</f>
        <v>38187798</v>
      </c>
      <c r="G77" s="868"/>
    </row>
    <row r="78" spans="1:8" s="892" customFormat="1" ht="12" customHeight="1" thickTop="1" x14ac:dyDescent="0.2">
      <c r="A78" s="1800"/>
      <c r="B78" s="1795"/>
      <c r="C78" s="1791"/>
      <c r="D78" s="1796" t="s">
        <v>2054</v>
      </c>
      <c r="E78" s="1793"/>
      <c r="F78" s="897">
        <v>4211.51</v>
      </c>
      <c r="G78" s="898"/>
      <c r="H78" s="868"/>
    </row>
    <row r="79" spans="1:8" s="892" customFormat="1" ht="12" customHeight="1" thickBot="1" x14ac:dyDescent="0.25">
      <c r="A79" s="1801"/>
      <c r="B79" s="1795"/>
      <c r="C79" s="1791"/>
      <c r="D79" s="1796" t="s">
        <v>2008</v>
      </c>
      <c r="E79" s="1793" t="s">
        <v>1014</v>
      </c>
      <c r="F79" s="1802">
        <f>IF(F78&gt;0,F77/F78," Complete Line 78")</f>
        <v>9067.4836341359751</v>
      </c>
      <c r="G79" s="868"/>
    </row>
    <row r="80" spans="1:8" s="892" customFormat="1" ht="8.25" customHeight="1" thickTop="1" x14ac:dyDescent="0.2">
      <c r="A80" s="899"/>
      <c r="B80" s="868"/>
      <c r="C80" s="870"/>
      <c r="D80" s="900"/>
      <c r="E80" s="867"/>
      <c r="F80" s="901"/>
      <c r="G80" s="868"/>
    </row>
    <row r="81" spans="1:7" s="892" customFormat="1" ht="12" thickBot="1" x14ac:dyDescent="0.25">
      <c r="A81" s="2374" t="s">
        <v>1166</v>
      </c>
      <c r="B81" s="2375"/>
      <c r="C81" s="2375"/>
      <c r="D81" s="2375"/>
      <c r="E81" s="2375"/>
      <c r="F81" s="2376"/>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30">
        <f>'Revenues 9-14'!F42</f>
        <v>0</v>
      </c>
      <c r="G84" s="911"/>
    </row>
    <row r="85" spans="1:7" x14ac:dyDescent="0.2">
      <c r="A85" s="907" t="s">
        <v>480</v>
      </c>
      <c r="B85" s="907" t="s">
        <v>192</v>
      </c>
      <c r="C85" s="912">
        <f>'Revenues 9-14'!B44</f>
        <v>1413</v>
      </c>
      <c r="D85" s="910" t="str">
        <f>'Revenues 9-14'!A44</f>
        <v>Regular - Transp Fees from Other Sources (In State)</v>
      </c>
      <c r="E85" s="905"/>
      <c r="F85" s="1808">
        <f>'Revenues 9-14'!F44</f>
        <v>6600</v>
      </c>
      <c r="G85" s="913"/>
    </row>
    <row r="86" spans="1:7" x14ac:dyDescent="0.2">
      <c r="A86" s="907" t="s">
        <v>480</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480</v>
      </c>
      <c r="B87" s="907" t="s">
        <v>169</v>
      </c>
      <c r="C87" s="909">
        <v>1416</v>
      </c>
      <c r="D87" s="910" t="str">
        <f>'Revenues 9-14'!A46</f>
        <v>Regular Transp Fees from Other Sources (Out of State)</v>
      </c>
      <c r="E87" s="905"/>
      <c r="F87" s="1808">
        <f>'Revenues 9-14'!F46</f>
        <v>0</v>
      </c>
      <c r="G87" s="913"/>
    </row>
    <row r="88" spans="1:7" x14ac:dyDescent="0.2">
      <c r="A88" s="907" t="s">
        <v>480</v>
      </c>
      <c r="B88" s="907" t="s">
        <v>170</v>
      </c>
      <c r="C88" s="909">
        <f>'Revenues 9-14'!B51</f>
        <v>1431</v>
      </c>
      <c r="D88" s="910" t="str">
        <f>'Revenues 9-14'!A51</f>
        <v>CTE - Transp Fees from Pupils or Parents (In State)</v>
      </c>
      <c r="E88" s="905"/>
      <c r="F88" s="1808">
        <f>'Revenues 9-14'!F51</f>
        <v>0</v>
      </c>
      <c r="G88" s="913"/>
    </row>
    <row r="89" spans="1:7" x14ac:dyDescent="0.2">
      <c r="A89" s="907" t="s">
        <v>480</v>
      </c>
      <c r="B89" s="907" t="s">
        <v>171</v>
      </c>
      <c r="C89" s="909">
        <f>'Revenues 9-14'!B53</f>
        <v>1433</v>
      </c>
      <c r="D89" s="910" t="str">
        <f>'Revenues 9-14'!A53</f>
        <v>CTE - Transp Fees from Other Sources (In State)</v>
      </c>
      <c r="E89" s="905"/>
      <c r="F89" s="1808">
        <f>'Revenues 9-14'!F53</f>
        <v>0</v>
      </c>
      <c r="G89" s="913"/>
    </row>
    <row r="90" spans="1:7" x14ac:dyDescent="0.2">
      <c r="A90" s="907" t="s">
        <v>480</v>
      </c>
      <c r="B90" s="907" t="s">
        <v>172</v>
      </c>
      <c r="C90" s="909">
        <f>'Revenues 9-14'!B54</f>
        <v>1434</v>
      </c>
      <c r="D90" s="910" t="str">
        <f>'Revenues 9-14'!A54</f>
        <v>CTE - Transp Fees from Other Sources (Out of State)</v>
      </c>
      <c r="E90" s="905"/>
      <c r="F90" s="1808">
        <f>'Revenues 9-14'!F54</f>
        <v>0</v>
      </c>
      <c r="G90" s="913"/>
    </row>
    <row r="91" spans="1:7" x14ac:dyDescent="0.2">
      <c r="A91" s="907" t="s">
        <v>480</v>
      </c>
      <c r="B91" s="907" t="s">
        <v>173</v>
      </c>
      <c r="C91" s="914">
        <f>'Revenues 9-14'!B55</f>
        <v>1441</v>
      </c>
      <c r="D91" s="910" t="str">
        <f>'Revenues 9-14'!A55</f>
        <v>Special Ed - Transp Fees from Pupils or Parents (In State)</v>
      </c>
      <c r="E91" s="905"/>
      <c r="F91" s="1808">
        <f>'Revenues 9-14'!F55</f>
        <v>0</v>
      </c>
      <c r="G91" s="913"/>
    </row>
    <row r="92" spans="1:7" x14ac:dyDescent="0.2">
      <c r="A92" s="907" t="s">
        <v>480</v>
      </c>
      <c r="B92" s="907" t="s">
        <v>174</v>
      </c>
      <c r="C92" s="909">
        <f>'Revenues 9-14'!B57</f>
        <v>1443</v>
      </c>
      <c r="D92" s="910" t="str">
        <f>'Revenues 9-14'!A57</f>
        <v>Special Ed - Transp Fees from Other Sources (In State)</v>
      </c>
      <c r="E92" s="905"/>
      <c r="F92" s="1808">
        <f>'Revenues 9-14'!F57</f>
        <v>0</v>
      </c>
      <c r="G92" s="915"/>
    </row>
    <row r="93" spans="1:7" x14ac:dyDescent="0.2">
      <c r="A93" s="907" t="s">
        <v>480</v>
      </c>
      <c r="B93" s="907" t="s">
        <v>175</v>
      </c>
      <c r="C93" s="909">
        <f>'Revenues 9-14'!B58</f>
        <v>1444</v>
      </c>
      <c r="D93" s="910" t="str">
        <f>'Revenues 9-14'!A58</f>
        <v>Special Ed - Transp Fees from Other Sources (Out of State)</v>
      </c>
      <c r="E93" s="905"/>
      <c r="F93" s="1808">
        <f>'Revenues 9-14'!F58</f>
        <v>0</v>
      </c>
      <c r="G93" s="915"/>
    </row>
    <row r="94" spans="1:7" x14ac:dyDescent="0.2">
      <c r="A94" s="907" t="s">
        <v>478</v>
      </c>
      <c r="B94" s="907" t="s">
        <v>176</v>
      </c>
      <c r="C94" s="909">
        <v>1600</v>
      </c>
      <c r="D94" s="916" t="str">
        <f>'Revenues 9-14'!A75</f>
        <v>Total Food Service</v>
      </c>
      <c r="E94" s="905"/>
      <c r="F94" s="1808">
        <f>'Revenues 9-14'!C75</f>
        <v>1064492</v>
      </c>
      <c r="G94" s="911"/>
    </row>
    <row r="95" spans="1:7" x14ac:dyDescent="0.2">
      <c r="A95" s="907" t="s">
        <v>142</v>
      </c>
      <c r="B95" s="907" t="s">
        <v>177</v>
      </c>
      <c r="C95" s="909">
        <v>1700</v>
      </c>
      <c r="D95" s="917" t="str">
        <f>'Revenues 9-14'!A82</f>
        <v>Total District/School Activity Income</v>
      </c>
      <c r="E95" s="905"/>
      <c r="F95" s="1808">
        <f>SUM('Revenues 9-14'!C82,'Revenues 9-14'!D82)</f>
        <v>366809</v>
      </c>
      <c r="G95" s="911"/>
    </row>
    <row r="96" spans="1:7" x14ac:dyDescent="0.2">
      <c r="A96" s="907" t="s">
        <v>478</v>
      </c>
      <c r="B96" s="907" t="s">
        <v>178</v>
      </c>
      <c r="C96" s="909">
        <f>'Revenues 9-14'!B84</f>
        <v>1811</v>
      </c>
      <c r="D96" s="910" t="str">
        <f>'Revenues 9-14'!A84</f>
        <v>Rentals - Regular Textbooks</v>
      </c>
      <c r="E96" s="905"/>
      <c r="F96" s="1808">
        <f>'Revenues 9-14'!C84</f>
        <v>547505</v>
      </c>
      <c r="G96" s="911"/>
    </row>
    <row r="97" spans="1:7" x14ac:dyDescent="0.2">
      <c r="A97" s="907" t="s">
        <v>478</v>
      </c>
      <c r="B97" s="907" t="s">
        <v>179</v>
      </c>
      <c r="C97" s="909">
        <f>'Revenues 9-14'!B87</f>
        <v>1819</v>
      </c>
      <c r="D97" s="910" t="str">
        <f>'Revenues 9-14'!A87</f>
        <v>Rentals - Other (Describe &amp; Itemize)</v>
      </c>
      <c r="E97" s="905"/>
      <c r="F97" s="1808">
        <f>'Revenues 9-14'!C87</f>
        <v>0</v>
      </c>
      <c r="G97" s="911"/>
    </row>
    <row r="98" spans="1:7" x14ac:dyDescent="0.2">
      <c r="A98" s="907" t="s">
        <v>478</v>
      </c>
      <c r="B98" s="907" t="s">
        <v>180</v>
      </c>
      <c r="C98" s="909">
        <f>'Revenues 9-14'!B88</f>
        <v>1821</v>
      </c>
      <c r="D98" s="910" t="str">
        <f>'Revenues 9-14'!A88</f>
        <v>Sales - Regular Textbooks</v>
      </c>
      <c r="E98" s="905"/>
      <c r="F98" s="1808">
        <f>'Revenues 9-14'!C88</f>
        <v>0</v>
      </c>
      <c r="G98" s="911"/>
    </row>
    <row r="99" spans="1:7" x14ac:dyDescent="0.2">
      <c r="A99" s="907" t="s">
        <v>478</v>
      </c>
      <c r="B99" s="907" t="s">
        <v>181</v>
      </c>
      <c r="C99" s="909">
        <f>'Revenues 9-14'!B91</f>
        <v>1829</v>
      </c>
      <c r="D99" s="910" t="str">
        <f>'Revenues 9-14'!A91</f>
        <v>Sales - Other (Describe &amp; Itemize)</v>
      </c>
      <c r="E99" s="905"/>
      <c r="F99" s="1808">
        <f>'Revenues 9-14'!C91</f>
        <v>0</v>
      </c>
      <c r="G99" s="911"/>
    </row>
    <row r="100" spans="1:7" x14ac:dyDescent="0.2">
      <c r="A100" s="907" t="s">
        <v>478</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13075</v>
      </c>
      <c r="G101" s="911"/>
    </row>
    <row r="102" spans="1:7" x14ac:dyDescent="0.2">
      <c r="A102" s="907" t="s">
        <v>523</v>
      </c>
      <c r="B102" s="907" t="s">
        <v>184</v>
      </c>
      <c r="C102" s="909">
        <f>'Revenues 9-14'!B98</f>
        <v>1940</v>
      </c>
      <c r="D102" s="910" t="str">
        <f>'Revenues 9-14'!A98</f>
        <v>Services Provided Other Districts</v>
      </c>
      <c r="E102" s="905"/>
      <c r="F102" s="1808">
        <f>SUM('Revenues 9-14'!C98,'Revenues 9-14'!D98,'Revenues 9-14'!F98)</f>
        <v>76386</v>
      </c>
      <c r="G102" s="911"/>
    </row>
    <row r="103" spans="1:7" x14ac:dyDescent="0.2">
      <c r="A103" s="907" t="s">
        <v>1065</v>
      </c>
      <c r="B103" s="907" t="s">
        <v>833</v>
      </c>
      <c r="C103" s="909">
        <f>'Revenues 9-14'!B104</f>
        <v>1991</v>
      </c>
      <c r="D103" s="918" t="str">
        <f>'Revenues 9-14'!A104</f>
        <v>Payment from Other Districts</v>
      </c>
      <c r="E103" s="905"/>
      <c r="F103" s="1808">
        <f>SUM('Revenues 9-14'!C104,'Revenues 9-14'!D104,'Revenues 9-14'!E104,'Revenues 9-14'!F104,'Revenues 9-14'!G104)</f>
        <v>600</v>
      </c>
      <c r="G103" s="911"/>
    </row>
    <row r="104" spans="1:7" x14ac:dyDescent="0.2">
      <c r="A104" s="907" t="s">
        <v>478</v>
      </c>
      <c r="B104" s="907" t="s">
        <v>840</v>
      </c>
      <c r="C104" s="909">
        <f>'Revenues 9-14'!B106</f>
        <v>1993</v>
      </c>
      <c r="D104" s="910" t="str">
        <f>'Revenues 9-14'!A106</f>
        <v>Other Local Fees (Describe &amp; Itemize)</v>
      </c>
      <c r="E104" s="905"/>
      <c r="F104" s="1808">
        <f>('Revenues 9-14'!C106)</f>
        <v>0</v>
      </c>
      <c r="G104" s="911"/>
    </row>
    <row r="105" spans="1:7" x14ac:dyDescent="0.2">
      <c r="A105" s="907" t="s">
        <v>523</v>
      </c>
      <c r="B105" s="907" t="s">
        <v>841</v>
      </c>
      <c r="C105" s="912">
        <v>3100</v>
      </c>
      <c r="D105" s="918" t="str">
        <f>'Revenues 9-14'!A131</f>
        <v>Total Special Education</v>
      </c>
      <c r="E105" s="905"/>
      <c r="F105" s="1808">
        <f>SUM('Revenues 9-14'!C131:D131,'Revenues 9-14'!F131)</f>
        <v>836475</v>
      </c>
      <c r="G105" s="911"/>
    </row>
    <row r="106" spans="1:7" x14ac:dyDescent="0.2">
      <c r="A106" s="907" t="s">
        <v>693</v>
      </c>
      <c r="B106" s="907" t="s">
        <v>1482</v>
      </c>
      <c r="C106" s="919">
        <v>3200</v>
      </c>
      <c r="D106" s="910" t="str">
        <f>'Revenues 9-14'!A140</f>
        <v>Total Career and Technical Education</v>
      </c>
      <c r="E106" s="905"/>
      <c r="F106" s="1808">
        <f>SUM('Revenues 9-14'!C140,'Revenues 9-14'!D140,'Revenues 9-14'!G140)</f>
        <v>26465</v>
      </c>
      <c r="G106" s="911"/>
    </row>
    <row r="107" spans="1:7" x14ac:dyDescent="0.2">
      <c r="A107" s="920" t="s">
        <v>684</v>
      </c>
      <c r="B107" s="907" t="s">
        <v>842</v>
      </c>
      <c r="C107" s="919">
        <v>3300</v>
      </c>
      <c r="D107" s="910" t="str">
        <f>'Revenues 9-14'!A144</f>
        <v>Total Bilingual Ed</v>
      </c>
      <c r="E107" s="905"/>
      <c r="F107" s="1808">
        <f>SUM('Revenues 9-14'!C144,'Revenues 9-14'!G144)</f>
        <v>79602</v>
      </c>
      <c r="G107" s="911"/>
    </row>
    <row r="108" spans="1:7" x14ac:dyDescent="0.2">
      <c r="A108" s="907" t="s">
        <v>478</v>
      </c>
      <c r="B108" s="907" t="s">
        <v>843</v>
      </c>
      <c r="C108" s="919">
        <f>'Revenues 9-14'!B145</f>
        <v>3360</v>
      </c>
      <c r="D108" s="910" t="str">
        <f>'Revenues 9-14'!A145</f>
        <v>State Free Lunch &amp; Breakfast</v>
      </c>
      <c r="E108" s="905"/>
      <c r="F108" s="1808">
        <f>'Revenues 9-14'!C145</f>
        <v>2983</v>
      </c>
      <c r="G108" s="911"/>
    </row>
    <row r="109" spans="1:7" x14ac:dyDescent="0.2">
      <c r="A109" s="907" t="s">
        <v>693</v>
      </c>
      <c r="B109" s="907" t="s">
        <v>844</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8">
        <f>SUM('Revenues 9-14'!C147,'Revenues 9-14'!D147)</f>
        <v>67091</v>
      </c>
      <c r="G110" s="911"/>
    </row>
    <row r="111" spans="1:7" x14ac:dyDescent="0.2">
      <c r="A111" s="907" t="s">
        <v>688</v>
      </c>
      <c r="B111" s="907" t="s">
        <v>801</v>
      </c>
      <c r="C111" s="921">
        <v>3500</v>
      </c>
      <c r="D111" s="910" t="str">
        <f>'Revenues 9-14'!A154</f>
        <v>Total Transportation</v>
      </c>
      <c r="E111" s="905"/>
      <c r="F111" s="1808">
        <f>SUM('Revenues 9-14'!C154,'Revenues 9-14'!D154,'Revenues 9-14'!F154,'Revenues 9-14'!G154)</f>
        <v>1452310</v>
      </c>
      <c r="G111" s="911"/>
    </row>
    <row r="112" spans="1:7" x14ac:dyDescent="0.2">
      <c r="A112" s="907" t="s">
        <v>478</v>
      </c>
      <c r="B112" s="907" t="s">
        <v>846</v>
      </c>
      <c r="C112" s="919">
        <f>'Revenues 9-14'!B155</f>
        <v>3610</v>
      </c>
      <c r="D112" s="910" t="str">
        <f>'Revenues 9-14'!A155</f>
        <v>Learning Improvement - Change Grants</v>
      </c>
      <c r="E112" s="905"/>
      <c r="F112" s="1808">
        <f>'Revenues 9-14'!C155</f>
        <v>0</v>
      </c>
      <c r="G112" s="911"/>
    </row>
    <row r="113" spans="1:7" x14ac:dyDescent="0.2">
      <c r="A113" s="907" t="s">
        <v>688</v>
      </c>
      <c r="B113" s="907" t="s">
        <v>847</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30">
        <f>SUM('Revenues 9-14'!C166:G166)</f>
        <v>0</v>
      </c>
      <c r="G122" s="911"/>
    </row>
    <row r="123" spans="1:7" x14ac:dyDescent="0.2">
      <c r="A123" s="922" t="s">
        <v>524</v>
      </c>
      <c r="B123" s="922" t="s">
        <v>852</v>
      </c>
      <c r="C123" s="923">
        <f>'Revenues 9-14'!B167</f>
        <v>3815</v>
      </c>
      <c r="D123" s="924" t="str">
        <f>'Revenues 9-14'!A167</f>
        <v>State Charter Schools</v>
      </c>
      <c r="E123" s="905"/>
      <c r="F123" s="1930">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8">
        <f>'Revenues 9-14'!D170</f>
        <v>0</v>
      </c>
      <c r="G124" s="929"/>
    </row>
    <row r="125" spans="1:7" x14ac:dyDescent="0.2">
      <c r="A125" s="926" t="s">
        <v>520</v>
      </c>
      <c r="B125" s="926" t="s">
        <v>854</v>
      </c>
      <c r="C125" s="927">
        <f>'Revenues 9-14'!B171</f>
        <v>3999</v>
      </c>
      <c r="D125" s="928" t="s">
        <v>563</v>
      </c>
      <c r="E125" s="930"/>
      <c r="F125" s="1808">
        <f>SUM('Revenues 9-14'!C171:G171,'Revenues 9-14'!J171)</f>
        <v>6183</v>
      </c>
      <c r="G125" s="929"/>
    </row>
    <row r="126" spans="1:7" x14ac:dyDescent="0.2">
      <c r="A126" s="926" t="s">
        <v>478</v>
      </c>
      <c r="B126" s="926" t="s">
        <v>855</v>
      </c>
      <c r="C126" s="931">
        <f>'Revenues 9-14'!B180</f>
        <v>4045</v>
      </c>
      <c r="D126" s="928" t="str">
        <f>'Revenues 9-14'!A180 &amp; " (Subtract)"</f>
        <v>Head Start (Subtract)</v>
      </c>
      <c r="E126" s="905"/>
      <c r="F126" s="1808">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688</v>
      </c>
      <c r="B128" s="926" t="s">
        <v>857</v>
      </c>
      <c r="C128" s="931">
        <v>4100</v>
      </c>
      <c r="D128" s="932" t="str">
        <f>'Revenues 9-14'!A191</f>
        <v>Total Title V</v>
      </c>
      <c r="E128" s="905"/>
      <c r="F128" s="1808">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808">
        <f>SUM('Revenues 9-14'!C201,'Revenues 9-14'!G201)</f>
        <v>337743</v>
      </c>
      <c r="G129" s="929"/>
    </row>
    <row r="130" spans="1:7" x14ac:dyDescent="0.2">
      <c r="A130" s="926" t="s">
        <v>688</v>
      </c>
      <c r="B130" s="926" t="s">
        <v>803</v>
      </c>
      <c r="C130" s="931">
        <v>4300</v>
      </c>
      <c r="D130" s="932" t="str">
        <f>'Revenues 9-14'!A211</f>
        <v>Total Title I</v>
      </c>
      <c r="E130" s="905"/>
      <c r="F130" s="1808">
        <f>SUM('Revenues 9-14'!C211,'Revenues 9-14'!D211,'Revenues 9-14'!F211,'Revenues 9-14'!G211)</f>
        <v>280032</v>
      </c>
      <c r="G130" s="929"/>
    </row>
    <row r="131" spans="1:7" x14ac:dyDescent="0.2">
      <c r="A131" s="926" t="s">
        <v>688</v>
      </c>
      <c r="B131" s="926" t="s">
        <v>804</v>
      </c>
      <c r="C131" s="931">
        <v>4400</v>
      </c>
      <c r="D131" s="932" t="str">
        <f>'Revenues 9-14'!A216</f>
        <v>Total Title IV</v>
      </c>
      <c r="E131" s="905"/>
      <c r="F131" s="1808">
        <f>SUM('Revenues 9-14'!C216,'Revenues 9-14'!D216,'Revenues 9-14'!F216,'Revenues 9-14'!G216)</f>
        <v>0</v>
      </c>
      <c r="G131" s="929"/>
    </row>
    <row r="132" spans="1:7" x14ac:dyDescent="0.2">
      <c r="A132" s="926" t="s">
        <v>688</v>
      </c>
      <c r="B132" s="926" t="s">
        <v>190</v>
      </c>
      <c r="C132" s="931">
        <f>'Revenues 9-14'!B220</f>
        <v>4620</v>
      </c>
      <c r="D132" s="932" t="str">
        <f>'Revenues 9-14'!A220</f>
        <v>Fed - Spec Education - IDEA - Flow Through</v>
      </c>
      <c r="E132" s="905"/>
      <c r="F132" s="1808">
        <f>SUM('Revenues 9-14'!C220:D220,'Revenues 9-14'!F220:G220)</f>
        <v>79020</v>
      </c>
      <c r="G132" s="929"/>
    </row>
    <row r="133" spans="1:7" x14ac:dyDescent="0.2">
      <c r="A133" s="926" t="s">
        <v>688</v>
      </c>
      <c r="B133" s="926" t="s">
        <v>191</v>
      </c>
      <c r="C133" s="931">
        <f>'Revenues 9-14'!B221</f>
        <v>4625</v>
      </c>
      <c r="D133" s="932" t="str">
        <f>'Revenues 9-14'!A221</f>
        <v>Fed - Spec Education - IDEA - Room &amp; Board</v>
      </c>
      <c r="E133" s="905"/>
      <c r="F133" s="1808">
        <f>SUM('Revenues 9-14'!C221,'Revenues 9-14'!D221,'Revenues 9-14'!F221,'Revenues 9-14'!G221)</f>
        <v>34774</v>
      </c>
      <c r="G133" s="929"/>
    </row>
    <row r="134" spans="1:7" x14ac:dyDescent="0.2">
      <c r="A134" s="926" t="s">
        <v>688</v>
      </c>
      <c r="B134" s="926" t="s">
        <v>858</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693</v>
      </c>
      <c r="B136" s="926" t="s">
        <v>806</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1483</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8">
        <f>SUM('Revenues 9-14'!C247:G247,'Revenues 9-14'!J247)</f>
        <v>197371</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8">
        <f>SUM('Revenues 9-14'!C258:G258,'Revenues 9-14'!J258)</f>
        <v>0</v>
      </c>
      <c r="G160" s="904"/>
    </row>
    <row r="161" spans="1:7" s="866" customFormat="1" x14ac:dyDescent="0.2">
      <c r="A161" s="937" t="s">
        <v>520</v>
      </c>
      <c r="B161" s="938" t="s">
        <v>1563</v>
      </c>
      <c r="C161" s="939" t="s">
        <v>895</v>
      </c>
      <c r="D161" s="940" t="s">
        <v>807</v>
      </c>
      <c r="E161" s="941"/>
      <c r="F161" s="1808">
        <f>SUM(F137:F160)</f>
        <v>197371</v>
      </c>
      <c r="G161" s="904"/>
    </row>
    <row r="162" spans="1:7" s="866" customFormat="1" x14ac:dyDescent="0.2">
      <c r="A162" s="937" t="s">
        <v>478</v>
      </c>
      <c r="B162" s="938" t="s">
        <v>1500</v>
      </c>
      <c r="C162" s="939" t="s">
        <v>1498</v>
      </c>
      <c r="D162" s="940" t="s">
        <v>1499</v>
      </c>
      <c r="E162" s="941"/>
      <c r="F162" s="1808">
        <f>SUM('Revenues 9-14'!C260)</f>
        <v>0</v>
      </c>
      <c r="G162" s="904"/>
    </row>
    <row r="163" spans="1:7" s="866" customFormat="1" x14ac:dyDescent="0.2">
      <c r="A163" s="937" t="s">
        <v>520</v>
      </c>
      <c r="B163" s="938" t="s">
        <v>1540</v>
      </c>
      <c r="C163" s="939" t="s">
        <v>1541</v>
      </c>
      <c r="D163" s="940" t="s">
        <v>1542</v>
      </c>
      <c r="E163" s="941"/>
      <c r="F163" s="1808">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8">
        <f>SUM('Revenues 9-14'!C263,'Revenues 9-14'!F263,'Revenues 9-14'!G263)</f>
        <v>19570</v>
      </c>
      <c r="G165" s="942">
        <v>6306</v>
      </c>
    </row>
    <row r="166" spans="1:7" x14ac:dyDescent="0.2">
      <c r="A166" s="926" t="s">
        <v>5</v>
      </c>
      <c r="B166" s="926" t="s">
        <v>1501</v>
      </c>
      <c r="C166" s="931">
        <f>'Revenues 9-14'!B264</f>
        <v>4909</v>
      </c>
      <c r="D166" s="928" t="str">
        <f>'Revenues 9-14'!A264</f>
        <v>Title III - Language Inst Program - Limited Eng (LIPLEP)</v>
      </c>
      <c r="E166" s="905"/>
      <c r="F166" s="1808">
        <f>SUM('Revenues 9-14'!C264,'Revenues 9-14'!F264,'Revenues 9-14'!G264)</f>
        <v>24531</v>
      </c>
      <c r="G166" s="942"/>
    </row>
    <row r="167" spans="1:7" x14ac:dyDescent="0.2">
      <c r="A167" s="926" t="s">
        <v>5</v>
      </c>
      <c r="B167" s="926" t="s">
        <v>1556</v>
      </c>
      <c r="C167" s="931">
        <f>'Revenues 9-14'!B265</f>
        <v>4910</v>
      </c>
      <c r="D167" s="928" t="str">
        <f>'Revenues 9-14'!A265</f>
        <v>Learn &amp; Serve America</v>
      </c>
      <c r="E167" s="905"/>
      <c r="F167" s="1808">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30">
        <f>SUM('Revenues 9-14'!C268,'Revenues 9-14'!D268,'Revenues 9-14'!F268,'Revenues 9-14'!G268)</f>
        <v>59227</v>
      </c>
      <c r="G170" s="929"/>
    </row>
    <row r="171" spans="1:7" x14ac:dyDescent="0.2">
      <c r="A171" s="926" t="s">
        <v>688</v>
      </c>
      <c r="B171" s="926" t="s">
        <v>863</v>
      </c>
      <c r="C171" s="931">
        <f>'Revenues 9-14'!B269</f>
        <v>4960</v>
      </c>
      <c r="D171" s="928" t="str">
        <f>'Revenues 9-14'!A269</f>
        <v>Federal Charter Schools</v>
      </c>
      <c r="E171" s="905"/>
      <c r="F171" s="1808">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8">
        <f>SUM('Revenues 9-14'!C270:D270,'Revenues 9-14'!F270:G270)</f>
        <v>30786</v>
      </c>
      <c r="G172" s="946">
        <v>6320</v>
      </c>
    </row>
    <row r="173" spans="1:7" x14ac:dyDescent="0.2">
      <c r="A173" s="926" t="s">
        <v>688</v>
      </c>
      <c r="B173" s="926" t="s">
        <v>1502</v>
      </c>
      <c r="C173" s="931">
        <f>'Revenues 9-14'!B271</f>
        <v>4992</v>
      </c>
      <c r="D173" s="932" t="str">
        <f>'Revenues 9-14'!A271</f>
        <v>Medicaid Matching Funds - Fee-for-Service Program</v>
      </c>
      <c r="E173" s="905"/>
      <c r="F173" s="1808">
        <f>SUM('Revenues 9-14'!C271:D271,'Revenues 9-14'!F271:G271)</f>
        <v>149616</v>
      </c>
      <c r="G173" s="946"/>
    </row>
    <row r="174" spans="1:7" x14ac:dyDescent="0.2">
      <c r="A174" s="947" t="s">
        <v>688</v>
      </c>
      <c r="B174" s="943" t="s">
        <v>1557</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2053</v>
      </c>
      <c r="C175" s="1943">
        <v>3100</v>
      </c>
      <c r="D175" s="1944" t="s">
        <v>2056</v>
      </c>
      <c r="E175" s="905"/>
      <c r="F175" s="1928">
        <v>1058423.29</v>
      </c>
      <c r="G175" s="926"/>
    </row>
    <row r="176" spans="1:7" x14ac:dyDescent="0.2">
      <c r="A176" s="1941" t="s">
        <v>684</v>
      </c>
      <c r="B176" s="1942" t="s">
        <v>2053</v>
      </c>
      <c r="C176" s="1943">
        <v>3300</v>
      </c>
      <c r="D176" s="1944" t="s">
        <v>2057</v>
      </c>
      <c r="E176" s="905"/>
      <c r="F176" s="1928">
        <v>82245.02</v>
      </c>
      <c r="G176" s="926"/>
    </row>
    <row r="177" spans="1:7" ht="6" customHeight="1" x14ac:dyDescent="0.2">
      <c r="A177" s="926"/>
      <c r="B177" s="926"/>
      <c r="C177" s="948"/>
      <c r="D177" s="926"/>
      <c r="E177" s="905"/>
      <c r="F177" s="949"/>
      <c r="G177" s="946"/>
    </row>
    <row r="178" spans="1:7" x14ac:dyDescent="0.2">
      <c r="A178" s="1789"/>
      <c r="B178" s="1803"/>
      <c r="C178" s="1804"/>
      <c r="D178" s="1805" t="s">
        <v>2009</v>
      </c>
      <c r="E178" s="1806" t="s">
        <v>1014</v>
      </c>
      <c r="F178" s="1807">
        <f>SUM(F84:F136,F161:F176)</f>
        <v>6899914.3099999996</v>
      </c>
    </row>
    <row r="179" spans="1:7" ht="12" customHeight="1" x14ac:dyDescent="0.2">
      <c r="A179" s="1789"/>
      <c r="B179" s="1803"/>
      <c r="C179" s="1804"/>
      <c r="D179" s="1805" t="s">
        <v>2010</v>
      </c>
      <c r="E179" s="1806"/>
      <c r="F179" s="1808">
        <f>'PCTC-OEPP 27-28'!F77-F178</f>
        <v>31287883.690000001</v>
      </c>
    </row>
    <row r="180" spans="1:7" ht="12" customHeight="1" x14ac:dyDescent="0.2">
      <c r="A180" s="1789"/>
      <c r="B180" s="1803"/>
      <c r="C180" s="1804"/>
      <c r="D180" s="1805" t="s">
        <v>1919</v>
      </c>
      <c r="E180" s="1806"/>
      <c r="F180" s="1808">
        <f>'Cap Outlay Deprec 26'!I18</f>
        <v>3692062</v>
      </c>
    </row>
    <row r="181" spans="1:7" ht="12" customHeight="1" x14ac:dyDescent="0.2">
      <c r="A181" s="1789"/>
      <c r="B181" s="1803"/>
      <c r="C181" s="1804"/>
      <c r="D181" s="1805" t="s">
        <v>2011</v>
      </c>
      <c r="E181" s="1806"/>
      <c r="F181" s="1808">
        <f>F179+F180</f>
        <v>34979945.689999998</v>
      </c>
    </row>
    <row r="182" spans="1:7" ht="12" customHeight="1" x14ac:dyDescent="0.2">
      <c r="A182" s="1789"/>
      <c r="B182" s="1809"/>
      <c r="C182" s="1804"/>
      <c r="D182" s="1805" t="str">
        <f>D78</f>
        <v>9 Month ADA from District Average Daily Attendance/Prior General State Aid Inquiry 2017-2018</v>
      </c>
      <c r="E182" s="1806"/>
      <c r="F182" s="1810">
        <f>'PCTC-OEPP 27-28'!F78</f>
        <v>4211.51</v>
      </c>
      <c r="G182" s="929"/>
    </row>
    <row r="183" spans="1:7" ht="12" customHeight="1" thickBot="1" x14ac:dyDescent="0.25">
      <c r="A183" s="1789"/>
      <c r="B183" s="1809"/>
      <c r="C183" s="1804"/>
      <c r="D183" s="1805" t="s">
        <v>2012</v>
      </c>
      <c r="E183" s="1806" t="s">
        <v>1625</v>
      </c>
      <c r="F183" s="1811">
        <f>F181/F182</f>
        <v>8305.7966596303922</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5" customFormat="1" ht="12.2" customHeight="1" x14ac:dyDescent="0.2">
      <c r="A186" s="1945" t="s">
        <v>2060</v>
      </c>
      <c r="B186" s="1946"/>
      <c r="C186" s="1947"/>
      <c r="D186" s="1946"/>
      <c r="E186" s="1947"/>
      <c r="F186" s="1946"/>
      <c r="G186" s="1946"/>
    </row>
    <row r="187" spans="1:7" s="1945" customFormat="1" ht="12.2" customHeight="1" x14ac:dyDescent="0.2">
      <c r="A187" s="1948" t="s">
        <v>2061</v>
      </c>
      <c r="C187" s="1947"/>
      <c r="D187" s="1946"/>
      <c r="E187" s="1947"/>
      <c r="F187" s="1946"/>
      <c r="G187" s="1946"/>
    </row>
    <row r="188" spans="1:7" ht="12" customHeight="1" x14ac:dyDescent="0.2">
      <c r="C188" s="948"/>
      <c r="D188" s="929"/>
      <c r="E188" s="948"/>
      <c r="F188" s="929"/>
      <c r="G188" s="929"/>
    </row>
    <row r="189" spans="1:7" x14ac:dyDescent="0.2">
      <c r="A189" s="1949" t="s">
        <v>2059</v>
      </c>
      <c r="B189" s="1950"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D23" sqref="AD23"/>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10.7109375" style="1563" hidden="1" customWidth="1"/>
    <col min="6" max="6" width="23.5703125" style="1563" customWidth="1"/>
    <col min="7" max="7" width="23.28515625" style="1562" customWidth="1"/>
    <col min="8" max="16384" width="9.140625" style="1552"/>
  </cols>
  <sheetData>
    <row r="1" spans="1:7" ht="15" customHeight="1" x14ac:dyDescent="0.25">
      <c r="A1" s="1678" t="s">
        <v>1935</v>
      </c>
      <c r="B1" s="1679"/>
      <c r="C1" s="1679"/>
      <c r="D1" s="1679"/>
      <c r="E1" s="1679"/>
      <c r="F1" s="1679"/>
      <c r="G1" s="1679"/>
    </row>
    <row r="2" spans="1:7" x14ac:dyDescent="0.25">
      <c r="A2" s="1676"/>
      <c r="B2" s="1676"/>
      <c r="C2" s="1677" t="s">
        <v>1035</v>
      </c>
      <c r="D2" s="1676"/>
      <c r="E2" s="1676"/>
      <c r="F2" s="1676"/>
      <c r="G2" s="1676"/>
    </row>
    <row r="3" spans="1:7" ht="5.25" customHeight="1" x14ac:dyDescent="0.25">
      <c r="A3" s="1564"/>
      <c r="B3" s="1564"/>
      <c r="C3" s="1564"/>
      <c r="D3" s="1564"/>
      <c r="E3" s="1564"/>
      <c r="F3" s="1564"/>
      <c r="G3" s="1564"/>
    </row>
    <row r="4" spans="1:7" ht="18.75" customHeight="1" x14ac:dyDescent="0.25">
      <c r="A4" s="2388" t="s">
        <v>1920</v>
      </c>
      <c r="B4" s="2389"/>
      <c r="C4" s="2389"/>
      <c r="D4" s="2389"/>
      <c r="E4" s="2389"/>
      <c r="F4" s="2389"/>
      <c r="G4" s="2390"/>
    </row>
    <row r="5" spans="1:7" x14ac:dyDescent="0.25">
      <c r="A5" s="2391"/>
      <c r="B5" s="2392"/>
      <c r="C5" s="2392"/>
      <c r="D5" s="2392"/>
      <c r="E5" s="2392"/>
      <c r="F5" s="2392"/>
      <c r="G5" s="2393"/>
    </row>
    <row r="6" spans="1:7" ht="18.75" x14ac:dyDescent="0.25">
      <c r="A6" s="1553" t="s">
        <v>1921</v>
      </c>
      <c r="B6" s="1554"/>
      <c r="C6" s="1554"/>
      <c r="D6" s="1554"/>
      <c r="E6" s="1554"/>
      <c r="F6" s="1554"/>
      <c r="G6" s="1555"/>
    </row>
    <row r="7" spans="1:7" ht="30.75" customHeight="1" x14ac:dyDescent="0.25">
      <c r="A7" s="2394" t="s">
        <v>2070</v>
      </c>
      <c r="B7" s="2395"/>
      <c r="C7" s="2395"/>
      <c r="D7" s="2395"/>
      <c r="E7" s="2395"/>
      <c r="F7" s="2395"/>
      <c r="G7" s="2396"/>
    </row>
    <row r="8" spans="1:7" ht="15.75" customHeight="1" x14ac:dyDescent="0.25">
      <c r="A8" s="2397" t="s">
        <v>2019</v>
      </c>
      <c r="B8" s="2398"/>
      <c r="C8" s="2398"/>
      <c r="D8" s="2398"/>
      <c r="E8" s="2398"/>
      <c r="F8" s="2398"/>
      <c r="G8" s="2399"/>
    </row>
    <row r="9" spans="1:7" ht="35.25" customHeight="1" x14ac:dyDescent="0.25">
      <c r="A9" s="2394" t="s">
        <v>2018</v>
      </c>
      <c r="B9" s="2395"/>
      <c r="C9" s="2395"/>
      <c r="D9" s="2395"/>
      <c r="E9" s="2395"/>
      <c r="F9" s="2395"/>
      <c r="G9" s="2396"/>
    </row>
    <row r="10" spans="1:7" ht="15" customHeight="1" x14ac:dyDescent="0.25">
      <c r="A10" s="1556" t="s">
        <v>1922</v>
      </c>
      <c r="B10" s="1557"/>
      <c r="C10" s="1557"/>
      <c r="D10" s="1557"/>
      <c r="E10" s="1557"/>
      <c r="F10" s="1557"/>
      <c r="G10" s="1558"/>
    </row>
    <row r="11" spans="1:7" ht="17.25" customHeight="1" x14ac:dyDescent="0.25">
      <c r="A11" s="2394" t="s">
        <v>1936</v>
      </c>
      <c r="B11" s="2395"/>
      <c r="C11" s="2395"/>
      <c r="D11" s="2395"/>
      <c r="E11" s="2395"/>
      <c r="F11" s="2395"/>
      <c r="G11" s="2396"/>
    </row>
    <row r="12" spans="1:7" ht="15" customHeight="1" x14ac:dyDescent="0.25">
      <c r="A12" s="1556" t="s">
        <v>1927</v>
      </c>
      <c r="B12" s="1557"/>
      <c r="C12" s="1557"/>
      <c r="D12" s="1557"/>
      <c r="E12" s="1557"/>
      <c r="F12" s="1557"/>
      <c r="G12" s="1558"/>
    </row>
    <row r="13" spans="1:7" ht="32.25" customHeight="1" x14ac:dyDescent="0.25">
      <c r="A13" s="2385" t="s">
        <v>1928</v>
      </c>
      <c r="B13" s="2386"/>
      <c r="C13" s="2386"/>
      <c r="D13" s="2386"/>
      <c r="E13" s="2386"/>
      <c r="F13" s="2386"/>
      <c r="G13" s="2387"/>
    </row>
    <row r="14" spans="1:7" x14ac:dyDescent="0.25">
      <c r="A14" s="1680" t="s">
        <v>1937</v>
      </c>
      <c r="B14" s="1681"/>
      <c r="C14" s="1681"/>
      <c r="D14" s="1681"/>
      <c r="E14" s="1681"/>
      <c r="F14" s="1681"/>
      <c r="G14" s="1682"/>
    </row>
    <row r="15" spans="1:7" ht="61.5" customHeight="1" x14ac:dyDescent="0.25">
      <c r="A15" s="1565" t="s">
        <v>1929</v>
      </c>
      <c r="B15" s="1565" t="s">
        <v>1930</v>
      </c>
      <c r="C15" s="1565" t="s">
        <v>1931</v>
      </c>
      <c r="D15" s="1566" t="s">
        <v>1932</v>
      </c>
      <c r="E15" s="1566" t="s">
        <v>1923</v>
      </c>
      <c r="F15" s="1566" t="s">
        <v>1933</v>
      </c>
      <c r="G15" s="1566" t="s">
        <v>1934</v>
      </c>
    </row>
    <row r="16" spans="1:7" x14ac:dyDescent="0.25">
      <c r="A16" s="1667" t="s">
        <v>1938</v>
      </c>
      <c r="B16" s="1668" t="s">
        <v>1926</v>
      </c>
      <c r="C16" s="1669" t="s">
        <v>1924</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56" t="s">
        <v>2208</v>
      </c>
      <c r="B17" s="2057" t="s">
        <v>1926</v>
      </c>
      <c r="C17" s="2058" t="s">
        <v>2209</v>
      </c>
      <c r="D17" s="1864">
        <v>30577</v>
      </c>
      <c r="E17" s="1559">
        <f t="shared" ref="E17:E141" si="1">IF(D17&lt;=25000,D17,IF(D17&gt;25000,25000,0))</f>
        <v>25000</v>
      </c>
      <c r="F17" s="1812">
        <f t="shared" si="0"/>
        <v>25000</v>
      </c>
      <c r="G17" s="1813">
        <f>IF(F17=0,0,D17-F17)</f>
        <v>5577</v>
      </c>
      <c r="H17" s="1666"/>
    </row>
    <row r="18" spans="1:8" x14ac:dyDescent="0.25">
      <c r="A18" s="2056" t="s">
        <v>2208</v>
      </c>
      <c r="B18" s="2057" t="s">
        <v>1926</v>
      </c>
      <c r="C18" s="2058" t="s">
        <v>2210</v>
      </c>
      <c r="D18" s="1864">
        <v>650</v>
      </c>
      <c r="E18" s="1559">
        <f t="shared" ref="E18:E140" si="2">IF(D18&lt;=25000,D18,IF(D18&gt;25000,25000,0))</f>
        <v>650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650</v>
      </c>
      <c r="G18" s="1813">
        <f t="shared" ref="G18:G140" si="4">IF(F18=0,0,D18-F18)</f>
        <v>0</v>
      </c>
    </row>
    <row r="19" spans="1:8" hidden="1" x14ac:dyDescent="0.25">
      <c r="A19" s="2056"/>
      <c r="B19" s="2057"/>
      <c r="C19" s="2058"/>
      <c r="D19" s="1864"/>
      <c r="E19" s="1559">
        <f t="shared" si="2"/>
        <v>0</v>
      </c>
      <c r="F19" s="1812">
        <f t="shared" si="3"/>
        <v>0</v>
      </c>
      <c r="G19" s="1813">
        <f t="shared" si="4"/>
        <v>0</v>
      </c>
    </row>
    <row r="20" spans="1:8" ht="14.25" hidden="1" customHeight="1" x14ac:dyDescent="0.25">
      <c r="A20" s="1672"/>
      <c r="B20" s="1865"/>
      <c r="C20" s="1675"/>
      <c r="D20" s="1864"/>
      <c r="E20" s="1559">
        <f t="shared" si="2"/>
        <v>0</v>
      </c>
      <c r="F20" s="1812">
        <f t="shared" si="3"/>
        <v>0</v>
      </c>
      <c r="G20" s="1813">
        <f t="shared" si="4"/>
        <v>0</v>
      </c>
    </row>
    <row r="21" spans="1:8" hidden="1" x14ac:dyDescent="0.25">
      <c r="A21" s="1672"/>
      <c r="B21" s="1865"/>
      <c r="C21" s="1675"/>
      <c r="D21" s="1864"/>
      <c r="E21" s="1559">
        <f t="shared" si="2"/>
        <v>0</v>
      </c>
      <c r="F21" s="1812">
        <f t="shared" si="3"/>
        <v>0</v>
      </c>
      <c r="G21" s="1813">
        <f t="shared" si="4"/>
        <v>0</v>
      </c>
    </row>
    <row r="22" spans="1:8" hidden="1" x14ac:dyDescent="0.25">
      <c r="A22" s="1672"/>
      <c r="B22" s="1865"/>
      <c r="C22" s="1675"/>
      <c r="D22" s="1864"/>
      <c r="E22" s="1559">
        <f t="shared" si="2"/>
        <v>0</v>
      </c>
      <c r="F22" s="1812">
        <f t="shared" si="3"/>
        <v>0</v>
      </c>
      <c r="G22" s="1813">
        <f t="shared" si="4"/>
        <v>0</v>
      </c>
    </row>
    <row r="23" spans="1:8" hidden="1" x14ac:dyDescent="0.25">
      <c r="A23" s="1672"/>
      <c r="B23" s="1865"/>
      <c r="C23" s="1675"/>
      <c r="D23" s="1864"/>
      <c r="E23" s="1559">
        <f t="shared" si="2"/>
        <v>0</v>
      </c>
      <c r="F23" s="1812">
        <f t="shared" si="3"/>
        <v>0</v>
      </c>
      <c r="G23" s="1813">
        <f t="shared" si="4"/>
        <v>0</v>
      </c>
    </row>
    <row r="24" spans="1:8" hidden="1" x14ac:dyDescent="0.25">
      <c r="A24" s="1672"/>
      <c r="B24" s="1866"/>
      <c r="C24" s="1675"/>
      <c r="D24" s="1864"/>
      <c r="E24" s="1559">
        <f t="shared" si="2"/>
        <v>0</v>
      </c>
      <c r="F24" s="1812">
        <f t="shared" si="3"/>
        <v>0</v>
      </c>
      <c r="G24" s="1813">
        <f t="shared" si="4"/>
        <v>0</v>
      </c>
    </row>
    <row r="25" spans="1:8" hidden="1" x14ac:dyDescent="0.25">
      <c r="A25" s="1672"/>
      <c r="B25" s="1865"/>
      <c r="C25" s="1675"/>
      <c r="D25" s="1864"/>
      <c r="E25" s="1559">
        <f t="shared" si="2"/>
        <v>0</v>
      </c>
      <c r="F25" s="1812">
        <f t="shared" si="3"/>
        <v>0</v>
      </c>
      <c r="G25" s="1813">
        <f t="shared" si="4"/>
        <v>0</v>
      </c>
    </row>
    <row r="26" spans="1:8" hidden="1" x14ac:dyDescent="0.25">
      <c r="A26" s="1672"/>
      <c r="B26" s="1866"/>
      <c r="C26" s="1673"/>
      <c r="D26" s="1864"/>
      <c r="E26" s="1559">
        <f t="shared" si="2"/>
        <v>0</v>
      </c>
      <c r="F26" s="1812">
        <f t="shared" si="3"/>
        <v>0</v>
      </c>
      <c r="G26" s="1813">
        <f t="shared" si="4"/>
        <v>0</v>
      </c>
    </row>
    <row r="27" spans="1:8" hidden="1" x14ac:dyDescent="0.25">
      <c r="A27" s="1672"/>
      <c r="B27" s="1866"/>
      <c r="C27" s="1673"/>
      <c r="D27" s="1864"/>
      <c r="E27" s="1559">
        <f t="shared" si="2"/>
        <v>0</v>
      </c>
      <c r="F27" s="1812">
        <f t="shared" si="3"/>
        <v>0</v>
      </c>
      <c r="G27" s="1813">
        <f t="shared" si="4"/>
        <v>0</v>
      </c>
    </row>
    <row r="28" spans="1:8" hidden="1" x14ac:dyDescent="0.25">
      <c r="A28" s="1672"/>
      <c r="B28" s="1866"/>
      <c r="C28" s="1673"/>
      <c r="D28" s="1864"/>
      <c r="E28" s="1559">
        <f t="shared" si="2"/>
        <v>0</v>
      </c>
      <c r="F28" s="1812">
        <f t="shared" si="3"/>
        <v>0</v>
      </c>
      <c r="G28" s="1813">
        <f t="shared" si="4"/>
        <v>0</v>
      </c>
    </row>
    <row r="29" spans="1:8" hidden="1" x14ac:dyDescent="0.25">
      <c r="A29" s="1672"/>
      <c r="B29" s="1866"/>
      <c r="C29" s="1673"/>
      <c r="D29" s="1864"/>
      <c r="E29" s="1559">
        <f t="shared" si="2"/>
        <v>0</v>
      </c>
      <c r="F29" s="1812">
        <f t="shared" si="3"/>
        <v>0</v>
      </c>
      <c r="G29" s="1813">
        <f t="shared" si="4"/>
        <v>0</v>
      </c>
    </row>
    <row r="30" spans="1:8" hidden="1" x14ac:dyDescent="0.25">
      <c r="A30" s="1672"/>
      <c r="B30" s="1866"/>
      <c r="C30" s="1673"/>
      <c r="D30" s="1864"/>
      <c r="E30" s="1559">
        <f t="shared" si="2"/>
        <v>0</v>
      </c>
      <c r="F30" s="1812">
        <f t="shared" si="3"/>
        <v>0</v>
      </c>
      <c r="G30" s="1813">
        <f t="shared" si="4"/>
        <v>0</v>
      </c>
    </row>
    <row r="31" spans="1:8" hidden="1" x14ac:dyDescent="0.25">
      <c r="A31" s="1672"/>
      <c r="B31" s="1866"/>
      <c r="C31" s="1673"/>
      <c r="D31" s="1864"/>
      <c r="E31" s="1559">
        <f t="shared" si="2"/>
        <v>0</v>
      </c>
      <c r="F31" s="1812">
        <f t="shared" si="3"/>
        <v>0</v>
      </c>
      <c r="G31" s="1813">
        <f t="shared" si="4"/>
        <v>0</v>
      </c>
    </row>
    <row r="32" spans="1:8" hidden="1" x14ac:dyDescent="0.25">
      <c r="A32" s="1672"/>
      <c r="B32" s="1866"/>
      <c r="C32" s="1673"/>
      <c r="D32" s="1864"/>
      <c r="E32" s="1559">
        <f t="shared" si="2"/>
        <v>0</v>
      </c>
      <c r="F32" s="1812">
        <f t="shared" si="3"/>
        <v>0</v>
      </c>
      <c r="G32" s="1813">
        <f t="shared" si="4"/>
        <v>0</v>
      </c>
    </row>
    <row r="33" spans="1:7" hidden="1" x14ac:dyDescent="0.25">
      <c r="A33" s="1672"/>
      <c r="B33" s="1866"/>
      <c r="C33" s="1673"/>
      <c r="D33" s="1864"/>
      <c r="E33" s="1559">
        <f t="shared" si="2"/>
        <v>0</v>
      </c>
      <c r="F33" s="1812">
        <f t="shared" si="3"/>
        <v>0</v>
      </c>
      <c r="G33" s="1813">
        <f t="shared" si="4"/>
        <v>0</v>
      </c>
    </row>
    <row r="34" spans="1:7" hidden="1" x14ac:dyDescent="0.25">
      <c r="A34" s="1672"/>
      <c r="B34" s="1866"/>
      <c r="C34" s="1673"/>
      <c r="D34" s="1864"/>
      <c r="E34" s="1559">
        <f t="shared" si="2"/>
        <v>0</v>
      </c>
      <c r="F34" s="1812">
        <f t="shared" si="3"/>
        <v>0</v>
      </c>
      <c r="G34" s="1813">
        <f t="shared" si="4"/>
        <v>0</v>
      </c>
    </row>
    <row r="35" spans="1:7" hidden="1" x14ac:dyDescent="0.25">
      <c r="A35" s="1672"/>
      <c r="B35" s="1866"/>
      <c r="C35" s="1673"/>
      <c r="D35" s="1864"/>
      <c r="E35" s="1559">
        <f t="shared" si="2"/>
        <v>0</v>
      </c>
      <c r="F35" s="1812">
        <f t="shared" si="3"/>
        <v>0</v>
      </c>
      <c r="G35" s="1813">
        <f t="shared" si="4"/>
        <v>0</v>
      </c>
    </row>
    <row r="36" spans="1:7" hidden="1" x14ac:dyDescent="0.25">
      <c r="A36" s="1672"/>
      <c r="B36" s="1866"/>
      <c r="C36" s="1673"/>
      <c r="D36" s="1864"/>
      <c r="E36" s="1559">
        <f t="shared" si="2"/>
        <v>0</v>
      </c>
      <c r="F36" s="1812">
        <f t="shared" si="3"/>
        <v>0</v>
      </c>
      <c r="G36" s="1813">
        <f t="shared" si="4"/>
        <v>0</v>
      </c>
    </row>
    <row r="37" spans="1:7" hidden="1" x14ac:dyDescent="0.25">
      <c r="A37" s="1672"/>
      <c r="B37" s="186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31227</v>
      </c>
      <c r="E141" s="1560">
        <f t="shared" si="1"/>
        <v>25000</v>
      </c>
      <c r="F141" s="1814">
        <f>SUM(F17:F140)</f>
        <v>25650</v>
      </c>
      <c r="G141" s="1815">
        <f>SUM(G17:G140)</f>
        <v>5577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1176</v>
      </c>
      <c r="B1" s="1654"/>
      <c r="C1" s="1655"/>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400" t="s">
        <v>1777</v>
      </c>
      <c r="B5" s="2401"/>
      <c r="C5" s="2401"/>
      <c r="D5" s="2401"/>
      <c r="E5" s="2401"/>
      <c r="F5" s="2401"/>
      <c r="G5" s="2402"/>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v>501907</v>
      </c>
      <c r="F10" s="973"/>
      <c r="G10" s="974"/>
      <c r="H10" s="162"/>
      <c r="I10" s="162"/>
    </row>
    <row r="11" spans="1:9" s="667" customFormat="1" ht="22.5" customHeight="1" x14ac:dyDescent="0.2">
      <c r="A11" s="2405" t="s">
        <v>1940</v>
      </c>
      <c r="B11" s="2406"/>
      <c r="C11" s="2406"/>
      <c r="D11" s="2407"/>
      <c r="E11" s="976">
        <v>125986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7" t="s">
        <v>552</v>
      </c>
      <c r="E17" s="1658"/>
      <c r="F17" s="1657" t="s">
        <v>452</v>
      </c>
      <c r="G17" s="1659"/>
      <c r="H17" s="162"/>
      <c r="I17" s="162"/>
    </row>
    <row r="18" spans="1:9" s="259" customFormat="1" ht="11.25" x14ac:dyDescent="0.2">
      <c r="A18" s="987"/>
      <c r="C18" s="988" t="s">
        <v>453</v>
      </c>
      <c r="D18" s="1660" t="s">
        <v>454</v>
      </c>
      <c r="E18" s="1660" t="s">
        <v>55</v>
      </c>
      <c r="F18" s="1660" t="s">
        <v>454</v>
      </c>
      <c r="G18" s="1660" t="s">
        <v>55</v>
      </c>
      <c r="H18" s="178"/>
      <c r="I18" s="178"/>
    </row>
    <row r="19" spans="1:9" s="667" customFormat="1" ht="12" customHeight="1" x14ac:dyDescent="0.2">
      <c r="A19" s="989" t="s">
        <v>475</v>
      </c>
      <c r="B19" s="990"/>
      <c r="C19" s="991" t="s">
        <v>590</v>
      </c>
      <c r="D19" s="1819"/>
      <c r="E19" s="1820">
        <f>'Expenditures 15-22'!K33-SUM('Expenditures 15-22'!G33,'Expenditures 15-22'!I33)+'Expenditures 15-22'!D229</f>
        <v>21899909</v>
      </c>
      <c r="F19" s="1819"/>
      <c r="G19" s="1821">
        <f>'Expenditures 15-22'!K33-SUM('Expenditures 15-22'!G33,'Expenditures 15-22'!I33)+'Expenditures 15-22'!D229</f>
        <v>21899909</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420</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1849248</v>
      </c>
      <c r="F21" s="1822"/>
      <c r="G21" s="1825">
        <f>'Expenditures 15-22'!K42-SUM('Expenditures 15-22'!G42,'Expenditures 15-22'!I42)+'Expenditures 15-22'!K120-SUM('Expenditures 15-22'!G120,'Expenditures 15-22'!I120)+'Expenditures 15-22'!K180-SUM('Expenditures 15-22'!G180,'Expenditures 15-22'!I180)+'Expenditures 15-22'!D238</f>
        <v>1849248</v>
      </c>
      <c r="H21" s="986"/>
      <c r="I21" s="162"/>
    </row>
    <row r="22" spans="1:9" s="667" customFormat="1" ht="12" customHeight="1" x14ac:dyDescent="0.2">
      <c r="A22" s="993" t="s">
        <v>584</v>
      </c>
      <c r="B22" s="994"/>
      <c r="C22" s="992">
        <v>2200</v>
      </c>
      <c r="D22" s="1822"/>
      <c r="E22" s="1824">
        <f>'Expenditures 15-22'!K47-SUM('Expenditures 15-22'!G47,'Expenditures 15-22'!I47)+'Expenditures 15-22'!D243</f>
        <v>627079</v>
      </c>
      <c r="F22" s="1822"/>
      <c r="G22" s="1825">
        <f>'Expenditures 15-22'!K47-SUM('Expenditures 15-22'!G47,'Expenditures 15-22'!I47)+'Expenditures 15-22'!D243</f>
        <v>627079</v>
      </c>
      <c r="H22" s="986"/>
      <c r="I22" s="162"/>
    </row>
    <row r="23" spans="1:9" s="667" customFormat="1" ht="12" customHeight="1" x14ac:dyDescent="0.2">
      <c r="A23" s="993" t="s">
        <v>585</v>
      </c>
      <c r="B23" s="994"/>
      <c r="C23" s="992">
        <v>2300</v>
      </c>
      <c r="D23" s="1822"/>
      <c r="E23" s="1824">
        <f>'Expenditures 15-22'!K53-SUM('Expenditures 15-22'!G53,'Expenditures 15-22'!I53)+'Expenditures 15-22'!D257+'Expenditures 15-22'!K330-SUM('Expenditures 15-22'!G330,'Expenditures 15-22'!I330)</f>
        <v>1414513</v>
      </c>
      <c r="F23" s="1822"/>
      <c r="G23" s="1824">
        <f>'Expenditures 15-22'!K53-SUM('Expenditures 15-22'!G53,'Expenditures 15-22'!I53)+'Expenditures 15-22'!D257+'Expenditures 15-22'!K330-SUM('Expenditures 15-22'!G330,'Expenditures 15-22'!I330)</f>
        <v>1414513</v>
      </c>
      <c r="H23" s="986"/>
      <c r="I23" s="162"/>
    </row>
    <row r="24" spans="1:9" s="667" customFormat="1" ht="12" customHeight="1" x14ac:dyDescent="0.2">
      <c r="A24" s="993" t="s">
        <v>586</v>
      </c>
      <c r="B24" s="994"/>
      <c r="C24" s="992">
        <v>2400</v>
      </c>
      <c r="D24" s="1822"/>
      <c r="E24" s="1824">
        <f>'Expenditures 15-22'!K57-SUM('Expenditures 15-22'!G57,'Expenditures 15-22'!I57)+'Expenditures 15-22'!D261</f>
        <v>2294997</v>
      </c>
      <c r="F24" s="1822"/>
      <c r="G24" s="1825">
        <f>'Expenditures 15-22'!K57-SUM('Expenditures 15-22'!G57,'Expenditures 15-22'!I57)+'Expenditures 15-22'!D261</f>
        <v>2294997</v>
      </c>
      <c r="H24" s="986"/>
      <c r="I24" s="162"/>
    </row>
    <row r="25" spans="1:9" s="667" customFormat="1" ht="12" customHeight="1" x14ac:dyDescent="0.2">
      <c r="A25" s="989" t="s">
        <v>587</v>
      </c>
      <c r="B25" s="995"/>
      <c r="C25" s="992"/>
      <c r="D25" s="1822"/>
      <c r="E25" s="1824"/>
      <c r="F25" s="1822"/>
      <c r="G25" s="1825"/>
      <c r="H25" s="986"/>
      <c r="I25" s="162"/>
    </row>
    <row r="26" spans="1:9" s="667" customFormat="1" ht="12" customHeight="1" x14ac:dyDescent="0.2">
      <c r="A26" s="993" t="s">
        <v>535</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482</v>
      </c>
      <c r="B27" s="996"/>
      <c r="C27" s="992">
        <v>2520</v>
      </c>
      <c r="D27" s="1824">
        <f>'Expenditures 15-22'!K60-SUM('Expenditures 15-22'!G60,'Expenditures 15-22'!I60)+'Expenditures 15-22'!D264-E8</f>
        <v>262680</v>
      </c>
      <c r="E27" s="1824">
        <f>E8</f>
        <v>0</v>
      </c>
      <c r="F27" s="1824">
        <f>'Expenditures 15-22'!K60-SUM('Expenditures 15-22'!G60,'Expenditures 15-22'!I60)+'Expenditures 15-22'!D264-E8</f>
        <v>262680</v>
      </c>
      <c r="G27" s="1825">
        <f>E8</f>
        <v>0</v>
      </c>
      <c r="H27" s="986"/>
      <c r="I27" s="162"/>
    </row>
    <row r="28" spans="1:9" s="667" customFormat="1" ht="12" customHeight="1" x14ac:dyDescent="0.2">
      <c r="A28" s="993" t="s">
        <v>536</v>
      </c>
      <c r="B28" s="996"/>
      <c r="C28" s="992">
        <v>2540</v>
      </c>
      <c r="D28" s="1826"/>
      <c r="E28" s="1824">
        <f>'Expenditures 15-22'!K61-SUM('Expenditures 15-22'!G61,'Expenditures 15-22'!I61)+'Expenditures 15-22'!K124-SUM('Expenditures 15-22'!G124,'Expenditures 15-22'!I124)+'Expenditures 15-22'!D266</f>
        <v>3676760</v>
      </c>
      <c r="F28" s="1826">
        <f>'Expenditures 15-22'!K61-SUM('Expenditures 15-22'!G61,'Expenditures 15-22'!I61)+'Expenditures 15-22'!K124-SUM('Expenditures 15-22'!G124,'Expenditures 15-22'!I124)+'Expenditures 15-22'!D266-E9</f>
        <v>3676760</v>
      </c>
      <c r="G28" s="1825">
        <f>E9</f>
        <v>0</v>
      </c>
      <c r="H28" s="986"/>
      <c r="I28" s="162"/>
    </row>
    <row r="29" spans="1:9" ht="12" customHeight="1" x14ac:dyDescent="0.2">
      <c r="A29" s="993" t="s">
        <v>537</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2063125</v>
      </c>
      <c r="F29" s="1822"/>
      <c r="G29" s="1825">
        <f>'Expenditures 15-22'!K62-SUM('Expenditures 15-22'!G62,'Expenditures 15-22'!I62)+'Expenditures 15-22'!K125-SUM('Expenditures 15-22'!G125,'Expenditures 15-22'!I125)+'Expenditures 15-22'!K182-SUM('Expenditures 15-22'!G182,'Expenditures 15-22'!I182)+'Expenditures 15-22'!D267</f>
        <v>2063125</v>
      </c>
      <c r="H29" s="984"/>
    </row>
    <row r="30" spans="1:9" ht="12" customHeight="1" x14ac:dyDescent="0.2">
      <c r="A30" s="993" t="s">
        <v>102</v>
      </c>
      <c r="B30" s="996"/>
      <c r="C30" s="992">
        <v>2560</v>
      </c>
      <c r="D30" s="1822"/>
      <c r="E30" s="1824">
        <f>'Expenditures 15-22'!K63-SUM('Expenditures 15-22'!G63,'Expenditures 15-22'!I63)+'Expenditures 15-22'!D268-E10</f>
        <v>757921</v>
      </c>
      <c r="F30" s="1822"/>
      <c r="G30" s="1824">
        <f>'Expenditures 15-22'!K63-SUM('Expenditures 15-22'!G63,'Expenditures 15-22'!I63)+'Expenditures 15-22'!D268-E10</f>
        <v>757921</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538</v>
      </c>
      <c r="B32" s="995"/>
      <c r="C32" s="992"/>
      <c r="D32" s="1822"/>
      <c r="E32" s="1822"/>
      <c r="F32" s="1822"/>
      <c r="G32" s="1822"/>
    </row>
    <row r="33" spans="1:7" ht="12" customHeight="1" x14ac:dyDescent="0.2">
      <c r="A33" s="993" t="s">
        <v>539</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540</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1120</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422</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423</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541</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796397</v>
      </c>
      <c r="F38" s="1822"/>
      <c r="G38" s="1824">
        <f>'Expenditures 15-22'!K73-SUM('Expenditures 15-22'!G73,'Expenditures 15-22'!I73)+'Expenditures 15-22'!K128-SUM('Expenditures 15-22'!G128,'Expenditures 15-22'!I128)+'Expenditures 15-22'!K183-SUM('Expenditures 15-22'!G183,'Expenditures 15-22'!I183)+'Expenditures 15-22'!D278</f>
        <v>796397</v>
      </c>
    </row>
    <row r="39" spans="1:7" ht="12" customHeight="1" x14ac:dyDescent="0.2">
      <c r="A39" s="989" t="s">
        <v>468</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17700</v>
      </c>
      <c r="F39" s="1822"/>
      <c r="G39" s="1824">
        <f>'Expenditures 15-22'!K75-SUM('Expenditures 15-22'!G75,'Expenditures 15-22'!I75)+'Expenditures 15-22'!K130-SUM('Expenditures 15-22'!G130,'Expenditures 15-22'!I130)+'Expenditures 15-22'!K185-SUM('Expenditures 15-22'!G185,'Expenditures 15-22'!I185)+'Expenditures 15-22'!D280</f>
        <v>17700</v>
      </c>
    </row>
    <row r="40" spans="1:7" ht="12" customHeight="1" x14ac:dyDescent="0.2">
      <c r="A40" s="989" t="s">
        <v>1925</v>
      </c>
      <c r="B40" s="990"/>
      <c r="C40" s="992"/>
      <c r="D40" s="1822"/>
      <c r="E40" s="1826">
        <f>-'Contracts Paid in CY 29'!G141</f>
        <v>-5577</v>
      </c>
      <c r="F40" s="1822"/>
      <c r="G40" s="1826">
        <f>-'Contracts Paid in CY 29'!G141</f>
        <v>-5577</v>
      </c>
    </row>
    <row r="41" spans="1:7" ht="12" customHeight="1" x14ac:dyDescent="0.2">
      <c r="A41" s="997" t="s">
        <v>158</v>
      </c>
      <c r="B41" s="998"/>
      <c r="C41" s="999"/>
      <c r="D41" s="1826">
        <f>SUM(D19:D39)</f>
        <v>262680</v>
      </c>
      <c r="E41" s="1826">
        <f>SUM(E19:E40)</f>
        <v>35392072</v>
      </c>
      <c r="F41" s="1826">
        <f>SUM(F19:F39)</f>
        <v>3939440</v>
      </c>
      <c r="G41" s="1826">
        <f>SUM(G19:G40)</f>
        <v>31715312</v>
      </c>
    </row>
    <row r="42" spans="1:7" x14ac:dyDescent="0.2">
      <c r="A42" s="986"/>
      <c r="B42" s="162"/>
      <c r="C42" s="1000"/>
      <c r="D42" s="2403" t="s">
        <v>542</v>
      </c>
      <c r="E42" s="2404"/>
      <c r="F42" s="1001" t="s">
        <v>543</v>
      </c>
      <c r="G42" s="1002"/>
    </row>
    <row r="43" spans="1:7" ht="12" customHeight="1" x14ac:dyDescent="0.2">
      <c r="A43" s="986"/>
      <c r="B43" s="162"/>
      <c r="C43" s="1000"/>
      <c r="D43" s="1827" t="s">
        <v>492</v>
      </c>
      <c r="E43" s="1828">
        <f>D41</f>
        <v>262680</v>
      </c>
      <c r="F43" s="1827" t="s">
        <v>494</v>
      </c>
      <c r="G43" s="1828">
        <f>F41</f>
        <v>3939440</v>
      </c>
    </row>
    <row r="44" spans="1:7" ht="12" customHeight="1" x14ac:dyDescent="0.2">
      <c r="A44" s="986"/>
      <c r="B44" s="162"/>
      <c r="C44" s="1000"/>
      <c r="D44" s="1827" t="s">
        <v>493</v>
      </c>
      <c r="E44" s="1828">
        <f>E41</f>
        <v>35392072</v>
      </c>
      <c r="F44" s="1827" t="s">
        <v>493</v>
      </c>
      <c r="G44" s="1828">
        <f>G41</f>
        <v>31715312</v>
      </c>
    </row>
    <row r="45" spans="1:7" ht="12" customHeight="1" x14ac:dyDescent="0.2">
      <c r="A45" s="986"/>
      <c r="B45" s="162"/>
      <c r="C45" s="162"/>
      <c r="D45" s="1829" t="s">
        <v>1062</v>
      </c>
      <c r="E45" s="1830">
        <f>(E43/E44)</f>
        <v>7.4220011758565595E-3</v>
      </c>
      <c r="F45" s="1829" t="s">
        <v>1062</v>
      </c>
      <c r="G45" s="1830">
        <f>(G43/G44)</f>
        <v>0.12421255701347034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D23" sqref="AD23"/>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422" t="s">
        <v>1445</v>
      </c>
      <c r="B1" s="2422"/>
      <c r="C1" s="2422"/>
      <c r="D1" s="2422"/>
      <c r="E1" s="2422"/>
      <c r="F1" s="2422"/>
    </row>
    <row r="2" spans="1:10" x14ac:dyDescent="0.2">
      <c r="A2" s="1909" t="s">
        <v>2043</v>
      </c>
      <c r="B2" s="1870"/>
      <c r="C2" s="1909"/>
      <c r="D2" s="1870"/>
      <c r="E2" s="1870"/>
      <c r="F2" s="1871"/>
    </row>
    <row r="3" spans="1:10" x14ac:dyDescent="0.2">
      <c r="A3" s="1909" t="s">
        <v>1699</v>
      </c>
      <c r="B3" s="1870"/>
      <c r="C3" s="1909"/>
      <c r="D3" s="1870"/>
      <c r="E3" s="1870"/>
      <c r="F3" s="1871"/>
    </row>
    <row r="4" spans="1:10" ht="3.75" customHeight="1" x14ac:dyDescent="0.2">
      <c r="A4" s="1870"/>
      <c r="B4" s="1870"/>
      <c r="C4" s="1870"/>
      <c r="D4" s="1870"/>
      <c r="E4" s="1870"/>
      <c r="F4" s="1871"/>
    </row>
    <row r="5" spans="1:10" ht="15" x14ac:dyDescent="0.25">
      <c r="A5" s="2423" t="s">
        <v>1626</v>
      </c>
      <c r="B5" s="2424"/>
      <c r="C5" s="2425"/>
      <c r="D5" s="2425"/>
      <c r="E5" s="2425"/>
      <c r="F5" s="2425"/>
    </row>
    <row r="6" spans="1:10" ht="12" customHeight="1" x14ac:dyDescent="0.25">
      <c r="A6" s="1872"/>
      <c r="B6" s="1873"/>
      <c r="C6" s="2426" t="str">
        <f>COVER!A17</f>
        <v>Dunlap CUSD 323</v>
      </c>
      <c r="D6" s="2426"/>
      <c r="E6" s="2426"/>
      <c r="F6" s="1874"/>
    </row>
    <row r="7" spans="1:10" ht="11.25" customHeight="1" thickBot="1" x14ac:dyDescent="0.3">
      <c r="A7" s="1872"/>
      <c r="B7" s="1873"/>
      <c r="C7" s="2427">
        <f>COVER!A13</f>
        <v>48072323026</v>
      </c>
      <c r="D7" s="2427"/>
      <c r="E7" s="2427"/>
      <c r="F7" s="1874"/>
    </row>
    <row r="8" spans="1:10" ht="25.5" customHeight="1" thickBot="1" x14ac:dyDescent="0.25">
      <c r="A8" s="1915" t="s">
        <v>2020</v>
      </c>
      <c r="B8" s="1875"/>
      <c r="C8" s="1911" t="s">
        <v>1779</v>
      </c>
      <c r="D8" s="1910" t="s">
        <v>1780</v>
      </c>
      <c r="E8" s="1912" t="s">
        <v>1446</v>
      </c>
      <c r="F8" s="1910" t="s">
        <v>1781</v>
      </c>
      <c r="H8" s="1876" t="b">
        <v>0</v>
      </c>
    </row>
    <row r="9" spans="1:10" ht="15.75" customHeight="1" x14ac:dyDescent="0.2">
      <c r="A9" s="1877" t="s">
        <v>1622</v>
      </c>
      <c r="B9" s="1878"/>
      <c r="C9" s="1879"/>
      <c r="D9" s="1879"/>
      <c r="E9" s="1880"/>
      <c r="F9" s="1881"/>
    </row>
    <row r="10" spans="1:10" ht="27.75" customHeight="1" x14ac:dyDescent="0.2">
      <c r="A10" s="1882" t="s">
        <v>1778</v>
      </c>
      <c r="B10" s="1883"/>
      <c r="C10" s="1884"/>
      <c r="D10" s="1884"/>
      <c r="E10" s="1913" t="s">
        <v>1447</v>
      </c>
      <c r="F10" s="1914" t="s">
        <v>1448</v>
      </c>
    </row>
    <row r="11" spans="1:10" ht="12" customHeight="1" x14ac:dyDescent="0.2">
      <c r="A11" s="1885" t="s">
        <v>1449</v>
      </c>
      <c r="B11" s="1886"/>
      <c r="C11" s="1887"/>
      <c r="D11" s="1887"/>
      <c r="E11" s="1888"/>
      <c r="F11" s="1889"/>
      <c r="H11" s="1900">
        <f>IF(C11="X",5,0)</f>
        <v>0</v>
      </c>
      <c r="I11" s="1900">
        <f>IF(D11="X",5,0)</f>
        <v>0</v>
      </c>
      <c r="J11" s="1900">
        <f>IF(E11="X",5,0)</f>
        <v>0</v>
      </c>
    </row>
    <row r="12" spans="1:10" ht="12" customHeight="1" x14ac:dyDescent="0.2">
      <c r="A12" s="1885" t="s">
        <v>1450</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1451</v>
      </c>
      <c r="B13" s="1886"/>
      <c r="C13" s="1887"/>
      <c r="D13" s="1887"/>
      <c r="E13" s="1890"/>
      <c r="F13" s="1889"/>
      <c r="H13" s="1900">
        <f t="shared" si="0"/>
        <v>0</v>
      </c>
      <c r="I13" s="1900">
        <f t="shared" si="1"/>
        <v>0</v>
      </c>
      <c r="J13" s="1900">
        <f t="shared" si="2"/>
        <v>0</v>
      </c>
    </row>
    <row r="14" spans="1:10" ht="12" customHeight="1" x14ac:dyDescent="0.2">
      <c r="A14" s="1885" t="s">
        <v>1452</v>
      </c>
      <c r="B14" s="1886"/>
      <c r="C14" s="1887"/>
      <c r="D14" s="1887"/>
      <c r="E14" s="1890"/>
      <c r="F14" s="1889"/>
      <c r="H14" s="1900">
        <f t="shared" si="0"/>
        <v>0</v>
      </c>
      <c r="I14" s="1900">
        <f t="shared" si="1"/>
        <v>0</v>
      </c>
      <c r="J14" s="1900">
        <f t="shared" si="2"/>
        <v>0</v>
      </c>
    </row>
    <row r="15" spans="1:10" ht="12" customHeight="1" x14ac:dyDescent="0.2">
      <c r="A15" s="1885" t="s">
        <v>1453</v>
      </c>
      <c r="B15" s="1886"/>
      <c r="C15" s="1887"/>
      <c r="D15" s="1887"/>
      <c r="E15" s="1890"/>
      <c r="F15" s="1889"/>
      <c r="H15" s="1900">
        <f t="shared" si="0"/>
        <v>0</v>
      </c>
      <c r="I15" s="1900">
        <f t="shared" si="1"/>
        <v>0</v>
      </c>
      <c r="J15" s="1900">
        <f t="shared" si="2"/>
        <v>0</v>
      </c>
    </row>
    <row r="16" spans="1:10" ht="12" customHeight="1" x14ac:dyDescent="0.2">
      <c r="A16" s="1885" t="s">
        <v>1454</v>
      </c>
      <c r="B16" s="1886"/>
      <c r="C16" s="1887"/>
      <c r="D16" s="1887"/>
      <c r="E16" s="1890"/>
      <c r="F16" s="1889"/>
      <c r="H16" s="1900">
        <f t="shared" si="0"/>
        <v>0</v>
      </c>
      <c r="I16" s="1900">
        <f t="shared" si="1"/>
        <v>0</v>
      </c>
      <c r="J16" s="1900">
        <f t="shared" si="2"/>
        <v>0</v>
      </c>
    </row>
    <row r="17" spans="1:12" ht="12" customHeight="1" x14ac:dyDescent="0.2">
      <c r="A17" s="1885" t="s">
        <v>1455</v>
      </c>
      <c r="B17" s="1886"/>
      <c r="C17" s="1887"/>
      <c r="D17" s="1887"/>
      <c r="E17" s="1890"/>
      <c r="F17" s="1889"/>
      <c r="H17" s="1900">
        <f t="shared" si="0"/>
        <v>0</v>
      </c>
      <c r="I17" s="1900">
        <f t="shared" si="1"/>
        <v>0</v>
      </c>
      <c r="J17" s="1900">
        <f t="shared" si="2"/>
        <v>0</v>
      </c>
    </row>
    <row r="18" spans="1:12" ht="12" customHeight="1" x14ac:dyDescent="0.2">
      <c r="A18" s="1885" t="s">
        <v>1456</v>
      </c>
      <c r="B18" s="1886"/>
      <c r="C18" s="1887"/>
      <c r="D18" s="1887"/>
      <c r="E18" s="1890"/>
      <c r="F18" s="1889"/>
      <c r="H18" s="1900">
        <f t="shared" si="0"/>
        <v>0</v>
      </c>
      <c r="I18" s="1900">
        <f t="shared" si="1"/>
        <v>0</v>
      </c>
      <c r="J18" s="1900">
        <f t="shared" si="2"/>
        <v>0</v>
      </c>
    </row>
    <row r="19" spans="1:12" ht="12" customHeight="1" x14ac:dyDescent="0.2">
      <c r="A19" s="1885" t="s">
        <v>1607</v>
      </c>
      <c r="B19" s="1886"/>
      <c r="C19" s="1887" t="s">
        <v>2095</v>
      </c>
      <c r="D19" s="1887" t="s">
        <v>2095</v>
      </c>
      <c r="E19" s="1890"/>
      <c r="F19" s="1889" t="s">
        <v>2096</v>
      </c>
      <c r="H19" s="1900">
        <f t="shared" si="0"/>
        <v>5</v>
      </c>
      <c r="I19" s="1900">
        <f t="shared" si="1"/>
        <v>5</v>
      </c>
      <c r="J19" s="1900">
        <f t="shared" si="2"/>
        <v>0</v>
      </c>
    </row>
    <row r="20" spans="1:12" ht="12" customHeight="1" x14ac:dyDescent="0.2">
      <c r="A20" s="1885" t="s">
        <v>1608</v>
      </c>
      <c r="B20" s="1886"/>
      <c r="C20" s="1887"/>
      <c r="D20" s="1887"/>
      <c r="E20" s="1890"/>
      <c r="F20" s="1889"/>
      <c r="H20" s="1900">
        <f t="shared" si="0"/>
        <v>0</v>
      </c>
      <c r="I20" s="1900">
        <f t="shared" si="1"/>
        <v>0</v>
      </c>
      <c r="J20" s="1900">
        <f t="shared" si="2"/>
        <v>0</v>
      </c>
    </row>
    <row r="21" spans="1:12" ht="12" customHeight="1" x14ac:dyDescent="0.2">
      <c r="A21" s="1885" t="s">
        <v>1609</v>
      </c>
      <c r="B21" s="1886"/>
      <c r="C21" s="1887" t="s">
        <v>2095</v>
      </c>
      <c r="D21" s="1887" t="s">
        <v>2095</v>
      </c>
      <c r="E21" s="1890"/>
      <c r="F21" s="1889" t="s">
        <v>2097</v>
      </c>
      <c r="H21" s="1900">
        <f t="shared" si="0"/>
        <v>5</v>
      </c>
      <c r="I21" s="1900">
        <f t="shared" si="1"/>
        <v>5</v>
      </c>
      <c r="J21" s="1900">
        <f t="shared" si="2"/>
        <v>0</v>
      </c>
    </row>
    <row r="22" spans="1:12" ht="12" customHeight="1" x14ac:dyDescent="0.2">
      <c r="A22" s="1885" t="s">
        <v>1610</v>
      </c>
      <c r="B22" s="1886"/>
      <c r="C22" s="1887"/>
      <c r="D22" s="1887"/>
      <c r="E22" s="1890"/>
      <c r="F22" s="1889"/>
      <c r="H22" s="1900">
        <f t="shared" si="0"/>
        <v>0</v>
      </c>
      <c r="I22" s="1900">
        <f t="shared" si="1"/>
        <v>0</v>
      </c>
      <c r="J22" s="1900">
        <f t="shared" si="2"/>
        <v>0</v>
      </c>
    </row>
    <row r="23" spans="1:12" ht="12" customHeight="1" x14ac:dyDescent="0.2">
      <c r="A23" s="1885" t="s">
        <v>1611</v>
      </c>
      <c r="B23" s="1886"/>
      <c r="C23" s="1887"/>
      <c r="D23" s="1887"/>
      <c r="E23" s="1890"/>
      <c r="F23" s="1889"/>
      <c r="H23" s="1900">
        <f t="shared" si="0"/>
        <v>0</v>
      </c>
      <c r="I23" s="1900">
        <f t="shared" si="1"/>
        <v>0</v>
      </c>
      <c r="J23" s="1900">
        <f t="shared" si="2"/>
        <v>0</v>
      </c>
    </row>
    <row r="24" spans="1:12" ht="12" customHeight="1" x14ac:dyDescent="0.2">
      <c r="A24" s="1885" t="s">
        <v>1612</v>
      </c>
      <c r="B24" s="1886"/>
      <c r="C24" s="1887"/>
      <c r="D24" s="1887"/>
      <c r="E24" s="1890"/>
      <c r="F24" s="1889"/>
      <c r="H24" s="1900">
        <f t="shared" si="0"/>
        <v>0</v>
      </c>
      <c r="I24" s="1900">
        <f t="shared" si="1"/>
        <v>0</v>
      </c>
      <c r="J24" s="1900">
        <f t="shared" si="2"/>
        <v>0</v>
      </c>
    </row>
    <row r="25" spans="1:12" ht="12" customHeight="1" x14ac:dyDescent="0.2">
      <c r="A25" s="1885" t="s">
        <v>1613</v>
      </c>
      <c r="B25" s="1886"/>
      <c r="C25" s="1887"/>
      <c r="D25" s="1887"/>
      <c r="E25" s="1890"/>
      <c r="F25" s="1889"/>
      <c r="H25" s="1900">
        <f t="shared" si="0"/>
        <v>0</v>
      </c>
      <c r="I25" s="1900">
        <f t="shared" si="1"/>
        <v>0</v>
      </c>
      <c r="J25" s="1900">
        <f t="shared" si="2"/>
        <v>0</v>
      </c>
    </row>
    <row r="26" spans="1:12" ht="12" customHeight="1" x14ac:dyDescent="0.2">
      <c r="A26" s="1885" t="s">
        <v>1614</v>
      </c>
      <c r="B26" s="1886"/>
      <c r="C26" s="1887" t="s">
        <v>2095</v>
      </c>
      <c r="D26" s="1887" t="s">
        <v>2095</v>
      </c>
      <c r="E26" s="1890"/>
      <c r="F26" s="1889" t="s">
        <v>2098</v>
      </c>
      <c r="H26" s="1900">
        <f t="shared" si="0"/>
        <v>5</v>
      </c>
      <c r="I26" s="1900">
        <f t="shared" si="1"/>
        <v>5</v>
      </c>
      <c r="J26" s="1900">
        <f t="shared" si="2"/>
        <v>0</v>
      </c>
    </row>
    <row r="27" spans="1:12" ht="18.75" x14ac:dyDescent="0.2">
      <c r="A27" s="1885" t="s">
        <v>1615</v>
      </c>
      <c r="B27" s="1886"/>
      <c r="C27" s="1887"/>
      <c r="D27" s="1887"/>
      <c r="E27" s="1890"/>
      <c r="F27" s="1889"/>
      <c r="H27" s="1900">
        <f t="shared" si="0"/>
        <v>0</v>
      </c>
      <c r="I27" s="1900">
        <f t="shared" si="1"/>
        <v>0</v>
      </c>
      <c r="J27" s="1900">
        <f t="shared" si="2"/>
        <v>0</v>
      </c>
    </row>
    <row r="28" spans="1:12" ht="12" customHeight="1" x14ac:dyDescent="0.2">
      <c r="A28" s="1885" t="s">
        <v>1616</v>
      </c>
      <c r="B28" s="1886"/>
      <c r="C28" s="1887"/>
      <c r="D28" s="1887"/>
      <c r="E28" s="1890"/>
      <c r="F28" s="1889"/>
      <c r="H28" s="1900">
        <f t="shared" si="0"/>
        <v>0</v>
      </c>
      <c r="I28" s="1900">
        <f t="shared" si="1"/>
        <v>0</v>
      </c>
      <c r="J28" s="1900">
        <f t="shared" si="2"/>
        <v>0</v>
      </c>
    </row>
    <row r="29" spans="1:12" ht="12" customHeight="1" x14ac:dyDescent="0.2">
      <c r="A29" s="1885" t="s">
        <v>1617</v>
      </c>
      <c r="B29" s="1886"/>
      <c r="C29" s="1887"/>
      <c r="D29" s="1887"/>
      <c r="E29" s="1890"/>
      <c r="F29" s="1889"/>
      <c r="H29" s="1900">
        <f t="shared" si="0"/>
        <v>0</v>
      </c>
      <c r="I29" s="1900">
        <f t="shared" si="1"/>
        <v>0</v>
      </c>
      <c r="J29" s="1900">
        <f t="shared" si="2"/>
        <v>0</v>
      </c>
    </row>
    <row r="30" spans="1:12" ht="12" customHeight="1" x14ac:dyDescent="0.2">
      <c r="A30" s="1885" t="s">
        <v>1618</v>
      </c>
      <c r="B30" s="1886"/>
      <c r="C30" s="1887"/>
      <c r="D30" s="1887"/>
      <c r="E30" s="1890"/>
      <c r="F30" s="1889"/>
      <c r="H30" s="1900">
        <f t="shared" si="0"/>
        <v>0</v>
      </c>
      <c r="I30" s="1900">
        <f t="shared" si="1"/>
        <v>0</v>
      </c>
      <c r="J30" s="1900">
        <f t="shared" si="2"/>
        <v>0</v>
      </c>
    </row>
    <row r="31" spans="1:12" ht="12" customHeight="1" x14ac:dyDescent="0.2">
      <c r="A31" s="1885" t="s">
        <v>1619</v>
      </c>
      <c r="B31" s="1886"/>
      <c r="C31" s="1887"/>
      <c r="D31" s="1887"/>
      <c r="E31" s="1890"/>
      <c r="F31" s="1889"/>
      <c r="H31" s="1900">
        <f t="shared" si="0"/>
        <v>0</v>
      </c>
      <c r="I31" s="1900">
        <f t="shared" si="1"/>
        <v>0</v>
      </c>
      <c r="J31" s="1900">
        <f t="shared" si="2"/>
        <v>0</v>
      </c>
      <c r="L31" s="1891"/>
    </row>
    <row r="32" spans="1:12" ht="12" customHeight="1" x14ac:dyDescent="0.2">
      <c r="A32" s="1885" t="s">
        <v>1620</v>
      </c>
      <c r="B32" s="1886"/>
      <c r="C32" s="1887" t="s">
        <v>2095</v>
      </c>
      <c r="D32" s="1887" t="s">
        <v>2095</v>
      </c>
      <c r="E32" s="1890"/>
      <c r="F32" s="1889" t="s">
        <v>2099</v>
      </c>
      <c r="H32" s="1900">
        <f t="shared" si="0"/>
        <v>5</v>
      </c>
      <c r="I32" s="1900">
        <f t="shared" si="1"/>
        <v>5</v>
      </c>
      <c r="J32" s="1900">
        <f t="shared" si="2"/>
        <v>0</v>
      </c>
    </row>
    <row r="33" spans="1:11" ht="12" customHeight="1" x14ac:dyDescent="0.2">
      <c r="A33" s="1885" t="s">
        <v>1621</v>
      </c>
      <c r="B33" s="1886"/>
      <c r="C33" s="1887" t="s">
        <v>2095</v>
      </c>
      <c r="D33" s="1887" t="s">
        <v>2095</v>
      </c>
      <c r="E33" s="1890"/>
      <c r="F33" s="1889" t="s">
        <v>2100</v>
      </c>
      <c r="H33" s="1900">
        <f t="shared" si="0"/>
        <v>5</v>
      </c>
      <c r="I33" s="1900">
        <f t="shared" si="1"/>
        <v>5</v>
      </c>
      <c r="J33" s="1900">
        <f t="shared" si="2"/>
        <v>0</v>
      </c>
    </row>
    <row r="34" spans="1:11" ht="12" customHeight="1" x14ac:dyDescent="0.25">
      <c r="A34" s="1892"/>
      <c r="B34" s="1892"/>
      <c r="C34" s="1892"/>
      <c r="D34" s="1892"/>
      <c r="E34" s="1892"/>
      <c r="F34" s="1892"/>
      <c r="H34" s="1900">
        <f>SUM(H11:H32)</f>
        <v>20</v>
      </c>
      <c r="I34" s="1900">
        <f>SUM(I11:I32)</f>
        <v>20</v>
      </c>
      <c r="J34" s="1900">
        <f>SUM(J11:J32)</f>
        <v>0</v>
      </c>
      <c r="K34" s="1900">
        <f>SUM(H34:J34)</f>
        <v>40</v>
      </c>
    </row>
    <row r="35" spans="1:11" ht="12" customHeight="1" x14ac:dyDescent="0.2">
      <c r="A35" s="1893" t="s">
        <v>1458</v>
      </c>
      <c r="B35" s="1894"/>
      <c r="C35" s="2428"/>
      <c r="D35" s="2428"/>
      <c r="E35" s="2428"/>
      <c r="F35" s="2429"/>
    </row>
    <row r="36" spans="1:11" ht="12" customHeight="1" x14ac:dyDescent="0.2">
      <c r="A36" s="2411"/>
      <c r="B36" s="2412"/>
      <c r="C36" s="2412"/>
      <c r="D36" s="2412"/>
      <c r="E36" s="2412"/>
      <c r="F36" s="2413"/>
    </row>
    <row r="37" spans="1:11" ht="12" customHeight="1" x14ac:dyDescent="0.2">
      <c r="A37" s="2411"/>
      <c r="B37" s="2412"/>
      <c r="C37" s="2412"/>
      <c r="D37" s="2412"/>
      <c r="E37" s="2412"/>
      <c r="F37" s="2413"/>
    </row>
    <row r="38" spans="1:11" ht="12" customHeight="1" x14ac:dyDescent="0.2">
      <c r="A38" s="2414"/>
      <c r="B38" s="2415"/>
      <c r="C38" s="2415"/>
      <c r="D38" s="2415"/>
      <c r="E38" s="2415"/>
      <c r="F38" s="2416"/>
    </row>
    <row r="39" spans="1:11" ht="4.5" hidden="1" customHeight="1" x14ac:dyDescent="0.2">
      <c r="A39" s="1895"/>
      <c r="B39" s="1895"/>
      <c r="C39" s="1895"/>
      <c r="D39" s="1895"/>
      <c r="E39" s="1895"/>
      <c r="F39" s="1895"/>
    </row>
    <row r="40" spans="1:11" s="1892" customFormat="1" ht="12" customHeight="1" x14ac:dyDescent="0.25">
      <c r="A40" s="1896" t="s">
        <v>1457</v>
      </c>
      <c r="B40" s="1897"/>
      <c r="C40" s="2417"/>
      <c r="D40" s="2417"/>
      <c r="E40" s="2417"/>
      <c r="F40" s="2418"/>
      <c r="H40" s="1901"/>
      <c r="I40" s="1901"/>
      <c r="J40" s="1901"/>
      <c r="K40" s="1901"/>
    </row>
    <row r="41" spans="1:11" s="1892" customFormat="1" ht="12" customHeight="1" x14ac:dyDescent="0.25">
      <c r="A41" s="2419"/>
      <c r="B41" s="2420"/>
      <c r="C41" s="2420"/>
      <c r="D41" s="2420"/>
      <c r="E41" s="2420"/>
      <c r="F41" s="2421"/>
      <c r="H41" s="1901"/>
      <c r="I41" s="1901"/>
      <c r="J41" s="1901"/>
      <c r="K41" s="1901"/>
    </row>
    <row r="42" spans="1:11" s="1892" customFormat="1" ht="12" customHeight="1" x14ac:dyDescent="0.25">
      <c r="A42" s="2419"/>
      <c r="B42" s="2420"/>
      <c r="C42" s="2420"/>
      <c r="D42" s="2420"/>
      <c r="E42" s="2420"/>
      <c r="F42" s="2421"/>
      <c r="H42" s="1901"/>
      <c r="I42" s="1901"/>
      <c r="J42" s="1901"/>
      <c r="K42" s="1901"/>
    </row>
    <row r="43" spans="1:11" s="1892" customFormat="1" ht="15" x14ac:dyDescent="0.25">
      <c r="A43" s="2408"/>
      <c r="B43" s="2409"/>
      <c r="C43" s="2409"/>
      <c r="D43" s="2409"/>
      <c r="E43" s="2409"/>
      <c r="F43" s="2410"/>
      <c r="H43" s="1901"/>
      <c r="I43" s="1901"/>
      <c r="J43" s="1901"/>
      <c r="K43" s="1901"/>
    </row>
    <row r="44" spans="1:11" s="1892" customFormat="1" ht="12" hidden="1" customHeight="1" x14ac:dyDescent="0.25">
      <c r="A44" s="2408"/>
      <c r="B44" s="2409"/>
      <c r="C44" s="2409"/>
      <c r="D44" s="2409"/>
      <c r="E44" s="2409"/>
      <c r="F44" s="241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6" t="s">
        <v>692</v>
      </c>
      <c r="B6" s="1661"/>
      <c r="C6" s="1661"/>
      <c r="D6" s="1661"/>
      <c r="E6" s="1662"/>
      <c r="F6" s="1014"/>
      <c r="G6" s="1008"/>
      <c r="H6" s="1015" t="s">
        <v>1085</v>
      </c>
      <c r="I6" s="2435" t="str">
        <f>COVER!A17</f>
        <v>Dunlap CUSD 323</v>
      </c>
      <c r="J6" s="2436"/>
      <c r="Q6" s="1683"/>
    </row>
    <row r="7" spans="1:17" x14ac:dyDescent="0.2">
      <c r="A7" s="2437" t="s">
        <v>923</v>
      </c>
      <c r="B7" s="2438"/>
      <c r="C7" s="2438"/>
      <c r="D7" s="2438"/>
      <c r="E7" s="2439"/>
      <c r="F7" s="1016"/>
      <c r="G7" s="1008"/>
      <c r="H7" s="1015" t="s">
        <v>389</v>
      </c>
      <c r="I7" s="2440">
        <f>COVER!A13</f>
        <v>48072323026</v>
      </c>
      <c r="J7" s="2440"/>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1700</v>
      </c>
      <c r="F9" s="1022"/>
      <c r="G9" s="1022"/>
      <c r="H9" s="1918" t="s">
        <v>1701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441" t="s">
        <v>501</v>
      </c>
      <c r="B11" s="2442"/>
      <c r="C11" s="2443"/>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1">
        <f>'Expenditures 15-22'!K50</f>
        <v>572203</v>
      </c>
      <c r="F12" s="1038"/>
      <c r="G12" s="1831">
        <f t="shared" ref="G12:G18" si="0">SUM(E12:F12)</f>
        <v>572203</v>
      </c>
      <c r="H12" s="1039">
        <v>514185</v>
      </c>
      <c r="I12" s="1038"/>
      <c r="J12" s="1831">
        <f t="shared" ref="J12:J18" si="1">SUM(H12:I12)</f>
        <v>514185</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1127</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1119</v>
      </c>
      <c r="C17" s="1036"/>
      <c r="D17" s="1037">
        <v>2610</v>
      </c>
      <c r="E17" s="1831">
        <f>'Expenditures 15-22'!K67</f>
        <v>0</v>
      </c>
      <c r="F17" s="1038"/>
      <c r="G17" s="1831">
        <f t="shared" si="0"/>
        <v>0</v>
      </c>
      <c r="H17" s="1039"/>
      <c r="I17" s="1038"/>
      <c r="J17" s="1831">
        <f t="shared" si="1"/>
        <v>0</v>
      </c>
    </row>
    <row r="18" spans="1:10" ht="22.5" customHeight="1" x14ac:dyDescent="0.2">
      <c r="A18" s="1041">
        <v>7</v>
      </c>
      <c r="B18" s="2444" t="s">
        <v>7</v>
      </c>
      <c r="C18" s="2445"/>
      <c r="D18" s="2446"/>
      <c r="E18" s="1042"/>
      <c r="F18" s="1042"/>
      <c r="G18" s="1832">
        <f t="shared" si="0"/>
        <v>0</v>
      </c>
      <c r="H18" s="1039"/>
      <c r="I18" s="1039"/>
      <c r="J18" s="1831">
        <f t="shared" si="1"/>
        <v>0</v>
      </c>
    </row>
    <row r="19" spans="1:10" ht="12.75" customHeight="1" thickBot="1" x14ac:dyDescent="0.25">
      <c r="A19" s="1034">
        <v>8</v>
      </c>
      <c r="B19" s="1043" t="s">
        <v>1222</v>
      </c>
      <c r="D19" s="1044"/>
      <c r="E19" s="1833">
        <f t="shared" ref="E19:J19" si="2">SUM(E12:E17)-E18</f>
        <v>572203</v>
      </c>
      <c r="F19" s="1833">
        <f t="shared" si="2"/>
        <v>0</v>
      </c>
      <c r="G19" s="1833">
        <f t="shared" si="2"/>
        <v>572203</v>
      </c>
      <c r="H19" s="1833">
        <f t="shared" si="2"/>
        <v>514185</v>
      </c>
      <c r="I19" s="1833">
        <f t="shared" si="2"/>
        <v>0</v>
      </c>
      <c r="J19" s="1833">
        <f t="shared" si="2"/>
        <v>514185</v>
      </c>
    </row>
    <row r="20" spans="1:10" ht="13.5" thickTop="1" x14ac:dyDescent="0.2">
      <c r="A20" s="1034">
        <v>9</v>
      </c>
      <c r="B20" s="2447" t="s">
        <v>1702</v>
      </c>
      <c r="C20" s="2447"/>
      <c r="D20" s="2448"/>
      <c r="E20" s="1045"/>
      <c r="F20" s="1045"/>
      <c r="G20" s="1045"/>
      <c r="H20" s="1045"/>
      <c r="I20" s="1045"/>
      <c r="J20" s="1834">
        <f>IF(AND(G19&gt;0,J19&gt;0),(((J19-G19)/G19)),"Enter Budget Data")</f>
        <v>-0.10139408566540196</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453"/>
      <c r="D26" s="2453"/>
      <c r="E26" s="1049"/>
      <c r="F26" s="2452"/>
      <c r="G26" s="2452"/>
    </row>
    <row r="27" spans="1:10" x14ac:dyDescent="0.2">
      <c r="B27" s="1046"/>
      <c r="C27" s="1050" t="s">
        <v>1092</v>
      </c>
      <c r="D27" s="1051"/>
      <c r="E27" s="1052"/>
      <c r="F27" s="2449" t="s">
        <v>1588</v>
      </c>
      <c r="G27" s="2449"/>
    </row>
    <row r="28" spans="1:10" ht="28.5" customHeight="1" x14ac:dyDescent="0.2">
      <c r="B28" s="1046"/>
      <c r="C28" s="2451"/>
      <c r="D28" s="2451"/>
      <c r="E28" s="1053"/>
      <c r="F28" s="2451"/>
      <c r="G28" s="2451"/>
    </row>
    <row r="29" spans="1:10" x14ac:dyDescent="0.2">
      <c r="B29" s="1046"/>
      <c r="C29" s="1054" t="s">
        <v>1641</v>
      </c>
      <c r="E29" s="1055"/>
      <c r="F29" s="2450" t="s">
        <v>1589</v>
      </c>
      <c r="G29" s="2450"/>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432" t="s">
        <v>134</v>
      </c>
      <c r="D33" s="2433"/>
      <c r="E33" s="2433"/>
      <c r="F33" s="2433"/>
      <c r="G33" s="2433"/>
      <c r="H33" s="2433"/>
      <c r="I33" s="2433"/>
    </row>
    <row r="34" spans="1:10" ht="10.35" customHeight="1" x14ac:dyDescent="0.2">
      <c r="C34" s="2433"/>
      <c r="D34" s="2433"/>
      <c r="E34" s="2433"/>
      <c r="F34" s="2433"/>
      <c r="G34" s="2433"/>
      <c r="H34" s="2433"/>
      <c r="I34" s="2433"/>
    </row>
    <row r="35" spans="1:10" ht="7.5" customHeight="1" x14ac:dyDescent="0.2">
      <c r="C35" s="1061"/>
    </row>
    <row r="36" spans="1:10" ht="13.5" customHeight="1" x14ac:dyDescent="0.2">
      <c r="B36" s="1060"/>
      <c r="C36" s="2434" t="s">
        <v>1939</v>
      </c>
      <c r="D36" s="2433"/>
      <c r="E36" s="2433"/>
      <c r="F36" s="2433"/>
      <c r="G36" s="2433"/>
      <c r="H36" s="2433"/>
      <c r="I36" s="2433"/>
      <c r="J36" s="1062"/>
    </row>
    <row r="37" spans="1:10" ht="22.5" customHeight="1" x14ac:dyDescent="0.2">
      <c r="C37" s="2433"/>
      <c r="D37" s="2433"/>
      <c r="E37" s="2433"/>
      <c r="F37" s="2433"/>
      <c r="G37" s="2433"/>
      <c r="H37" s="2433"/>
      <c r="I37" s="2433"/>
      <c r="J37" s="1062"/>
    </row>
    <row r="38" spans="1:10" ht="7.5" customHeight="1" x14ac:dyDescent="0.2">
      <c r="C38" s="1061"/>
      <c r="D38" s="1063"/>
      <c r="E38" s="1064"/>
      <c r="F38" s="1065"/>
      <c r="G38" s="1064"/>
    </row>
    <row r="39" spans="1:10" ht="13.5" customHeight="1" x14ac:dyDescent="0.2">
      <c r="B39" s="1060"/>
      <c r="C39" s="2430" t="s">
        <v>936</v>
      </c>
      <c r="D39" s="2431"/>
      <c r="E39" s="2431"/>
      <c r="F39" s="2431"/>
      <c r="G39" s="2431"/>
      <c r="H39" s="2431"/>
      <c r="I39" s="24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88.5703125" style="329" bestFit="1"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2213</v>
      </c>
    </row>
    <row r="6" spans="1:2" x14ac:dyDescent="0.2">
      <c r="A6" s="1067">
        <v>2</v>
      </c>
      <c r="B6" s="329" t="s">
        <v>2214</v>
      </c>
    </row>
    <row r="7" spans="1:2" x14ac:dyDescent="0.2">
      <c r="A7" s="1067">
        <v>3</v>
      </c>
      <c r="B7" s="329" t="s">
        <v>2215</v>
      </c>
    </row>
    <row r="8" spans="1:2" x14ac:dyDescent="0.2">
      <c r="A8" s="1067">
        <v>4</v>
      </c>
      <c r="B8" s="329" t="s">
        <v>2216</v>
      </c>
    </row>
    <row r="9" spans="1:2" x14ac:dyDescent="0.2">
      <c r="A9" s="1067">
        <v>5</v>
      </c>
      <c r="B9" s="329" t="s">
        <v>2217</v>
      </c>
    </row>
    <row r="10" spans="1:2" x14ac:dyDescent="0.2">
      <c r="A10" s="1067">
        <v>6</v>
      </c>
      <c r="B10" s="329" t="s">
        <v>2218</v>
      </c>
    </row>
    <row r="11" spans="1:2" x14ac:dyDescent="0.2">
      <c r="A11" s="1067">
        <v>7</v>
      </c>
      <c r="B11" s="329" t="s">
        <v>2219</v>
      </c>
    </row>
    <row r="12" spans="1:2" x14ac:dyDescent="0.2">
      <c r="A12" s="1067">
        <v>8</v>
      </c>
      <c r="B12" s="329" t="s">
        <v>2230</v>
      </c>
    </row>
    <row r="13" spans="1:2" x14ac:dyDescent="0.2">
      <c r="A13" s="1067">
        <v>9</v>
      </c>
      <c r="B13" s="329" t="s">
        <v>2220</v>
      </c>
    </row>
    <row r="14" spans="1:2" x14ac:dyDescent="0.2">
      <c r="A14" s="1067">
        <v>10</v>
      </c>
      <c r="B14" s="329" t="s">
        <v>2221</v>
      </c>
    </row>
    <row r="15" spans="1:2" x14ac:dyDescent="0.2">
      <c r="A15" s="1067">
        <v>11</v>
      </c>
      <c r="B15" s="329" t="s">
        <v>2222</v>
      </c>
    </row>
    <row r="16" spans="1:2" x14ac:dyDescent="0.2">
      <c r="A16" s="1067">
        <v>12</v>
      </c>
      <c r="B16" s="329" t="s">
        <v>2223</v>
      </c>
    </row>
    <row r="17" spans="1:2" x14ac:dyDescent="0.2">
      <c r="A17" s="1067">
        <v>13</v>
      </c>
      <c r="B17" s="329" t="s">
        <v>2229</v>
      </c>
    </row>
    <row r="18" spans="1:2" x14ac:dyDescent="0.2">
      <c r="A18" s="1067">
        <v>14</v>
      </c>
      <c r="B18" s="329" t="s">
        <v>2224</v>
      </c>
    </row>
    <row r="19" spans="1:2" x14ac:dyDescent="0.2">
      <c r="A19" s="1067">
        <v>15</v>
      </c>
      <c r="B19" s="329" t="s">
        <v>2228</v>
      </c>
    </row>
    <row r="20" spans="1:2" x14ac:dyDescent="0.2">
      <c r="A20" s="1067">
        <v>16</v>
      </c>
      <c r="B20" s="329" t="s">
        <v>2227</v>
      </c>
    </row>
    <row r="21" spans="1:2" x14ac:dyDescent="0.2">
      <c r="A21" s="1067">
        <v>17</v>
      </c>
      <c r="B21" s="329" t="s">
        <v>2225</v>
      </c>
    </row>
    <row r="22" spans="1:2" x14ac:dyDescent="0.2">
      <c r="A22" s="1067">
        <v>18</v>
      </c>
      <c r="B22" s="329" t="s">
        <v>2226</v>
      </c>
    </row>
    <row r="23" spans="1:2" x14ac:dyDescent="0.2">
      <c r="A23" s="1067"/>
    </row>
    <row r="24" spans="1:2" x14ac:dyDescent="0.2">
      <c r="A24" s="1067"/>
    </row>
    <row r="25" spans="1:2" x14ac:dyDescent="0.2">
      <c r="A25" s="1067"/>
    </row>
    <row r="26" spans="1:2" x14ac:dyDescent="0.2">
      <c r="A26" s="1067"/>
    </row>
    <row r="27" spans="1:2" x14ac:dyDescent="0.2">
      <c r="A27" s="1067"/>
    </row>
    <row r="28" spans="1:2" x14ac:dyDescent="0.2">
      <c r="A28" s="1067"/>
    </row>
    <row r="29" spans="1:2" x14ac:dyDescent="0.2">
      <c r="A29" s="1067"/>
    </row>
    <row r="30" spans="1:2" x14ac:dyDescent="0.2">
      <c r="A30" s="1067"/>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Dunlap CUSD 323</v>
      </c>
    </row>
    <row r="65" spans="2:2" x14ac:dyDescent="0.2">
      <c r="B65" s="1068">
        <f>COVER!A13</f>
        <v>48072323026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1572</v>
      </c>
    </row>
    <row r="15" spans="1:6" x14ac:dyDescent="0.2">
      <c r="A15" s="389" t="s">
        <v>911</v>
      </c>
    </row>
    <row r="16" spans="1:6" s="1069" customFormat="1" ht="45" customHeight="1" x14ac:dyDescent="0.2">
      <c r="A16" s="1071"/>
      <c r="B16" s="1071" t="s">
        <v>1782</v>
      </c>
    </row>
    <row r="17" spans="1:2" ht="6" customHeight="1" x14ac:dyDescent="0.2"/>
    <row r="18" spans="1:2" ht="24.75" customHeight="1" x14ac:dyDescent="0.2">
      <c r="A18" s="2454" t="s">
        <v>1783</v>
      </c>
      <c r="B18" s="24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55" t="s">
        <v>1789</v>
      </c>
      <c r="B1" s="2456"/>
      <c r="C1" s="2456"/>
      <c r="D1" s="2456"/>
      <c r="E1" s="2456"/>
      <c r="F1" s="2457"/>
    </row>
    <row r="2" spans="1:8" ht="45" customHeight="1" x14ac:dyDescent="0.2">
      <c r="A2" s="2465" t="s">
        <v>1790</v>
      </c>
      <c r="B2" s="2466"/>
      <c r="C2" s="2466"/>
      <c r="D2" s="2466"/>
      <c r="E2" s="2466"/>
      <c r="F2" s="2467"/>
      <c r="G2" s="1072"/>
      <c r="H2" s="1072"/>
    </row>
    <row r="3" spans="1:8" ht="57" customHeight="1" x14ac:dyDescent="0.2">
      <c r="A3" s="2468" t="s">
        <v>1785</v>
      </c>
      <c r="B3" s="2469"/>
      <c r="C3" s="2469"/>
      <c r="D3" s="2469"/>
      <c r="E3" s="2469"/>
      <c r="F3" s="2470"/>
      <c r="G3" s="1072"/>
      <c r="H3" s="1072"/>
    </row>
    <row r="4" spans="1:8" ht="14.25" customHeight="1" x14ac:dyDescent="0.2">
      <c r="A4" s="2474" t="s">
        <v>2051</v>
      </c>
      <c r="B4" s="2475"/>
      <c r="C4" s="2475"/>
      <c r="D4" s="2475"/>
      <c r="E4" s="2475"/>
      <c r="F4" s="2476"/>
      <c r="G4" s="1072"/>
      <c r="H4" s="1072"/>
    </row>
    <row r="5" spans="1:8" ht="14.25" customHeight="1" x14ac:dyDescent="0.2">
      <c r="A5" s="2477" t="s">
        <v>2052</v>
      </c>
      <c r="B5" s="2478"/>
      <c r="C5" s="2478"/>
      <c r="D5" s="2478"/>
      <c r="E5" s="2478"/>
      <c r="F5" s="2479"/>
      <c r="G5" s="1072"/>
      <c r="H5" s="1072"/>
    </row>
    <row r="6" spans="1:8" s="1073" customFormat="1" ht="41.25" customHeight="1" x14ac:dyDescent="0.2">
      <c r="A6" s="2471" t="s">
        <v>1791</v>
      </c>
      <c r="B6" s="2472"/>
      <c r="C6" s="2472"/>
      <c r="D6" s="2472"/>
      <c r="E6" s="2472"/>
      <c r="F6" s="2473"/>
    </row>
    <row r="7" spans="1:8" ht="42" customHeight="1" x14ac:dyDescent="0.2">
      <c r="A7" s="1074" t="s">
        <v>501</v>
      </c>
      <c r="B7" s="1075" t="s">
        <v>1575</v>
      </c>
      <c r="C7" s="1075" t="s">
        <v>1576</v>
      </c>
      <c r="D7" s="1075" t="s">
        <v>1574</v>
      </c>
      <c r="E7" s="1075" t="s">
        <v>1577</v>
      </c>
      <c r="F7" s="1075" t="s">
        <v>1433</v>
      </c>
    </row>
    <row r="8" spans="1:8" s="1077" customFormat="1" ht="14.25" customHeight="1" x14ac:dyDescent="0.2">
      <c r="A8" s="1076" t="s">
        <v>1434</v>
      </c>
      <c r="B8" s="1835">
        <f>'Acct Summary 7-8'!C8</f>
        <v>33764768</v>
      </c>
      <c r="C8" s="1835">
        <f>'Acct Summary 7-8'!D8</f>
        <v>4512501</v>
      </c>
      <c r="D8" s="1835">
        <f>'Acct Summary 7-8'!F8</f>
        <v>3355373</v>
      </c>
      <c r="E8" s="1835">
        <f>'Acct Summary 7-8'!I8</f>
        <v>465514</v>
      </c>
      <c r="F8" s="1835">
        <f>SUM(B8:E8)</f>
        <v>42098156</v>
      </c>
    </row>
    <row r="9" spans="1:8" s="1077" customFormat="1" ht="14.25" customHeight="1" thickBot="1" x14ac:dyDescent="0.25">
      <c r="A9" s="1076" t="s">
        <v>1435</v>
      </c>
      <c r="B9" s="1836">
        <f>'Acct Summary 7-8'!C17</f>
        <v>30767922</v>
      </c>
      <c r="C9" s="1836">
        <f>'Acct Summary 7-8'!D17</f>
        <v>3823963</v>
      </c>
      <c r="D9" s="1836">
        <f>'Acct Summary 7-8'!F17</f>
        <v>2049656</v>
      </c>
      <c r="E9" s="1835"/>
      <c r="F9" s="1835">
        <f>SUM(B9:E9)</f>
        <v>36641541</v>
      </c>
    </row>
    <row r="10" spans="1:8" s="1077" customFormat="1" ht="14.25" thickTop="1" thickBot="1" x14ac:dyDescent="0.25">
      <c r="A10" s="1078" t="s">
        <v>1436</v>
      </c>
      <c r="B10" s="1837">
        <f>(B8-B9)</f>
        <v>2996846</v>
      </c>
      <c r="C10" s="1837">
        <f>(C8-C9)</f>
        <v>688538</v>
      </c>
      <c r="D10" s="1837">
        <f>(D8-D9)</f>
        <v>1305717</v>
      </c>
      <c r="E10" s="1836">
        <f>(E8-E9)</f>
        <v>465514</v>
      </c>
      <c r="F10" s="1838">
        <f>SUM(F8-F9)</f>
        <v>5456615</v>
      </c>
    </row>
    <row r="11" spans="1:8" s="1077" customFormat="1" ht="14.25" thickTop="1" thickBot="1" x14ac:dyDescent="0.25">
      <c r="A11" s="1079" t="s">
        <v>1784</v>
      </c>
      <c r="B11" s="1839">
        <f>'Acct Summary 7-8'!C81</f>
        <v>35028209</v>
      </c>
      <c r="C11" s="1839">
        <f>'Acct Summary 7-8'!D81</f>
        <v>4084240</v>
      </c>
      <c r="D11" s="1839">
        <f>'Acct Summary 7-8'!F81</f>
        <v>6124392</v>
      </c>
      <c r="E11" s="1839">
        <f>'Acct Summary 7-8'!I81</f>
        <v>1665626</v>
      </c>
      <c r="F11" s="1840">
        <f>SUM(B11:E11)</f>
        <v>46902467</v>
      </c>
    </row>
    <row r="12" spans="1:8" ht="16.5" customHeight="1" thickTop="1" x14ac:dyDescent="0.2">
      <c r="A12" s="1080"/>
      <c r="B12" s="1081"/>
      <c r="C12" s="2459" t="str">
        <f>IF(AND(F10&lt;0,F11&gt;=0,ABS(F10*3)&gt;ABS(F11)),A16,IF(AND(F10&lt;0,F11&gt;0,ABS(F10*3)&lt;=ABS(F11)),A17,IF(AND(F10&lt;0,F11&lt;0),A16,IF(F11=0,A19,A18))))</f>
        <v>Balanced - no deficit reduction plan is required.</v>
      </c>
      <c r="D12" s="2460"/>
      <c r="E12" s="2460"/>
      <c r="F12" s="2461"/>
    </row>
    <row r="13" spans="1:8" ht="19.5" customHeight="1" x14ac:dyDescent="0.2">
      <c r="A13" s="1082"/>
      <c r="B13" s="1083"/>
      <c r="C13" s="2459"/>
      <c r="D13" s="2460"/>
      <c r="E13" s="2460"/>
      <c r="F13" s="2461"/>
      <c r="H13" s="1072"/>
    </row>
    <row r="14" spans="1:8" ht="19.5" customHeight="1" x14ac:dyDescent="0.2">
      <c r="A14" s="1082"/>
      <c r="B14" s="1083"/>
      <c r="C14" s="2459"/>
      <c r="D14" s="2460"/>
      <c r="E14" s="2460"/>
      <c r="F14" s="2461"/>
      <c r="H14" s="1072"/>
    </row>
    <row r="15" spans="1:8" ht="17.25" customHeight="1" x14ac:dyDescent="0.2">
      <c r="A15" s="1082"/>
      <c r="B15" s="1083"/>
      <c r="C15" s="2462"/>
      <c r="D15" s="2463"/>
      <c r="E15" s="2463"/>
      <c r="F15" s="2464"/>
      <c r="H15" s="1072"/>
    </row>
    <row r="16" spans="1:8" s="310" customFormat="1" ht="51.75" hidden="1" customHeight="1" x14ac:dyDescent="0.2">
      <c r="A16" s="2458" t="s">
        <v>1786</v>
      </c>
      <c r="B16" s="2458"/>
      <c r="C16" s="2458"/>
      <c r="D16" s="2458"/>
      <c r="E16" s="2458"/>
      <c r="F16" s="310" t="s">
        <v>1437</v>
      </c>
    </row>
    <row r="17" spans="1:6" hidden="1" x14ac:dyDescent="0.2">
      <c r="A17" s="316" t="s">
        <v>1787</v>
      </c>
      <c r="F17" s="108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480" t="s">
        <v>685</v>
      </c>
      <c r="B3" s="2481"/>
      <c r="C3" s="2481"/>
      <c r="D3" s="2482"/>
    </row>
    <row r="4" spans="1:4" x14ac:dyDescent="0.2">
      <c r="A4" s="1150" t="s">
        <v>1792</v>
      </c>
      <c r="B4" s="1151"/>
      <c r="C4" s="1152"/>
      <c r="D4" s="1153"/>
    </row>
    <row r="5" spans="1:4" ht="21" customHeight="1" x14ac:dyDescent="0.2">
      <c r="A5" s="1146"/>
      <c r="B5" s="1147">
        <v>1</v>
      </c>
      <c r="C5" s="1148" t="s">
        <v>1941</v>
      </c>
      <c r="D5" s="1149"/>
    </row>
    <row r="6" spans="1:4" s="667" customFormat="1" ht="14.25" customHeight="1" x14ac:dyDescent="0.2">
      <c r="A6" s="1136"/>
      <c r="B6" s="1091">
        <f t="shared" ref="B6:B13" si="0">B5+1</f>
        <v>2</v>
      </c>
      <c r="C6" s="1092" t="s">
        <v>918</v>
      </c>
      <c r="D6" s="1093"/>
    </row>
    <row r="7" spans="1:4" s="667" customFormat="1" ht="12.75" x14ac:dyDescent="0.2">
      <c r="A7" s="1136"/>
      <c r="B7" s="1091">
        <f t="shared" si="0"/>
        <v>3</v>
      </c>
      <c r="C7" s="2491" t="s">
        <v>1583</v>
      </c>
      <c r="D7" s="2492"/>
    </row>
    <row r="8" spans="1:4" s="667" customFormat="1" ht="12.75" x14ac:dyDescent="0.2">
      <c r="A8" s="1136"/>
      <c r="B8" s="1091"/>
      <c r="C8" s="1094" t="s">
        <v>1582</v>
      </c>
      <c r="D8" s="1095"/>
    </row>
    <row r="9" spans="1:4" s="667" customFormat="1" ht="14.25" customHeight="1" x14ac:dyDescent="0.2">
      <c r="A9" s="1136"/>
      <c r="B9" s="1091">
        <f>B7+1</f>
        <v>4</v>
      </c>
      <c r="C9" s="1092" t="s">
        <v>2044</v>
      </c>
      <c r="D9" s="1093"/>
    </row>
    <row r="10" spans="1:4" s="667" customFormat="1" ht="14.25" customHeight="1" x14ac:dyDescent="0.2">
      <c r="A10" s="1136"/>
      <c r="B10" s="1091">
        <f t="shared" si="0"/>
        <v>5</v>
      </c>
      <c r="C10" s="1092" t="s">
        <v>659</v>
      </c>
      <c r="D10" s="1093"/>
    </row>
    <row r="11" spans="1:4" s="667" customFormat="1" ht="14.25" customHeight="1" x14ac:dyDescent="0.2">
      <c r="A11" s="1136"/>
      <c r="B11" s="1091">
        <f t="shared" si="0"/>
        <v>6</v>
      </c>
      <c r="C11" s="1092" t="s">
        <v>810</v>
      </c>
      <c r="D11" s="1093"/>
    </row>
    <row r="12" spans="1:4" s="667" customFormat="1" ht="14.25" customHeight="1" x14ac:dyDescent="0.2">
      <c r="A12" s="1136"/>
      <c r="B12" s="1091">
        <f t="shared" si="0"/>
        <v>7</v>
      </c>
      <c r="C12" s="1092" t="s">
        <v>1121</v>
      </c>
      <c r="D12" s="1093"/>
    </row>
    <row r="13" spans="1:4" s="667" customFormat="1" ht="14.25" customHeight="1" x14ac:dyDescent="0.2">
      <c r="A13" s="1136"/>
      <c r="B13" s="1091">
        <f t="shared" si="0"/>
        <v>8</v>
      </c>
      <c r="C13" s="1132" t="s">
        <v>811</v>
      </c>
      <c r="D13" s="1093"/>
    </row>
    <row r="14" spans="1:4" s="667" customFormat="1" ht="14.25" customHeight="1" x14ac:dyDescent="0.2">
      <c r="A14" s="1136"/>
      <c r="B14" s="1133">
        <v>9</v>
      </c>
      <c r="C14" s="1134" t="s">
        <v>1584</v>
      </c>
      <c r="D14" s="1135"/>
    </row>
    <row r="15" spans="1:4" s="667" customFormat="1" ht="21.75" customHeight="1" x14ac:dyDescent="0.2">
      <c r="A15" s="2483" t="s">
        <v>1064</v>
      </c>
      <c r="B15" s="2484"/>
      <c r="C15" s="2484"/>
      <c r="D15" s="2485"/>
    </row>
    <row r="16" spans="1:4" s="667" customFormat="1" ht="24" customHeight="1" x14ac:dyDescent="0.2">
      <c r="A16" s="2486" t="s">
        <v>683</v>
      </c>
      <c r="B16" s="2487"/>
      <c r="C16" s="2487"/>
      <c r="D16" s="2488"/>
    </row>
    <row r="17" spans="1:10" s="667" customFormat="1" ht="12.75" customHeight="1" x14ac:dyDescent="0.2">
      <c r="A17" s="1154" t="s">
        <v>1793</v>
      </c>
      <c r="B17" s="1155"/>
      <c r="C17" s="1156"/>
      <c r="D17" s="1157"/>
    </row>
    <row r="18" spans="1:10" s="667" customFormat="1" ht="12.75" customHeight="1" x14ac:dyDescent="0.2">
      <c r="A18" s="1158" t="s">
        <v>1794</v>
      </c>
      <c r="B18" s="1159"/>
      <c r="C18" s="1160"/>
      <c r="D18" s="1161"/>
    </row>
    <row r="19" spans="1:10" ht="6.75" customHeight="1" thickBot="1" x14ac:dyDescent="0.25">
      <c r="A19" s="1162"/>
      <c r="B19" s="1163"/>
      <c r="C19" s="1164"/>
      <c r="D19" s="1165"/>
    </row>
    <row r="20" spans="1:10" s="1169" customFormat="1" ht="12.75" thickTop="1" x14ac:dyDescent="0.2">
      <c r="A20" s="1166"/>
      <c r="B20" s="1167" t="s">
        <v>1795</v>
      </c>
      <c r="C20" s="1168"/>
      <c r="D20" s="1171" t="s">
        <v>733</v>
      </c>
    </row>
    <row r="21" spans="1:10" x14ac:dyDescent="0.2">
      <c r="A21" s="1096"/>
      <c r="B21" s="1097">
        <v>1</v>
      </c>
      <c r="C21" s="2495" t="s">
        <v>331</v>
      </c>
      <c r="D21" s="2496"/>
    </row>
    <row r="22" spans="1:10" ht="12.75" x14ac:dyDescent="0.2">
      <c r="A22" s="1137"/>
      <c r="B22" s="1138">
        <v>2</v>
      </c>
      <c r="C22" s="2493" t="s">
        <v>1604</v>
      </c>
      <c r="D22" s="2494"/>
    </row>
    <row r="23" spans="1:10" ht="12.2" customHeight="1" x14ac:dyDescent="0.2">
      <c r="A23" s="1137"/>
      <c r="B23" s="1138"/>
      <c r="C23" s="1139" t="s">
        <v>1010</v>
      </c>
      <c r="D23" s="1140" t="str">
        <f>IF(COVER!O11="X","CASH",IF(COVER!O12="X","ACCRUAL ","PLEASE CHECK AN ACCOUNTING BASIS."))</f>
        <v>CASH</v>
      </c>
    </row>
    <row r="24" spans="1:10" ht="12.2" customHeight="1" x14ac:dyDescent="0.2">
      <c r="A24" s="1137"/>
      <c r="B24" s="1138"/>
      <c r="C24" s="1139" t="s">
        <v>1398</v>
      </c>
      <c r="D24" s="1140" t="str">
        <f>IF(COVER!O11="X","OK",IF(AND('Aud Quest 2'!J90=0,'Aud Quest 2'!I77&lt;DATE(2017,12,31)),"ENTER ACCOUNTING INFO",IF(AND('Aud Quest 2'!J90&gt;0,'Aud Quest 2'!I77&lt;DATE(2017,12,31)),"OK")))</f>
        <v>OK</v>
      </c>
    </row>
    <row r="25" spans="1:10" x14ac:dyDescent="0.2">
      <c r="A25" s="1098"/>
      <c r="B25" s="1099"/>
      <c r="C25" s="1100" t="s">
        <v>1606</v>
      </c>
      <c r="D25" s="1101" t="str">
        <f>IF(AND(COVER!J29="X",COVER!J30="X",COVER!L30&lt;&gt;"X"),"OK",IF(AND(COVER!J29="X",COVER!J30&lt;&gt;"X",COVER!L30="X"),"OK",IF(AND(COVER!L29="X",COVER!J30&lt;&gt;"X"),"OK","PLEASE CHECK YES or NO.")))</f>
        <v>OK</v>
      </c>
    </row>
    <row r="26" spans="1:10" x14ac:dyDescent="0.2">
      <c r="A26" s="1098"/>
      <c r="B26" s="1141"/>
      <c r="C26" s="1102" t="s">
        <v>1605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1031</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896</v>
      </c>
      <c r="D28" s="1105" t="b">
        <f>IF('Aud Quest 2'!B53="X",IF('Aud Quest 2'!F53&gt;"00/00/00 ","Enter Effective Date","ok"))</f>
        <v>0</v>
      </c>
    </row>
    <row r="29" spans="1:10" x14ac:dyDescent="0.2">
      <c r="A29" s="1098"/>
      <c r="B29" s="1141"/>
      <c r="C29" s="1102" t="s">
        <v>1439</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878</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1034</v>
      </c>
      <c r="D32" s="1101" t="str">
        <f>IF(OR(COVER!B6="x",'FP Info 3'!B31="X",'FP Info 3'!B32="X"),"OK","ENTRY IS REQUIRED!")</f>
        <v>OK</v>
      </c>
    </row>
    <row r="33" spans="1:12" s="1114" customFormat="1" ht="12.75" customHeight="1" x14ac:dyDescent="0.2">
      <c r="A33" s="1111"/>
      <c r="B33" s="1138">
        <f>B30+1</f>
        <v>4</v>
      </c>
      <c r="C33" s="1112" t="s">
        <v>812</v>
      </c>
      <c r="D33" s="1113"/>
    </row>
    <row r="34" spans="1:12" s="1114" customFormat="1" x14ac:dyDescent="0.2">
      <c r="A34" s="1115"/>
      <c r="B34" s="1138"/>
      <c r="C34" s="1116" t="s">
        <v>879</v>
      </c>
      <c r="D34" s="1101" t="str">
        <f>IF('Assets-Liab 5-6'!C4&lt;-0.49, "ERROR!","OK")</f>
        <v>OK</v>
      </c>
    </row>
    <row r="35" spans="1:12" x14ac:dyDescent="0.2">
      <c r="A35" s="1115"/>
      <c r="B35" s="1138"/>
      <c r="C35" s="1116" t="s">
        <v>323</v>
      </c>
      <c r="D35" s="1101" t="str">
        <f>IF('Assets-Liab 5-6'!D4&lt;-0.49, "ERROR!","OK")</f>
        <v>OK</v>
      </c>
      <c r="L35" s="1170"/>
    </row>
    <row r="36" spans="1:12" x14ac:dyDescent="0.2">
      <c r="A36" s="1115"/>
      <c r="B36" s="1138"/>
      <c r="C36" s="1116" t="s">
        <v>813</v>
      </c>
      <c r="D36" s="1101" t="str">
        <f>IF('Assets-Liab 5-6'!E4&lt;-0.49, "ERROR!","OK")</f>
        <v>OK</v>
      </c>
    </row>
    <row r="37" spans="1:12" x14ac:dyDescent="0.2">
      <c r="A37" s="1115"/>
      <c r="B37" s="1138"/>
      <c r="C37" s="1116" t="s">
        <v>324</v>
      </c>
      <c r="D37" s="1101" t="str">
        <f>IF('Assets-Liab 5-6'!F4&lt;-0.49, "ERROR!","OK")</f>
        <v>OK</v>
      </c>
    </row>
    <row r="38" spans="1:12" x14ac:dyDescent="0.2">
      <c r="A38" s="1115"/>
      <c r="B38" s="1138"/>
      <c r="C38" s="1116" t="s">
        <v>325</v>
      </c>
      <c r="D38" s="1101" t="str">
        <f>IF('Assets-Liab 5-6'!G4&lt;-0.49, "ERROR!","OK")</f>
        <v>OK</v>
      </c>
    </row>
    <row r="39" spans="1:12" x14ac:dyDescent="0.2">
      <c r="A39" s="1115"/>
      <c r="B39" s="1138"/>
      <c r="C39" s="1116" t="s">
        <v>814</v>
      </c>
      <c r="D39" s="1101" t="str">
        <f>IF('Assets-Liab 5-6'!H4&lt;-0.49, "ERROR!","OK")</f>
        <v>OK</v>
      </c>
    </row>
    <row r="40" spans="1:12" x14ac:dyDescent="0.2">
      <c r="A40" s="1115"/>
      <c r="B40" s="1138"/>
      <c r="C40" s="1116" t="s">
        <v>326</v>
      </c>
      <c r="D40" s="1101" t="str">
        <f>IF('Assets-Liab 5-6'!I4&lt;-0.49, "ERROR!","OK")</f>
        <v>OK</v>
      </c>
    </row>
    <row r="41" spans="1:12" x14ac:dyDescent="0.2">
      <c r="A41" s="1115"/>
      <c r="B41" s="1138"/>
      <c r="C41" s="1116" t="s">
        <v>815</v>
      </c>
      <c r="D41" s="1101" t="str">
        <f>IF('Assets-Liab 5-6'!J4&lt;-0.49, "ERROR!","OK")</f>
        <v>OK</v>
      </c>
    </row>
    <row r="42" spans="1:12" x14ac:dyDescent="0.2">
      <c r="A42" s="1115"/>
      <c r="B42" s="1138"/>
      <c r="C42" s="1116" t="s">
        <v>327</v>
      </c>
      <c r="D42" s="1101" t="str">
        <f>IF('Assets-Liab 5-6'!K4&lt;-0.49, "ERROR!","OK")</f>
        <v>OK</v>
      </c>
    </row>
    <row r="43" spans="1:12" x14ac:dyDescent="0.2">
      <c r="A43" s="1117"/>
      <c r="B43" s="1118">
        <f>B33+1</f>
        <v>5</v>
      </c>
      <c r="C43" s="2497" t="s">
        <v>556</v>
      </c>
      <c r="D43" s="2498"/>
    </row>
    <row r="44" spans="1:12" x14ac:dyDescent="0.2">
      <c r="A44" s="1117"/>
      <c r="B44" s="1119"/>
      <c r="C44" s="1120" t="s">
        <v>1401</v>
      </c>
      <c r="D44" s="1121" t="str">
        <f>IF(SUM('Assets-Liab 5-6'!C13)&lt;&gt;SUM('Assets-Liab 5-6'!C41),"ERROR!","OK")</f>
        <v>OK</v>
      </c>
    </row>
    <row r="45" spans="1:12" x14ac:dyDescent="0.2">
      <c r="A45" s="1117"/>
      <c r="B45" s="1119"/>
      <c r="C45" s="1120" t="s">
        <v>1402</v>
      </c>
      <c r="D45" s="1121" t="str">
        <f>IF(SUM('Assets-Liab 5-6'!D13)&lt;&gt;SUM('Assets-Liab 5-6'!D41),"ERROR!","OK")</f>
        <v>OK</v>
      </c>
    </row>
    <row r="46" spans="1:12" x14ac:dyDescent="0.2">
      <c r="A46" s="1117"/>
      <c r="B46" s="1119"/>
      <c r="C46" s="1120" t="s">
        <v>1403</v>
      </c>
      <c r="D46" s="1121" t="str">
        <f>IF(SUM('Assets-Liab 5-6'!E13)&lt;&gt;SUM('Assets-Liab 5-6'!E41),"ERROR!","OK")</f>
        <v>OK</v>
      </c>
    </row>
    <row r="47" spans="1:12" x14ac:dyDescent="0.2">
      <c r="A47" s="1117"/>
      <c r="B47" s="1119"/>
      <c r="C47" s="1120" t="s">
        <v>1404</v>
      </c>
      <c r="D47" s="1121" t="str">
        <f>IF(SUM('Assets-Liab 5-6'!F13)&lt;&gt;SUM('Assets-Liab 5-6'!F41),"ERROR!","OK")</f>
        <v>OK</v>
      </c>
    </row>
    <row r="48" spans="1:12" x14ac:dyDescent="0.2">
      <c r="A48" s="1117"/>
      <c r="B48" s="1119"/>
      <c r="C48" s="1120" t="s">
        <v>1405</v>
      </c>
      <c r="D48" s="1121" t="str">
        <f>IF(SUM('Assets-Liab 5-6'!G13)&lt;&gt;SUM('Assets-Liab 5-6'!G41),"ERROR!","OK")</f>
        <v>OK</v>
      </c>
    </row>
    <row r="49" spans="1:4" x14ac:dyDescent="0.2">
      <c r="A49" s="1117"/>
      <c r="B49" s="1119"/>
      <c r="C49" s="1120" t="s">
        <v>1406</v>
      </c>
      <c r="D49" s="1121" t="str">
        <f>IF(SUM('Assets-Liab 5-6'!H13)&lt;&gt;SUM('Assets-Liab 5-6'!H41),"ERROR!","OK")</f>
        <v>OK</v>
      </c>
    </row>
    <row r="50" spans="1:4" x14ac:dyDescent="0.2">
      <c r="A50" s="1117"/>
      <c r="B50" s="1119"/>
      <c r="C50" s="1120" t="s">
        <v>1407</v>
      </c>
      <c r="D50" s="1121" t="str">
        <f>IF(SUM('Assets-Liab 5-6'!I13)&lt;&gt;SUM('Assets-Liab 5-6'!I41),"ERROR!","OK")</f>
        <v>OK</v>
      </c>
    </row>
    <row r="51" spans="1:4" x14ac:dyDescent="0.2">
      <c r="A51" s="1117"/>
      <c r="B51" s="1119"/>
      <c r="C51" s="1120" t="s">
        <v>1408</v>
      </c>
      <c r="D51" s="1121" t="str">
        <f>IF(SUM('Assets-Liab 5-6'!J13)&lt;&gt;SUM('Assets-Liab 5-6'!J41),"ERROR!","OK")</f>
        <v>OK</v>
      </c>
    </row>
    <row r="52" spans="1:4" x14ac:dyDescent="0.2">
      <c r="A52" s="1117"/>
      <c r="B52" s="1119"/>
      <c r="C52" s="1120" t="s">
        <v>1409</v>
      </c>
      <c r="D52" s="1121" t="str">
        <f>IF(SUM('Assets-Liab 5-6'!K13)&lt;&gt;SUM('Assets-Liab 5-6'!K41),"ERROR!","OK")</f>
        <v>OK</v>
      </c>
    </row>
    <row r="53" spans="1:4" x14ac:dyDescent="0.2">
      <c r="A53" s="1117"/>
      <c r="B53" s="1119"/>
      <c r="C53" s="1120" t="s">
        <v>1410</v>
      </c>
      <c r="D53" s="1121" t="str">
        <f>IF(SUM('Assets-Liab 5-6'!L13)&lt;&gt;('Assets-Liab 5-6'!L41),"ERROR!","OK")</f>
        <v>OK</v>
      </c>
    </row>
    <row r="54" spans="1:4" x14ac:dyDescent="0.2">
      <c r="A54" s="1117"/>
      <c r="B54" s="1119"/>
      <c r="C54" s="1120" t="s">
        <v>1411</v>
      </c>
      <c r="D54" s="1121" t="str">
        <f>IF(SUM('Assets-Liab 5-6'!M23)&lt;&gt;('Assets-Liab 5-6'!M41),"ERROR!","OK")</f>
        <v>OK</v>
      </c>
    </row>
    <row r="55" spans="1:4" x14ac:dyDescent="0.2">
      <c r="A55" s="1117"/>
      <c r="B55" s="1119"/>
      <c r="C55" s="1120" t="s">
        <v>1412</v>
      </c>
      <c r="D55" s="1121" t="str">
        <f>IF(SUM('Assets-Liab 5-6'!N23)&lt;&gt;('Assets-Liab 5-6'!N41),"ERROR!","OK")</f>
        <v>OK</v>
      </c>
    </row>
    <row r="56" spans="1:4" x14ac:dyDescent="0.2">
      <c r="A56" s="1098"/>
      <c r="B56" s="1118">
        <f>B43+1</f>
        <v>6</v>
      </c>
      <c r="C56" s="2489" t="s">
        <v>816</v>
      </c>
      <c r="D56" s="2490"/>
    </row>
    <row r="57" spans="1:4" s="1114" customFormat="1" x14ac:dyDescent="0.2">
      <c r="A57" s="1098"/>
      <c r="B57" s="1108"/>
      <c r="C57" s="1116" t="s">
        <v>1413</v>
      </c>
      <c r="D57" s="1122" t="str">
        <f>IF('Assets-Liab 5-6'!C38+'Assets-Liab 5-6'!C39='Acct Summary 7-8'!C81,"OK","ERROR!")</f>
        <v>OK</v>
      </c>
    </row>
    <row r="58" spans="1:4" x14ac:dyDescent="0.2">
      <c r="A58" s="1098"/>
      <c r="B58" s="1108"/>
      <c r="C58" s="1116" t="s">
        <v>1414</v>
      </c>
      <c r="D58" s="1122" t="str">
        <f>IF((('Assets-Liab 5-6'!D38+'Assets-Liab 5-6'!D39) ='Acct Summary 7-8'!D81), "OK", "ERROR!" )</f>
        <v>OK</v>
      </c>
    </row>
    <row r="59" spans="1:4" s="1114" customFormat="1" x14ac:dyDescent="0.2">
      <c r="A59" s="1098"/>
      <c r="B59" s="1108"/>
      <c r="C59" s="1116" t="s">
        <v>1415</v>
      </c>
      <c r="D59" s="1122" t="str">
        <f>IF((('Assets-Liab 5-6'!E38 + 'Assets-Liab 5-6'!E39) ='Acct Summary 7-8'!E81), "OK", "ERROR!" )</f>
        <v>OK</v>
      </c>
    </row>
    <row r="60" spans="1:4" x14ac:dyDescent="0.2">
      <c r="A60" s="1098"/>
      <c r="B60" s="1108"/>
      <c r="C60" s="1116" t="s">
        <v>1416</v>
      </c>
      <c r="D60" s="1122" t="str">
        <f>IF((('Assets-Liab 5-6'!F38 + 'Assets-Liab 5-6'!F39) ='Acct Summary 7-8'!F81), "OK", "ERROR!" )</f>
        <v>OK</v>
      </c>
    </row>
    <row r="61" spans="1:4" ht="12.75" customHeight="1" x14ac:dyDescent="0.2">
      <c r="A61" s="1098"/>
      <c r="B61" s="1108"/>
      <c r="C61" s="1116" t="s">
        <v>1429</v>
      </c>
      <c r="D61" s="1122" t="str">
        <f>IF((('Assets-Liab 5-6'!G38 + 'Assets-Liab 5-6'!G39) ='Acct Summary 7-8'!G81), "OK", "ERROR!" )</f>
        <v>OK</v>
      </c>
    </row>
    <row r="62" spans="1:4" x14ac:dyDescent="0.2">
      <c r="A62" s="1098"/>
      <c r="B62" s="1108"/>
      <c r="C62" s="1116" t="s">
        <v>1417</v>
      </c>
      <c r="D62" s="1122" t="str">
        <f>IF((('Assets-Liab 5-6'!H38 + 'Assets-Liab 5-6'!H39) ='Acct Summary 7-8'!H81), "OK", "ERROR!" )</f>
        <v>OK</v>
      </c>
    </row>
    <row r="63" spans="1:4" ht="12.75" customHeight="1" x14ac:dyDescent="0.2">
      <c r="A63" s="1098"/>
      <c r="B63" s="1108"/>
      <c r="C63" s="1116" t="s">
        <v>1418</v>
      </c>
      <c r="D63" s="1122" t="str">
        <f>IF((('Assets-Liab 5-6'!I38 + 'Assets-Liab 5-6'!I39) ='Acct Summary 7-8'!I81), "OK", "ERROR!" )</f>
        <v>OK</v>
      </c>
    </row>
    <row r="64" spans="1:4" x14ac:dyDescent="0.2">
      <c r="A64" s="1098"/>
      <c r="B64" s="1108"/>
      <c r="C64" s="1116" t="s">
        <v>1419</v>
      </c>
      <c r="D64" s="1122" t="str">
        <f>IF((('Assets-Liab 5-6'!J38 + 'Assets-Liab 5-6'!J39) ='Acct Summary 7-8'!J81), "OK", "ERROR!" )</f>
        <v>OK</v>
      </c>
    </row>
    <row r="65" spans="1:4" x14ac:dyDescent="0.2">
      <c r="A65" s="1115"/>
      <c r="B65" s="1108"/>
      <c r="C65" s="1116" t="s">
        <v>1430</v>
      </c>
      <c r="D65" s="1122" t="str">
        <f>IF((('Assets-Liab 5-6'!K38 + 'Assets-Liab 5-6'!K39) ='Acct Summary 7-8'!K81), "OK", "ERROR!" )</f>
        <v>OK</v>
      </c>
    </row>
    <row r="66" spans="1:4" x14ac:dyDescent="0.2">
      <c r="A66" s="1096"/>
      <c r="B66" s="1138">
        <f>B56+1+1</f>
        <v>8</v>
      </c>
      <c r="C66" s="1144" t="s">
        <v>2045</v>
      </c>
      <c r="D66" s="1123"/>
    </row>
    <row r="67" spans="1:4" x14ac:dyDescent="0.2">
      <c r="A67" s="1117"/>
      <c r="B67" s="1138"/>
      <c r="C67" s="1145" t="s">
        <v>1078</v>
      </c>
      <c r="D67" s="1123"/>
    </row>
    <row r="68" spans="1:4" x14ac:dyDescent="0.2">
      <c r="A68" s="1098"/>
      <c r="B68" s="1108"/>
      <c r="C68" s="1100" t="s">
        <v>2046</v>
      </c>
      <c r="D68" s="1122" t="str">
        <f>IF('Short-Term Long-Term Debt 24'!F49=SUM(,'Acct Summary 7-8'!C33:K33),"OK","ERROR!")</f>
        <v>OK</v>
      </c>
    </row>
    <row r="69" spans="1:4" x14ac:dyDescent="0.2">
      <c r="A69" s="1098"/>
      <c r="B69" s="1108"/>
      <c r="C69" s="1100" t="s">
        <v>2047</v>
      </c>
      <c r="D69" s="1122" t="str">
        <f>IF('Expenditures 15-22'!H170&lt;&gt;'Short-Term Long-Term Debt 24'!H49,"ERROR!","OK")</f>
        <v>OK</v>
      </c>
    </row>
    <row r="70" spans="1:4" x14ac:dyDescent="0.2">
      <c r="A70" s="1096"/>
      <c r="B70" s="1118">
        <f>B66+1</f>
        <v>9</v>
      </c>
      <c r="C70" s="2489" t="s">
        <v>1796</v>
      </c>
      <c r="D70" s="2490"/>
    </row>
    <row r="71" spans="1:4" x14ac:dyDescent="0.2">
      <c r="A71" s="1096"/>
      <c r="B71" s="1118"/>
      <c r="C71" s="1100" t="s">
        <v>1420</v>
      </c>
      <c r="D71" s="1124" t="str">
        <f>IF(SUM('Acct Summary 7-8'!C27:K27) =SUM( 'Acct Summary 7-8'!C49:K49),"OK", "ERROR")</f>
        <v>OK</v>
      </c>
    </row>
    <row r="72" spans="1:4" x14ac:dyDescent="0.2">
      <c r="A72" s="1098"/>
      <c r="B72" s="1108"/>
      <c r="C72" s="1116" t="s">
        <v>1421</v>
      </c>
      <c r="D72" s="1122" t="str">
        <f>IF(SUM('Acct Summary 7-8'!C28:K28)=SUM('Acct Summary 7-8'!C50:K50),"OK","ERROR!")</f>
        <v>OK</v>
      </c>
    </row>
    <row r="73" spans="1:4" ht="24" x14ac:dyDescent="0.2">
      <c r="A73" s="1125"/>
      <c r="B73" s="1108"/>
      <c r="C73" s="1116" t="s">
        <v>1797</v>
      </c>
      <c r="D73" s="1124" t="str">
        <f>IF(SUM('Acct Summary 7-8'!C42:K42)&gt;=SUM( 'Acct Summary 7-8'!C74:K74),"OK", "ERROR")</f>
        <v>OK</v>
      </c>
    </row>
    <row r="74" spans="1:4" x14ac:dyDescent="0.2">
      <c r="A74" s="1096"/>
      <c r="B74" s="1118">
        <f>B70+1</f>
        <v>10</v>
      </c>
      <c r="C74" s="1112" t="s">
        <v>2048</v>
      </c>
      <c r="D74" s="1126"/>
    </row>
    <row r="75" spans="1:4" x14ac:dyDescent="0.2">
      <c r="A75" s="1098"/>
      <c r="B75" s="1108"/>
      <c r="C75" s="1116" t="s">
        <v>1443</v>
      </c>
      <c r="D75" s="1122" t="str">
        <f>IF(SUM('Assets-Liab 5-6'!C38:H38)&gt;=SUM('Rest Tax Levies-Tort Im 25'!G25:K25),"OK","ERROR")</f>
        <v>OK</v>
      </c>
    </row>
    <row r="76" spans="1:4" x14ac:dyDescent="0.2">
      <c r="A76" s="1098"/>
      <c r="B76" s="1108"/>
      <c r="C76" s="1116" t="s">
        <v>1489</v>
      </c>
      <c r="D76" s="1122" t="str">
        <f>IF(SUM('Assets-Liab 5-6'!C39:K39)&gt;0,"OK","ENTRY IS REQUIRED!")</f>
        <v>OK</v>
      </c>
    </row>
    <row r="77" spans="1:4" x14ac:dyDescent="0.2">
      <c r="A77" s="1098"/>
      <c r="B77" s="1127">
        <f>B74+1</f>
        <v>11</v>
      </c>
      <c r="C77" s="1172" t="s">
        <v>1444</v>
      </c>
      <c r="D77" s="1122"/>
    </row>
    <row r="78" spans="1:4" x14ac:dyDescent="0.2">
      <c r="A78" s="1098"/>
      <c r="B78" s="1108"/>
      <c r="C78" s="1116" t="s">
        <v>2049</v>
      </c>
      <c r="D78" s="1122" t="str">
        <f>IF(ISNUMBER('Acct Summary 7-8'!C9),"OK","ENTRY IS REQUIRED!")</f>
        <v>OK</v>
      </c>
    </row>
    <row r="79" spans="1:4" x14ac:dyDescent="0.2">
      <c r="A79" s="1117"/>
      <c r="B79" s="1118">
        <f>B74+1+1</f>
        <v>12</v>
      </c>
      <c r="C79" s="1128" t="s">
        <v>2014</v>
      </c>
      <c r="D79" s="1129" t="str">
        <f>IF(OR(COVER!$B$6="X",'PCTC-OEPP 27-28'!F78&gt;0),"OK","PLEASE ENTER 9 MO ADA.")</f>
        <v>OK</v>
      </c>
    </row>
    <row r="80" spans="1:4" x14ac:dyDescent="0.2">
      <c r="A80" s="1096"/>
      <c r="B80" s="1118">
        <v>13</v>
      </c>
      <c r="C80" s="1128" t="s">
        <v>2050</v>
      </c>
      <c r="D80" s="1129" t="str">
        <f>IF('Contracts Paid in CY 29'!D141&gt;0,"OK","PLEASE ENTER CONTRACTS PAID IN CURRENT YEAR.")</f>
        <v>OK</v>
      </c>
    </row>
    <row r="81" spans="1:4" x14ac:dyDescent="0.2">
      <c r="A81" s="1096"/>
      <c r="B81" s="1118">
        <v>14</v>
      </c>
      <c r="C81" s="1128" t="s">
        <v>1495</v>
      </c>
      <c r="D81" s="1121" t="str">
        <f>IF('Shared Outsourced Services 31'!B8="X","OK",IF('Shared Outsourced Services 31'!K34&gt;0,"OK","ENTRY REQUIRED!"))</f>
        <v>OK</v>
      </c>
    </row>
    <row r="82" spans="1:4" x14ac:dyDescent="0.2">
      <c r="A82" s="1117"/>
      <c r="B82" s="1118">
        <v>15</v>
      </c>
      <c r="C82" s="1128" t="s">
        <v>1494</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48072323026</v>
      </c>
    </row>
    <row r="3" spans="1:2" x14ac:dyDescent="0.2">
      <c r="A3" t="s">
        <v>1012</v>
      </c>
      <c r="B3" s="138" t="str">
        <f>COVER!A15</f>
        <v>Peoria</v>
      </c>
    </row>
    <row r="4" spans="1:2" x14ac:dyDescent="0.2">
      <c r="A4" t="s">
        <v>1063</v>
      </c>
      <c r="B4" s="138" t="str">
        <f>COVER!A17</f>
        <v>Dunlap CUSD 323</v>
      </c>
    </row>
    <row r="5" spans="1:2" x14ac:dyDescent="0.2">
      <c r="A5" t="s">
        <v>727</v>
      </c>
      <c r="B5" s="138" t="str">
        <f>COVER!A38</f>
        <v>Dr. Scott Dearman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Russel J. Rumbold II, CPA</v>
      </c>
    </row>
    <row r="18" spans="1:2" x14ac:dyDescent="0.2">
      <c r="A18" t="s">
        <v>1211</v>
      </c>
      <c r="B18" s="138" t="str">
        <f>COVER!T17</f>
        <v>4200 N Knoxville Ave</v>
      </c>
    </row>
    <row r="19" spans="1:2" x14ac:dyDescent="0.2">
      <c r="A19" t="s">
        <v>940</v>
      </c>
      <c r="B19" s="138" t="str">
        <f>COVER!T25</f>
        <v>rrumbold@gorenzcpa.com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16926337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35029912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1703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1703</v>
      </c>
      <c r="C91" s="2" t="s">
        <v>593</v>
      </c>
      <c r="D91" s="2" t="str">
        <f t="shared" si="0"/>
        <v>Error?</v>
      </c>
    </row>
    <row r="92" spans="1:4" x14ac:dyDescent="0.2">
      <c r="A92" s="5">
        <v>31</v>
      </c>
      <c r="B92" s="138">
        <f>'Assets-Liab 5-6'!C39</f>
        <v>35028209</v>
      </c>
      <c r="D92" s="2" t="str">
        <f t="shared" si="0"/>
        <v>Error?</v>
      </c>
    </row>
    <row r="93" spans="1:4" x14ac:dyDescent="0.2">
      <c r="A93" s="5">
        <v>32</v>
      </c>
      <c r="B93" s="138">
        <f>'Assets-Liab 5-6'!C41</f>
        <v>35029912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4084240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4084240</v>
      </c>
      <c r="D123" s="2" t="str">
        <f t="shared" si="0"/>
        <v>Error?</v>
      </c>
    </row>
    <row r="124" spans="1:4" x14ac:dyDescent="0.2">
      <c r="A124" s="5">
        <v>63</v>
      </c>
      <c r="B124" s="138">
        <f>'Assets-Liab 5-6'!D41</f>
        <v>4084240</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3633234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2913234</v>
      </c>
      <c r="D140" s="2" t="str">
        <f t="shared" si="1"/>
        <v>Error?</v>
      </c>
    </row>
    <row r="141" spans="1:4" x14ac:dyDescent="0.2">
      <c r="A141" s="5">
        <v>80</v>
      </c>
      <c r="B141" s="138">
        <f>'Assets-Liab 5-6'!E41</f>
        <v>3633234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6124392</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6124392</v>
      </c>
      <c r="D170" s="2" t="str">
        <f t="shared" si="1"/>
        <v>Error?</v>
      </c>
    </row>
    <row r="171" spans="1:4" x14ac:dyDescent="0.2">
      <c r="A171" s="5">
        <v>110</v>
      </c>
      <c r="B171" s="138">
        <f>'Assets-Liab 5-6'!F41</f>
        <v>6124392</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3404147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1771244</v>
      </c>
      <c r="D189" s="2" t="str">
        <f t="shared" si="1"/>
        <v>Error?</v>
      </c>
    </row>
    <row r="190" spans="1:4" x14ac:dyDescent="0.2">
      <c r="A190" s="5">
        <v>129</v>
      </c>
      <c r="B190" s="138">
        <f>'Assets-Liab 5-6'!G41</f>
        <v>3404147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8041344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7826950</v>
      </c>
      <c r="D212" s="2" t="str">
        <f t="shared" si="2"/>
        <v>Error?</v>
      </c>
    </row>
    <row r="213" spans="1:4" x14ac:dyDescent="0.2">
      <c r="A213" s="12">
        <v>152</v>
      </c>
      <c r="B213" s="138">
        <f>'Assets-Liab 5-6'!H41</f>
        <v>8041344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2812408</v>
      </c>
      <c r="D273" s="2" t="str">
        <f t="shared" si="3"/>
        <v>Error?</v>
      </c>
    </row>
    <row r="274" spans="1:4" x14ac:dyDescent="0.2">
      <c r="A274" s="5">
        <v>213</v>
      </c>
      <c r="B274" s="138">
        <f>'Assets-Liab 5-6'!M17</f>
        <v>106156261</v>
      </c>
      <c r="D274" s="2" t="str">
        <f t="shared" si="3"/>
        <v>Error?</v>
      </c>
    </row>
    <row r="275" spans="1:4" x14ac:dyDescent="0.2">
      <c r="A275" s="5">
        <v>214</v>
      </c>
      <c r="B275" s="138">
        <f>'Assets-Liab 5-6'!M18</f>
        <v>11142699</v>
      </c>
      <c r="D275" s="2" t="str">
        <f t="shared" si="3"/>
        <v>Error?</v>
      </c>
    </row>
    <row r="276" spans="1:4" x14ac:dyDescent="0.2">
      <c r="A276" s="5">
        <v>215</v>
      </c>
      <c r="B276" s="138">
        <f>'Assets-Liab 5-6'!M19</f>
        <v>12782838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133375262</v>
      </c>
      <c r="C279" s="2" t="s">
        <v>593</v>
      </c>
      <c r="D279" s="2" t="str">
        <f t="shared" si="3"/>
        <v>Error?</v>
      </c>
    </row>
    <row r="280" spans="1:4" x14ac:dyDescent="0.2">
      <c r="A280" s="5">
        <v>219</v>
      </c>
      <c r="B280" s="138">
        <f>'Assets-Liab 5-6'!M40</f>
        <v>133375262</v>
      </c>
      <c r="D280" s="2" t="str">
        <f t="shared" si="3"/>
        <v>Error?</v>
      </c>
    </row>
    <row r="281" spans="1:4" x14ac:dyDescent="0.2">
      <c r="A281" s="5">
        <v>220</v>
      </c>
      <c r="B281" s="138">
        <f>'Assets-Liab 5-6'!M41</f>
        <v>133375262</v>
      </c>
      <c r="C281" s="2" t="s">
        <v>593</v>
      </c>
      <c r="D281" s="2" t="str">
        <f t="shared" si="3"/>
        <v>Error?</v>
      </c>
    </row>
    <row r="282" spans="1:4" x14ac:dyDescent="0.2">
      <c r="A282" s="5">
        <v>221</v>
      </c>
      <c r="B282" s="138">
        <f>'Assets-Liab 5-6'!N21</f>
        <v>3633234</v>
      </c>
      <c r="D282" s="2" t="str">
        <f t="shared" si="3"/>
        <v>Error?</v>
      </c>
    </row>
    <row r="283" spans="1:4" x14ac:dyDescent="0.2">
      <c r="A283" s="5">
        <v>222</v>
      </c>
      <c r="B283" s="138">
        <f>'Assets-Liab 5-6'!N22</f>
        <v>54569827</v>
      </c>
      <c r="D283" s="2" t="str">
        <f t="shared" si="3"/>
        <v>Error?</v>
      </c>
    </row>
    <row r="284" spans="1:4" x14ac:dyDescent="0.2">
      <c r="A284" s="5">
        <v>223</v>
      </c>
      <c r="B284" s="138">
        <f>'Assets-Liab 5-6'!N23</f>
        <v>58203061</v>
      </c>
      <c r="C284" s="2" t="s">
        <v>593</v>
      </c>
      <c r="D284" s="2" t="str">
        <f t="shared" si="3"/>
        <v>Error?</v>
      </c>
    </row>
    <row r="285" spans="1:4" x14ac:dyDescent="0.2">
      <c r="A285" s="5">
        <v>224</v>
      </c>
      <c r="B285" s="138">
        <f>'Assets-Liab 5-6'!N36</f>
        <v>58203061</v>
      </c>
      <c r="D285" s="2" t="str">
        <f t="shared" si="3"/>
        <v>Error?</v>
      </c>
    </row>
    <row r="286" spans="1:4" x14ac:dyDescent="0.2">
      <c r="A286" s="10">
        <v>225</v>
      </c>
      <c r="D286" s="2" t="str">
        <f t="shared" si="3"/>
        <v>OK</v>
      </c>
    </row>
    <row r="287" spans="1:4" x14ac:dyDescent="0.2">
      <c r="A287" s="5">
        <v>226</v>
      </c>
      <c r="B287" s="138">
        <f>'Assets-Liab 5-6'!N37</f>
        <v>58203061</v>
      </c>
      <c r="C287" s="2" t="s">
        <v>593</v>
      </c>
      <c r="D287" s="2" t="str">
        <f t="shared" si="3"/>
        <v>Error?</v>
      </c>
    </row>
    <row r="288" spans="1:4" x14ac:dyDescent="0.2">
      <c r="A288" s="5">
        <v>227</v>
      </c>
      <c r="B288" s="138">
        <f>'Assets-Liab 5-6'!N41</f>
        <v>58203061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299835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7720000</v>
      </c>
      <c r="D618" s="2" t="str">
        <f t="shared" si="8"/>
        <v>Error?</v>
      </c>
    </row>
    <row r="619" spans="1:4" x14ac:dyDescent="0.2">
      <c r="A619" s="5">
        <v>558</v>
      </c>
      <c r="B619" s="138">
        <f>'Acct Summary 7-8'!H34</f>
        <v>602458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12316264</v>
      </c>
      <c r="D705" s="2" t="str">
        <f t="shared" si="10"/>
        <v>Error?</v>
      </c>
    </row>
    <row r="706" spans="1:4" x14ac:dyDescent="0.2">
      <c r="A706" s="5">
        <v>645</v>
      </c>
      <c r="B706" s="138">
        <f>'Expenditures 15-22'!C16</f>
        <v>15473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292208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911766</v>
      </c>
      <c r="D718" s="2" t="str">
        <f t="shared" si="10"/>
        <v>Error?</v>
      </c>
    </row>
    <row r="719" spans="1:4" x14ac:dyDescent="0.2">
      <c r="A719" s="5">
        <v>658</v>
      </c>
      <c r="B719" s="138">
        <f>'Expenditures 15-22'!C15</f>
        <v>4500</v>
      </c>
      <c r="D719" s="2" t="str">
        <f t="shared" si="10"/>
        <v>Error?</v>
      </c>
    </row>
    <row r="720" spans="1:4" x14ac:dyDescent="0.2">
      <c r="A720" s="5">
        <v>659</v>
      </c>
      <c r="B720" s="138">
        <f>'Expenditures 15-22'!C33</f>
        <v>17106024</v>
      </c>
      <c r="C720" s="2" t="s">
        <v>593</v>
      </c>
      <c r="D720" s="2" t="str">
        <f t="shared" si="10"/>
        <v>Error?</v>
      </c>
    </row>
    <row r="721" spans="1:4" x14ac:dyDescent="0.2">
      <c r="A721" s="5">
        <v>660</v>
      </c>
      <c r="B721" s="138">
        <f>'Expenditures 15-22'!C36</f>
        <v>143984</v>
      </c>
      <c r="D721" s="2" t="str">
        <f t="shared" si="10"/>
        <v>Error?</v>
      </c>
    </row>
    <row r="722" spans="1:4" x14ac:dyDescent="0.2">
      <c r="A722" s="5">
        <v>661</v>
      </c>
      <c r="B722" s="138">
        <f>'Expenditures 15-22'!C37</f>
        <v>610512</v>
      </c>
      <c r="D722" s="2" t="str">
        <f t="shared" si="10"/>
        <v>Error?</v>
      </c>
    </row>
    <row r="723" spans="1:4" x14ac:dyDescent="0.2">
      <c r="A723" s="5">
        <v>662</v>
      </c>
      <c r="B723" s="138">
        <f>'Expenditures 15-22'!C38</f>
        <v>169890</v>
      </c>
      <c r="D723" s="2" t="str">
        <f t="shared" si="10"/>
        <v>Error?</v>
      </c>
    </row>
    <row r="724" spans="1:4" x14ac:dyDescent="0.2">
      <c r="A724" s="5">
        <v>663</v>
      </c>
      <c r="B724" s="138">
        <f>'Expenditures 15-22'!C39</f>
        <v>109289</v>
      </c>
      <c r="D724" s="2" t="str">
        <f t="shared" si="10"/>
        <v>Error?</v>
      </c>
    </row>
    <row r="725" spans="1:4" x14ac:dyDescent="0.2">
      <c r="A725" s="5">
        <v>664</v>
      </c>
      <c r="B725" s="138">
        <f>'Expenditures 15-22'!C40</f>
        <v>438747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1472422</v>
      </c>
      <c r="C727" s="2" t="s">
        <v>593</v>
      </c>
      <c r="D727" s="2" t="str">
        <f t="shared" si="10"/>
        <v>Error?</v>
      </c>
    </row>
    <row r="728" spans="1:4" x14ac:dyDescent="0.2">
      <c r="A728" s="5">
        <v>667</v>
      </c>
      <c r="B728" s="138">
        <f>'Expenditures 15-22'!C44</f>
        <v>317288</v>
      </c>
      <c r="D728" s="2" t="str">
        <f t="shared" si="10"/>
        <v>Error?</v>
      </c>
    </row>
    <row r="729" spans="1:4" x14ac:dyDescent="0.2">
      <c r="A729" s="5">
        <v>668</v>
      </c>
      <c r="B729" s="138">
        <f>'Expenditures 15-22'!C45</f>
        <v>113863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431151</v>
      </c>
      <c r="C731" s="2" t="s">
        <v>593</v>
      </c>
      <c r="D731" s="2" t="str">
        <f t="shared" si="10"/>
        <v>Error?</v>
      </c>
    </row>
    <row r="732" spans="1:4" x14ac:dyDescent="0.2">
      <c r="A732" s="5">
        <v>671</v>
      </c>
      <c r="B732" s="138">
        <f>'Expenditures 15-22'!C49</f>
        <v>1677</v>
      </c>
      <c r="D732" s="2" t="str">
        <f t="shared" si="10"/>
        <v>Error?</v>
      </c>
    </row>
    <row r="733" spans="1:4" x14ac:dyDescent="0.2">
      <c r="A733" s="5">
        <v>672</v>
      </c>
      <c r="B733" s="138">
        <f>'Expenditures 15-22'!C50</f>
        <v>462553</v>
      </c>
      <c r="D733" s="2" t="str">
        <f t="shared" si="10"/>
        <v>Error?</v>
      </c>
    </row>
    <row r="734" spans="1:4" x14ac:dyDescent="0.2">
      <c r="A734" s="5">
        <v>673</v>
      </c>
      <c r="B734" s="138">
        <f>'Expenditures 15-22'!C53</f>
        <v>464230</v>
      </c>
      <c r="C734" s="2" t="s">
        <v>593</v>
      </c>
      <c r="D734" s="2" t="str">
        <f t="shared" si="10"/>
        <v>Error?</v>
      </c>
    </row>
    <row r="735" spans="1:4" x14ac:dyDescent="0.2">
      <c r="A735" s="5">
        <v>674</v>
      </c>
      <c r="B735" s="138">
        <f>'Expenditures 15-22'!C55</f>
        <v>1676242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1676242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179056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597989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777045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174677</v>
      </c>
      <c r="D754" s="2" t="str">
        <f t="shared" si="10"/>
        <v>Error?</v>
      </c>
    </row>
    <row r="755" spans="1:4" x14ac:dyDescent="0.2">
      <c r="A755" s="5">
        <v>694</v>
      </c>
      <c r="B755" s="138">
        <f>'Expenditures 15-22'!C74</f>
        <v>4995767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22101791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2603998</v>
      </c>
      <c r="D763" s="2" t="str">
        <f t="shared" si="10"/>
        <v>Error?</v>
      </c>
    </row>
    <row r="764" spans="1:4" x14ac:dyDescent="0.2">
      <c r="A764" s="5">
        <v>703</v>
      </c>
      <c r="B764" s="138">
        <f>'Expenditures 15-22'!D16</f>
        <v>226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55740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28163</v>
      </c>
      <c r="D776" s="2" t="str">
        <f t="shared" si="11"/>
        <v>Error?</v>
      </c>
    </row>
    <row r="777" spans="1:4" x14ac:dyDescent="0.2">
      <c r="A777" s="5">
        <v>716</v>
      </c>
      <c r="B777" s="138">
        <f>'Expenditures 15-22'!D15</f>
        <v>64</v>
      </c>
      <c r="D777" s="2" t="str">
        <f t="shared" si="11"/>
        <v>Error?</v>
      </c>
    </row>
    <row r="778" spans="1:4" x14ac:dyDescent="0.2">
      <c r="A778" s="5">
        <v>717</v>
      </c>
      <c r="B778" s="138">
        <f>'Expenditures 15-22'!D33</f>
        <v>3100217</v>
      </c>
      <c r="C778" s="2" t="s">
        <v>593</v>
      </c>
      <c r="D778" s="2" t="str">
        <f t="shared" si="11"/>
        <v>Error?</v>
      </c>
    </row>
    <row r="779" spans="1:4" x14ac:dyDescent="0.2">
      <c r="A779" s="5">
        <v>718</v>
      </c>
      <c r="B779" s="138">
        <f>'Expenditures 15-22'!D36</f>
        <v>31044</v>
      </c>
      <c r="D779" s="2" t="str">
        <f t="shared" si="11"/>
        <v>Error?</v>
      </c>
    </row>
    <row r="780" spans="1:4" x14ac:dyDescent="0.2">
      <c r="A780" s="5">
        <v>719</v>
      </c>
      <c r="B780" s="138">
        <f>'Expenditures 15-22'!D37</f>
        <v>145881</v>
      </c>
      <c r="D780" s="2" t="str">
        <f t="shared" si="11"/>
        <v>Error?</v>
      </c>
    </row>
    <row r="781" spans="1:4" x14ac:dyDescent="0.2">
      <c r="A781" s="5">
        <v>720</v>
      </c>
      <c r="B781" s="138">
        <f>'Expenditures 15-22'!D38</f>
        <v>877</v>
      </c>
      <c r="D781" s="2" t="str">
        <f t="shared" si="11"/>
        <v>Error?</v>
      </c>
    </row>
    <row r="782" spans="1:4" x14ac:dyDescent="0.2">
      <c r="A782" s="5">
        <v>721</v>
      </c>
      <c r="B782" s="138">
        <f>'Expenditures 15-22'!D39</f>
        <v>22035</v>
      </c>
      <c r="D782" s="2" t="str">
        <f t="shared" si="11"/>
        <v>Error?</v>
      </c>
    </row>
    <row r="783" spans="1:4" x14ac:dyDescent="0.2">
      <c r="A783" s="5">
        <v>722</v>
      </c>
      <c r="B783" s="138">
        <f>'Expenditures 15-22'!D40</f>
        <v>93472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293309</v>
      </c>
      <c r="C785" s="2" t="s">
        <v>593</v>
      </c>
      <c r="D785" s="2" t="str">
        <f t="shared" si="11"/>
        <v>Error?</v>
      </c>
    </row>
    <row r="786" spans="1:4" x14ac:dyDescent="0.2">
      <c r="A786" s="5">
        <v>725</v>
      </c>
      <c r="B786" s="138">
        <f>'Expenditures 15-22'!D44</f>
        <v>37356</v>
      </c>
      <c r="D786" s="2" t="str">
        <f t="shared" si="11"/>
        <v>Error?</v>
      </c>
    </row>
    <row r="787" spans="1:4" x14ac:dyDescent="0.2">
      <c r="A787" s="5">
        <v>726</v>
      </c>
      <c r="B787" s="138">
        <f>'Expenditures 15-22'!D45</f>
        <v>19753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57109</v>
      </c>
      <c r="C789" s="2" t="s">
        <v>593</v>
      </c>
      <c r="D789" s="2" t="str">
        <f t="shared" si="11"/>
        <v>Error?</v>
      </c>
    </row>
    <row r="790" spans="1:4" x14ac:dyDescent="0.2">
      <c r="A790" s="5">
        <v>729</v>
      </c>
      <c r="B790" s="138">
        <f>'Expenditures 15-22'!D49</f>
        <v>3</v>
      </c>
      <c r="D790" s="2" t="str">
        <f t="shared" si="11"/>
        <v>Error?</v>
      </c>
    </row>
    <row r="791" spans="1:4" x14ac:dyDescent="0.2">
      <c r="A791" s="5">
        <v>730</v>
      </c>
      <c r="B791" s="138">
        <f>'Expenditures 15-22'!D50</f>
        <v>18969</v>
      </c>
      <c r="D791" s="2" t="str">
        <f t="shared" si="11"/>
        <v>Error?</v>
      </c>
    </row>
    <row r="792" spans="1:4" x14ac:dyDescent="0.2">
      <c r="A792" s="5">
        <v>731</v>
      </c>
      <c r="B792" s="138">
        <f>'Expenditures 15-22'!D53</f>
        <v>18972</v>
      </c>
      <c r="C792" s="2" t="s">
        <v>593</v>
      </c>
      <c r="D792" s="2" t="str">
        <f t="shared" si="11"/>
        <v>Error?</v>
      </c>
    </row>
    <row r="793" spans="1:4" x14ac:dyDescent="0.2">
      <c r="A793" s="5">
        <v>732</v>
      </c>
      <c r="B793" s="138">
        <f>'Expenditures 15-22'!D55</f>
        <v>279819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279819</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18608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11524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30132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13091</v>
      </c>
      <c r="D812" s="2" t="str">
        <f t="shared" si="11"/>
        <v>Error?</v>
      </c>
    </row>
    <row r="813" spans="1:4" x14ac:dyDescent="0.2">
      <c r="A813" s="5">
        <v>752</v>
      </c>
      <c r="B813" s="138">
        <f>'Expenditures 15-22'!D74</f>
        <v>692432</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3792649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36498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3869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162899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271294</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406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2701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3107</v>
      </c>
      <c r="C843" s="2" t="s">
        <v>593</v>
      </c>
      <c r="D843" s="2" t="str">
        <f t="shared" si="12"/>
        <v>Error?</v>
      </c>
    </row>
    <row r="844" spans="1:4" x14ac:dyDescent="0.2">
      <c r="A844" s="5">
        <v>783</v>
      </c>
      <c r="B844" s="138">
        <f>'Expenditures 15-22'!E44</f>
        <v>87924</v>
      </c>
      <c r="D844" s="2" t="str">
        <f t="shared" si="12"/>
        <v>Error?</v>
      </c>
    </row>
    <row r="845" spans="1:4" x14ac:dyDescent="0.2">
      <c r="A845" s="5">
        <v>784</v>
      </c>
      <c r="B845" s="138">
        <f>'Expenditures 15-22'!E45</f>
        <v>2000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89924</v>
      </c>
      <c r="C847" s="2" t="s">
        <v>593</v>
      </c>
      <c r="D847" s="2" t="str">
        <f t="shared" si="12"/>
        <v>Error?</v>
      </c>
    </row>
    <row r="848" spans="1:4" x14ac:dyDescent="0.2">
      <c r="A848" s="5">
        <v>787</v>
      </c>
      <c r="B848" s="138">
        <f>'Expenditures 15-22'!E49</f>
        <v>17241</v>
      </c>
      <c r="D848" s="2" t="str">
        <f t="shared" si="12"/>
        <v>Error?</v>
      </c>
    </row>
    <row r="849" spans="1:4" x14ac:dyDescent="0.2">
      <c r="A849" s="5">
        <v>788</v>
      </c>
      <c r="B849" s="138">
        <f>'Expenditures 15-22'!E50</f>
        <v>36558</v>
      </c>
      <c r="D849" s="2" t="str">
        <f t="shared" si="12"/>
        <v>Error?</v>
      </c>
    </row>
    <row r="850" spans="1:4" x14ac:dyDescent="0.2">
      <c r="A850" s="5">
        <v>789</v>
      </c>
      <c r="B850" s="138">
        <f>'Expenditures 15-22'!E53</f>
        <v>53799</v>
      </c>
      <c r="C850" s="2" t="s">
        <v>593</v>
      </c>
      <c r="D850" s="2" t="str">
        <f t="shared" si="12"/>
        <v>Error?</v>
      </c>
    </row>
    <row r="851" spans="1:4" x14ac:dyDescent="0.2">
      <c r="A851" s="5">
        <v>790</v>
      </c>
      <c r="B851" s="138">
        <f>'Expenditures 15-22'!E55</f>
        <v>199143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199143</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36438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17179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53617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553379</v>
      </c>
      <c r="D870" s="2" t="str">
        <f t="shared" si="12"/>
        <v>Error?</v>
      </c>
    </row>
    <row r="871" spans="1:4" x14ac:dyDescent="0.2">
      <c r="A871" s="5">
        <v>810</v>
      </c>
      <c r="B871" s="138">
        <f>'Expenditures 15-22'!E74</f>
        <v>952969</v>
      </c>
      <c r="C871" s="2" t="s">
        <v>593</v>
      </c>
      <c r="D871" s="2" t="str">
        <f t="shared" si="12"/>
        <v>Error?</v>
      </c>
    </row>
    <row r="872" spans="1:4" x14ac:dyDescent="0.2">
      <c r="A872" s="5">
        <v>811</v>
      </c>
      <c r="B872" s="138">
        <f>'Expenditures 15-22'!E75</f>
        <v>17700</v>
      </c>
      <c r="D872" s="2" t="str">
        <f t="shared" si="12"/>
        <v>Error?</v>
      </c>
    </row>
    <row r="873" spans="1:4" x14ac:dyDescent="0.2">
      <c r="A873" s="5">
        <v>812</v>
      </c>
      <c r="B873" s="138">
        <f>'Expenditures 15-22'!E114</f>
        <v>1241963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492919</v>
      </c>
      <c r="D879" s="2" t="str">
        <f t="shared" si="12"/>
        <v>Error?</v>
      </c>
    </row>
    <row r="880" spans="1:4" x14ac:dyDescent="0.2">
      <c r="A880" s="5">
        <v>819</v>
      </c>
      <c r="B880" s="138">
        <f>'Expenditures 15-22'!F16</f>
        <v>4762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21725</v>
      </c>
      <c r="D891" s="2" t="str">
        <f t="shared" si="12"/>
        <v>Error?</v>
      </c>
    </row>
    <row r="892" spans="1:4" x14ac:dyDescent="0.2">
      <c r="A892" s="5">
        <v>831</v>
      </c>
      <c r="B892" s="138">
        <f>'Expenditures 15-22'!F14</f>
        <v>86655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725201</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3420</v>
      </c>
      <c r="D899" s="2" t="str">
        <f t="shared" si="13"/>
        <v>Error?</v>
      </c>
    </row>
    <row r="900" spans="1:4" x14ac:dyDescent="0.2">
      <c r="A900" s="5">
        <v>839</v>
      </c>
      <c r="B900" s="138">
        <f>'Expenditures 15-22'!F41</f>
        <v>31378</v>
      </c>
      <c r="D900" s="2" t="str">
        <f t="shared" si="13"/>
        <v>Error?</v>
      </c>
    </row>
    <row r="901" spans="1:4" x14ac:dyDescent="0.2">
      <c r="A901" s="5">
        <v>840</v>
      </c>
      <c r="B901" s="138">
        <f>'Expenditures 15-22'!F42</f>
        <v>34921</v>
      </c>
      <c r="C901" s="2" t="s">
        <v>593</v>
      </c>
      <c r="D901" s="2" t="str">
        <f t="shared" si="13"/>
        <v>Error?</v>
      </c>
    </row>
    <row r="902" spans="1:4" x14ac:dyDescent="0.2">
      <c r="A902" s="5">
        <v>841</v>
      </c>
      <c r="B902" s="138">
        <f>'Expenditures 15-22'!F44</f>
        <v>11232</v>
      </c>
      <c r="D902" s="2" t="str">
        <f t="shared" si="13"/>
        <v>Error?</v>
      </c>
    </row>
    <row r="903" spans="1:4" x14ac:dyDescent="0.2">
      <c r="A903" s="5">
        <v>842</v>
      </c>
      <c r="B903" s="138">
        <f>'Expenditures 15-22'!F45</f>
        <v>4157</v>
      </c>
      <c r="D903" s="2" t="str">
        <f t="shared" si="13"/>
        <v>Error?</v>
      </c>
    </row>
    <row r="904" spans="1:4" x14ac:dyDescent="0.2">
      <c r="A904" s="5">
        <v>843</v>
      </c>
      <c r="B904" s="138">
        <f>'Expenditures 15-22'!F46</f>
        <v>17215</v>
      </c>
      <c r="D904" s="2" t="str">
        <f t="shared" si="13"/>
        <v>Error?</v>
      </c>
    </row>
    <row r="905" spans="1:4" x14ac:dyDescent="0.2">
      <c r="A905" s="5">
        <v>844</v>
      </c>
      <c r="B905" s="138">
        <f>'Expenditures 15-22'!F47</f>
        <v>32604</v>
      </c>
      <c r="C905" s="2" t="s">
        <v>593</v>
      </c>
      <c r="D905" s="2" t="str">
        <f t="shared" si="13"/>
        <v>Error?</v>
      </c>
    </row>
    <row r="906" spans="1:4" x14ac:dyDescent="0.2">
      <c r="A906" s="5">
        <v>845</v>
      </c>
      <c r="B906" s="138">
        <f>'Expenditures 15-22'!F49</f>
        <v>738</v>
      </c>
      <c r="D906" s="2" t="str">
        <f t="shared" si="13"/>
        <v>Error?</v>
      </c>
    </row>
    <row r="907" spans="1:4" x14ac:dyDescent="0.2">
      <c r="A907" s="5">
        <v>846</v>
      </c>
      <c r="B907" s="138">
        <f>'Expenditures 15-22'!F50</f>
        <v>3554</v>
      </c>
      <c r="D907" s="2" t="str">
        <f t="shared" si="13"/>
        <v>Error?</v>
      </c>
    </row>
    <row r="908" spans="1:4" x14ac:dyDescent="0.2">
      <c r="A908" s="5">
        <v>847</v>
      </c>
      <c r="B908" s="138">
        <f>'Expenditures 15-22'!F53</f>
        <v>4292</v>
      </c>
      <c r="C908" s="2" t="s">
        <v>593</v>
      </c>
      <c r="D908" s="2" t="str">
        <f t="shared" si="13"/>
        <v>Error?</v>
      </c>
    </row>
    <row r="909" spans="1:4" x14ac:dyDescent="0.2">
      <c r="A909" s="5">
        <v>848</v>
      </c>
      <c r="B909" s="138">
        <f>'Expenditures 15-22'!F55</f>
        <v>50939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50939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542967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542967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18823</v>
      </c>
      <c r="D928" s="2" t="str">
        <f t="shared" si="13"/>
        <v>Error?</v>
      </c>
    </row>
    <row r="929" spans="1:4" x14ac:dyDescent="0.2">
      <c r="A929" s="5">
        <v>868</v>
      </c>
      <c r="B929" s="138">
        <f>'Expenditures 15-22'!F74</f>
        <v>684546</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1409747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31292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1473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36357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19257</v>
      </c>
      <c r="D965" s="2" t="str">
        <f t="shared" si="14"/>
        <v>Error?</v>
      </c>
    </row>
    <row r="966" spans="1:4" x14ac:dyDescent="0.2">
      <c r="A966" s="5">
        <v>905</v>
      </c>
      <c r="B966" s="138">
        <f>'Expenditures 15-22'!G53</f>
        <v>19257</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42800</v>
      </c>
      <c r="D983" s="2" t="str">
        <f t="shared" si="14"/>
        <v>Error?</v>
      </c>
    </row>
    <row r="984" spans="1:4" x14ac:dyDescent="0.2">
      <c r="A984" s="10">
        <v>923</v>
      </c>
      <c r="D984" s="2" t="str">
        <f t="shared" si="14"/>
        <v>OK</v>
      </c>
    </row>
    <row r="985" spans="1:4" x14ac:dyDescent="0.2">
      <c r="A985" s="5">
        <v>924</v>
      </c>
      <c r="B985" s="138">
        <f>'Expenditures 15-22'!G72</f>
        <v>42800</v>
      </c>
      <c r="C985" s="2" t="s">
        <v>593</v>
      </c>
      <c r="D985" s="2" t="str">
        <f t="shared" si="14"/>
        <v>Error?</v>
      </c>
    </row>
    <row r="986" spans="1:4" x14ac:dyDescent="0.2">
      <c r="A986" s="5">
        <v>925</v>
      </c>
      <c r="B986" s="138">
        <f>'Expenditures 15-22'!G73</f>
        <v>683805</v>
      </c>
      <c r="D986" s="2" t="str">
        <f t="shared" si="14"/>
        <v>Error?</v>
      </c>
    </row>
    <row r="987" spans="1:4" x14ac:dyDescent="0.2">
      <c r="A987" s="5">
        <v>926</v>
      </c>
      <c r="B987" s="138">
        <f>'Expenditures 15-22'!G74</f>
        <v>745862</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782219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142316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1265925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1408241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15480971</v>
      </c>
      <c r="C1093" s="2" t="s">
        <v>593</v>
      </c>
      <c r="D1093" s="2" t="str">
        <f t="shared" si="16"/>
        <v>Error?</v>
      </c>
    </row>
    <row r="1094" spans="1:4" x14ac:dyDescent="0.2">
      <c r="A1094" s="5">
        <v>1033</v>
      </c>
      <c r="B1094" s="138">
        <f>'Expenditures 15-22'!K16</f>
        <v>20461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351817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21725</v>
      </c>
      <c r="C1105" s="2" t="s">
        <v>593</v>
      </c>
      <c r="D1105" s="2" t="str">
        <f t="shared" si="16"/>
        <v>Error?</v>
      </c>
    </row>
    <row r="1106" spans="1:4" x14ac:dyDescent="0.2">
      <c r="A1106" s="5">
        <v>1045</v>
      </c>
      <c r="B1106" s="138">
        <f>'Expenditures 15-22'!K14</f>
        <v>1190956</v>
      </c>
      <c r="C1106" s="2" t="s">
        <v>593</v>
      </c>
      <c r="D1106" s="2" t="str">
        <f t="shared" si="16"/>
        <v>Error?</v>
      </c>
    </row>
    <row r="1107" spans="1:4" x14ac:dyDescent="0.2">
      <c r="A1107" s="5">
        <v>1046</v>
      </c>
      <c r="B1107" s="138">
        <f>'Expenditures 15-22'!K15</f>
        <v>4564</v>
      </c>
      <c r="C1107" s="2" t="s">
        <v>593</v>
      </c>
      <c r="D1107" s="2" t="str">
        <f t="shared" si="16"/>
        <v>Error?</v>
      </c>
    </row>
    <row r="1108" spans="1:4" x14ac:dyDescent="0.2">
      <c r="A1108" s="5">
        <v>1047</v>
      </c>
      <c r="B1108" s="138">
        <f>'Expenditures 15-22'!K33</f>
        <v>21381409</v>
      </c>
      <c r="C1108" s="2" t="s">
        <v>593</v>
      </c>
      <c r="D1108" s="2" t="str">
        <f t="shared" si="16"/>
        <v>Error?</v>
      </c>
    </row>
    <row r="1109" spans="1:4" x14ac:dyDescent="0.2">
      <c r="A1109" s="5">
        <v>1048</v>
      </c>
      <c r="B1109" s="138">
        <f>'Expenditures 15-22'!K36</f>
        <v>175028</v>
      </c>
      <c r="C1109" s="2" t="s">
        <v>593</v>
      </c>
      <c r="D1109" s="2" t="str">
        <f t="shared" si="16"/>
        <v>Error?</v>
      </c>
    </row>
    <row r="1110" spans="1:4" x14ac:dyDescent="0.2">
      <c r="A1110" s="5">
        <v>1049</v>
      </c>
      <c r="B1110" s="138">
        <f>'Expenditures 15-22'!K37</f>
        <v>756393</v>
      </c>
      <c r="C1110" s="2" t="s">
        <v>593</v>
      </c>
      <c r="D1110" s="2" t="str">
        <f t="shared" si="16"/>
        <v>Error?</v>
      </c>
    </row>
    <row r="1111" spans="1:4" x14ac:dyDescent="0.2">
      <c r="A1111" s="5">
        <v>1050</v>
      </c>
      <c r="B1111" s="138">
        <f>'Expenditures 15-22'!K38</f>
        <v>171296</v>
      </c>
      <c r="C1111" s="2" t="s">
        <v>593</v>
      </c>
      <c r="D1111" s="2" t="str">
        <f t="shared" si="16"/>
        <v>Error?</v>
      </c>
    </row>
    <row r="1112" spans="1:4" x14ac:dyDescent="0.2">
      <c r="A1112" s="5">
        <v>1051</v>
      </c>
      <c r="B1112" s="138">
        <f>'Expenditures 15-22'!K39</f>
        <v>131324</v>
      </c>
      <c r="C1112" s="2" t="s">
        <v>593</v>
      </c>
      <c r="D1112" s="2" t="str">
        <f t="shared" si="16"/>
        <v>Error?</v>
      </c>
    </row>
    <row r="1113" spans="1:4" x14ac:dyDescent="0.2">
      <c r="A1113" s="5">
        <v>1052</v>
      </c>
      <c r="B1113" s="138">
        <f>'Expenditures 15-22'!K40</f>
        <v>538340</v>
      </c>
      <c r="C1113" s="2" t="s">
        <v>593</v>
      </c>
      <c r="D1113" s="2" t="str">
        <f t="shared" si="16"/>
        <v>Error?</v>
      </c>
    </row>
    <row r="1114" spans="1:4" x14ac:dyDescent="0.2">
      <c r="A1114" s="5">
        <v>1053</v>
      </c>
      <c r="B1114" s="138">
        <f>'Expenditures 15-22'!K41</f>
        <v>31378</v>
      </c>
      <c r="C1114" s="2" t="s">
        <v>593</v>
      </c>
      <c r="D1114" s="2" t="str">
        <f t="shared" si="16"/>
        <v>Error?</v>
      </c>
    </row>
    <row r="1115" spans="1:4" x14ac:dyDescent="0.2">
      <c r="A1115" s="5">
        <v>1054</v>
      </c>
      <c r="B1115" s="138">
        <f>'Expenditures 15-22'!K42</f>
        <v>1803759</v>
      </c>
      <c r="C1115" s="2" t="s">
        <v>593</v>
      </c>
      <c r="D1115" s="2" t="str">
        <f t="shared" si="16"/>
        <v>Error?</v>
      </c>
    </row>
    <row r="1116" spans="1:4" x14ac:dyDescent="0.2">
      <c r="A1116" s="5">
        <v>1055</v>
      </c>
      <c r="B1116" s="138">
        <f>'Expenditures 15-22'!K44</f>
        <v>453800</v>
      </c>
      <c r="C1116" s="2" t="s">
        <v>593</v>
      </c>
      <c r="D1116" s="2" t="str">
        <f t="shared" si="16"/>
        <v>Error?</v>
      </c>
    </row>
    <row r="1117" spans="1:4" x14ac:dyDescent="0.2">
      <c r="A1117" s="5">
        <v>1056</v>
      </c>
      <c r="B1117" s="138">
        <f>'Expenditures 15-22'!K45</f>
        <v>139773</v>
      </c>
      <c r="C1117" s="2" t="s">
        <v>593</v>
      </c>
      <c r="D1117" s="2" t="str">
        <f t="shared" si="16"/>
        <v>Error?</v>
      </c>
    </row>
    <row r="1118" spans="1:4" x14ac:dyDescent="0.2">
      <c r="A1118" s="5">
        <v>1057</v>
      </c>
      <c r="B1118" s="138">
        <f>'Expenditures 15-22'!K46</f>
        <v>17215</v>
      </c>
      <c r="C1118" s="2" t="s">
        <v>593</v>
      </c>
      <c r="D1118" s="2" t="str">
        <f t="shared" si="16"/>
        <v>Error?</v>
      </c>
    </row>
    <row r="1119" spans="1:4" x14ac:dyDescent="0.2">
      <c r="A1119" s="5">
        <v>1058</v>
      </c>
      <c r="B1119" s="138">
        <f>'Expenditures 15-22'!K47</f>
        <v>610788</v>
      </c>
      <c r="C1119" s="2" t="s">
        <v>593</v>
      </c>
      <c r="D1119" s="2" t="str">
        <f t="shared" si="16"/>
        <v>Error?</v>
      </c>
    </row>
    <row r="1120" spans="1:4" x14ac:dyDescent="0.2">
      <c r="A1120" s="5">
        <v>1059</v>
      </c>
      <c r="B1120" s="138">
        <f>'Expenditures 15-22'!K49</f>
        <v>19659</v>
      </c>
      <c r="C1120" s="2" t="s">
        <v>593</v>
      </c>
      <c r="D1120" s="2" t="str">
        <f t="shared" si="16"/>
        <v>Error?</v>
      </c>
    </row>
    <row r="1121" spans="1:4" x14ac:dyDescent="0.2">
      <c r="A1121" s="5">
        <v>1060</v>
      </c>
      <c r="B1121" s="138">
        <f>'Expenditures 15-22'!K50</f>
        <v>572203</v>
      </c>
      <c r="C1121" s="2" t="s">
        <v>593</v>
      </c>
      <c r="D1121" s="2" t="str">
        <f t="shared" si="16"/>
        <v>Error?</v>
      </c>
    </row>
    <row r="1122" spans="1:4" x14ac:dyDescent="0.2">
      <c r="A1122" s="5">
        <v>1061</v>
      </c>
      <c r="B1122" s="138">
        <f>'Expenditures 15-22'!K53</f>
        <v>591862</v>
      </c>
      <c r="C1122" s="2" t="s">
        <v>593</v>
      </c>
      <c r="D1122" s="2" t="str">
        <f t="shared" si="16"/>
        <v>Error?</v>
      </c>
    </row>
    <row r="1123" spans="1:4" x14ac:dyDescent="0.2">
      <c r="A1123" s="5">
        <v>1062</v>
      </c>
      <c r="B1123" s="138">
        <f>'Expenditures 15-22'!K55</f>
        <v>2206143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2206143</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234102</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1169659</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1403761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42800</v>
      </c>
      <c r="C1139" s="2" t="s">
        <v>593</v>
      </c>
      <c r="D1139" s="2" t="str">
        <f t="shared" si="16"/>
        <v>Error?</v>
      </c>
    </row>
    <row r="1140" spans="1:4" x14ac:dyDescent="0.2">
      <c r="A1140" s="10">
        <v>1079</v>
      </c>
      <c r="D1140" s="2" t="str">
        <f t="shared" si="16"/>
        <v>OK</v>
      </c>
    </row>
    <row r="1141" spans="1:4" x14ac:dyDescent="0.2">
      <c r="A1141" s="5">
        <v>1080</v>
      </c>
      <c r="B1141" s="138">
        <f>'Expenditures 15-22'!K72</f>
        <v>42800</v>
      </c>
      <c r="C1141" s="2" t="s">
        <v>593</v>
      </c>
      <c r="D1141" s="2" t="str">
        <f t="shared" si="16"/>
        <v>Error?</v>
      </c>
    </row>
    <row r="1142" spans="1:4" x14ac:dyDescent="0.2">
      <c r="A1142" s="5">
        <v>1081</v>
      </c>
      <c r="B1142" s="138">
        <f>'Expenditures 15-22'!K73</f>
        <v>1443775</v>
      </c>
      <c r="C1142" s="2" t="s">
        <v>593</v>
      </c>
      <c r="D1142" s="2" t="str">
        <f t="shared" si="16"/>
        <v>Error?</v>
      </c>
    </row>
    <row r="1143" spans="1:4" x14ac:dyDescent="0.2">
      <c r="A1143" s="5">
        <v>1082</v>
      </c>
      <c r="B1143" s="138">
        <f>'Expenditures 15-22'!K74</f>
        <v>8102888</v>
      </c>
      <c r="C1143" s="2" t="s">
        <v>593</v>
      </c>
      <c r="D1143" s="2" t="str">
        <f t="shared" si="16"/>
        <v>Error?</v>
      </c>
    </row>
    <row r="1144" spans="1:4" x14ac:dyDescent="0.2">
      <c r="A1144" s="5">
        <v>1083</v>
      </c>
      <c r="B1144" s="138">
        <f>'Expenditures 15-22'!K75</f>
        <v>17700</v>
      </c>
      <c r="C1144" s="2" t="s">
        <v>593</v>
      </c>
      <c r="D1144" s="2" t="str">
        <f t="shared" si="16"/>
        <v>Error?</v>
      </c>
    </row>
    <row r="1145" spans="1:4" x14ac:dyDescent="0.2">
      <c r="A1145" s="5">
        <v>1084</v>
      </c>
      <c r="B1145" s="138">
        <f>'Expenditures 15-22'!K102</f>
        <v>1265925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30767922</v>
      </c>
      <c r="C1152" s="2" t="s">
        <v>593</v>
      </c>
      <c r="D1152" s="2" t="str">
        <f t="shared" si="17"/>
        <v>Error?</v>
      </c>
    </row>
    <row r="1153" spans="1:4" x14ac:dyDescent="0.2">
      <c r="A1153" s="5">
        <v>1092</v>
      </c>
      <c r="B1153" s="138">
        <f>'Expenditures 15-22'!K115</f>
        <v>2996846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1430306</v>
      </c>
      <c r="D1221" s="2" t="str">
        <f t="shared" si="18"/>
        <v>Error?</v>
      </c>
    </row>
    <row r="1222" spans="1:4" x14ac:dyDescent="0.2">
      <c r="A1222" s="10">
        <v>1161</v>
      </c>
      <c r="D1222" s="2" t="str">
        <f t="shared" si="18"/>
        <v>OK</v>
      </c>
    </row>
    <row r="1223" spans="1:4" x14ac:dyDescent="0.2">
      <c r="A1223" s="5">
        <v>1162</v>
      </c>
      <c r="B1223" s="138">
        <f>'Expenditures 15-22'!C127</f>
        <v>1430306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1430306</v>
      </c>
      <c r="C1225" s="2" t="s">
        <v>593</v>
      </c>
      <c r="D1225" s="2" t="str">
        <f t="shared" si="18"/>
        <v>Error?</v>
      </c>
    </row>
    <row r="1226" spans="1:4" x14ac:dyDescent="0.2">
      <c r="A1226" s="5">
        <v>1165</v>
      </c>
      <c r="B1226" s="138">
        <f>'Expenditures 15-22'!C151</f>
        <v>1430306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122879</v>
      </c>
      <c r="D1229" s="2" t="str">
        <f t="shared" si="18"/>
        <v>Error?</v>
      </c>
    </row>
    <row r="1230" spans="1:4" x14ac:dyDescent="0.2">
      <c r="A1230" s="10">
        <v>1169</v>
      </c>
      <c r="D1230" s="2" t="str">
        <f t="shared" si="18"/>
        <v>OK</v>
      </c>
    </row>
    <row r="1231" spans="1:4" x14ac:dyDescent="0.2">
      <c r="A1231" s="5">
        <v>1170</v>
      </c>
      <c r="B1231" s="138">
        <f>'Expenditures 15-22'!D127</f>
        <v>122879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122879</v>
      </c>
      <c r="C1233" s="2" t="s">
        <v>593</v>
      </c>
      <c r="D1233" s="2" t="str">
        <f t="shared" si="18"/>
        <v>Error?</v>
      </c>
    </row>
    <row r="1234" spans="1:4" x14ac:dyDescent="0.2">
      <c r="A1234" s="5">
        <v>1173</v>
      </c>
      <c r="B1234" s="138">
        <f>'Expenditures 15-22'!D151</f>
        <v>122879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722839</v>
      </c>
      <c r="D1237" s="2" t="str">
        <f t="shared" si="18"/>
        <v>Error?</v>
      </c>
    </row>
    <row r="1238" spans="1:4" x14ac:dyDescent="0.2">
      <c r="A1238" s="10">
        <v>1177</v>
      </c>
      <c r="D1238" s="2" t="str">
        <f t="shared" si="18"/>
        <v>OK</v>
      </c>
    </row>
    <row r="1239" spans="1:4" x14ac:dyDescent="0.2">
      <c r="A1239" s="5">
        <v>1178</v>
      </c>
      <c r="B1239" s="138">
        <f>'Expenditures 15-22'!E127</f>
        <v>722839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722839</v>
      </c>
      <c r="C1241" s="2" t="s">
        <v>593</v>
      </c>
      <c r="D1241" s="2" t="str">
        <f t="shared" si="18"/>
        <v>Error?</v>
      </c>
    </row>
    <row r="1242" spans="1:4" x14ac:dyDescent="0.2">
      <c r="A1242" s="5">
        <v>1181</v>
      </c>
      <c r="B1242" s="138">
        <f>'Expenditures 15-22'!E151</f>
        <v>722839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1185187</v>
      </c>
      <c r="D1245" s="2" t="str">
        <f t="shared" si="18"/>
        <v>Error?</v>
      </c>
    </row>
    <row r="1246" spans="1:4" x14ac:dyDescent="0.2">
      <c r="A1246" s="10">
        <v>1185</v>
      </c>
      <c r="D1246" s="2" t="str">
        <f t="shared" si="18"/>
        <v>OK</v>
      </c>
    </row>
    <row r="1247" spans="1:4" x14ac:dyDescent="0.2">
      <c r="A1247" s="5">
        <v>1186</v>
      </c>
      <c r="B1247" s="138">
        <f>'Expenditures 15-22'!F127</f>
        <v>1185187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1185187</v>
      </c>
      <c r="C1249" s="2" t="s">
        <v>593</v>
      </c>
      <c r="D1249" s="2" t="str">
        <f t="shared" si="18"/>
        <v>Error?</v>
      </c>
    </row>
    <row r="1250" spans="1:4" x14ac:dyDescent="0.2">
      <c r="A1250" s="5">
        <v>1189</v>
      </c>
      <c r="B1250" s="138">
        <f>'Expenditures 15-22'!F151</f>
        <v>1185187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362752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362752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362752</v>
      </c>
      <c r="C1258" s="2" t="s">
        <v>593</v>
      </c>
      <c r="D1258" s="2" t="str">
        <f t="shared" si="18"/>
        <v>Error?</v>
      </c>
    </row>
    <row r="1259" spans="1:4" x14ac:dyDescent="0.2">
      <c r="A1259" s="5">
        <v>1198</v>
      </c>
      <c r="B1259" s="138">
        <f>'Expenditures 15-22'!G151</f>
        <v>362752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3823963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3823963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3823963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3823963</v>
      </c>
      <c r="C1288" s="2" t="s">
        <v>593</v>
      </c>
      <c r="D1288" s="2" t="str">
        <f t="shared" si="19"/>
        <v>Error?</v>
      </c>
    </row>
    <row r="1289" spans="1:4" x14ac:dyDescent="0.2">
      <c r="A1289" s="5">
        <v>1228</v>
      </c>
      <c r="B1289" s="138">
        <f>'Expenditures 15-22'!K152</f>
        <v>688538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6389</v>
      </c>
      <c r="D1307" s="2" t="str">
        <f t="shared" si="19"/>
        <v>Error?</v>
      </c>
    </row>
    <row r="1308" spans="1:4" x14ac:dyDescent="0.2">
      <c r="A1308" s="5">
        <v>1247</v>
      </c>
      <c r="B1308" s="138">
        <f>'Expenditures 15-22'!E172</f>
        <v>6389</v>
      </c>
      <c r="C1308" s="2" t="s">
        <v>593</v>
      </c>
      <c r="D1308" s="2" t="str">
        <f t="shared" si="19"/>
        <v>Error?</v>
      </c>
    </row>
    <row r="1309" spans="1:4" x14ac:dyDescent="0.2">
      <c r="A1309" s="5">
        <v>1248</v>
      </c>
      <c r="B1309" s="138">
        <f>'Expenditures 15-22'!E174</f>
        <v>6389</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2265570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3710000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5975570</v>
      </c>
      <c r="C1317" s="2" t="s">
        <v>593</v>
      </c>
      <c r="D1317" s="2" t="str">
        <f t="shared" si="19"/>
        <v>Error?</v>
      </c>
    </row>
    <row r="1318" spans="1:4" x14ac:dyDescent="0.2">
      <c r="A1318" s="5">
        <v>1257</v>
      </c>
      <c r="B1318" s="138">
        <f>'Expenditures 15-22'!H174</f>
        <v>5975570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2265570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3710000</v>
      </c>
      <c r="C1329" s="2" t="s">
        <v>593</v>
      </c>
      <c r="D1329" s="2" t="str">
        <f t="shared" si="19"/>
        <v>Error?</v>
      </c>
    </row>
    <row r="1330" spans="1:4" x14ac:dyDescent="0.2">
      <c r="A1330" s="5">
        <v>1269</v>
      </c>
      <c r="B1330" s="138">
        <f>'Expenditures 15-22'!K171</f>
        <v>6389</v>
      </c>
      <c r="C1330" s="2" t="s">
        <v>593</v>
      </c>
      <c r="D1330" s="2" t="str">
        <f t="shared" si="19"/>
        <v>Error?</v>
      </c>
    </row>
    <row r="1331" spans="1:4" x14ac:dyDescent="0.2">
      <c r="A1331" s="5">
        <v>1270</v>
      </c>
      <c r="B1331" s="138">
        <f>'Expenditures 15-22'!K172</f>
        <v>5981959</v>
      </c>
      <c r="C1331" s="2" t="s">
        <v>593</v>
      </c>
      <c r="D1331" s="2" t="str">
        <f t="shared" si="19"/>
        <v>Error?</v>
      </c>
    </row>
    <row r="1332" spans="1:4" x14ac:dyDescent="0.2">
      <c r="A1332" s="5">
        <v>1271</v>
      </c>
      <c r="B1332" s="138">
        <f>'Expenditures 15-22'!K174</f>
        <v>5981959</v>
      </c>
      <c r="C1332" s="2" t="s">
        <v>593</v>
      </c>
      <c r="D1332" s="2" t="str">
        <f t="shared" si="19"/>
        <v>Error?</v>
      </c>
    </row>
    <row r="1333" spans="1:4" x14ac:dyDescent="0.2">
      <c r="A1333" s="5">
        <v>1272</v>
      </c>
      <c r="B1333" s="138">
        <f>'Expenditures 15-22'!K175</f>
        <v>604164</v>
      </c>
      <c r="C1333" s="2" t="s">
        <v>593</v>
      </c>
      <c r="D1333" s="2" t="str">
        <f t="shared" si="19"/>
        <v>Error?</v>
      </c>
    </row>
    <row r="1334" spans="1:4" x14ac:dyDescent="0.2">
      <c r="A1334" s="10">
        <v>1273</v>
      </c>
      <c r="D1334" s="2" t="str">
        <f t="shared" si="19"/>
        <v>OK</v>
      </c>
    </row>
    <row r="1335" spans="1:4" x14ac:dyDescent="0.2">
      <c r="A1335" s="5">
        <v>1274</v>
      </c>
      <c r="B1335" s="138">
        <f>'Expenditures 15-22'!C182</f>
        <v>1302793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8306</v>
      </c>
      <c r="D1338" s="2" t="str">
        <f t="shared" si="19"/>
        <v>Error?</v>
      </c>
    </row>
    <row r="1339" spans="1:4" x14ac:dyDescent="0.2">
      <c r="A1339" s="5">
        <v>1278</v>
      </c>
      <c r="B1339" s="138">
        <f>'Expenditures 15-22'!C184</f>
        <v>1311099</v>
      </c>
      <c r="C1339" s="2" t="s">
        <v>593</v>
      </c>
      <c r="D1339" s="2" t="str">
        <f t="shared" si="19"/>
        <v>Error?</v>
      </c>
    </row>
    <row r="1340" spans="1:4" x14ac:dyDescent="0.2">
      <c r="A1340" s="5">
        <v>1279</v>
      </c>
      <c r="B1340" s="138">
        <f>'Expenditures 15-22'!C210</f>
        <v>1311099</v>
      </c>
      <c r="C1340" s="2" t="s">
        <v>593</v>
      </c>
      <c r="D1340" s="2" t="str">
        <f t="shared" si="19"/>
        <v>Error?</v>
      </c>
    </row>
    <row r="1341" spans="1:4" x14ac:dyDescent="0.2">
      <c r="A1341" s="5">
        <v>1280</v>
      </c>
      <c r="B1341" s="138">
        <f>'Expenditures 15-22'!D182</f>
        <v>25446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25446</v>
      </c>
      <c r="C1345" s="2" t="s">
        <v>593</v>
      </c>
      <c r="D1345" s="2" t="str">
        <f t="shared" si="20"/>
        <v>Error?</v>
      </c>
    </row>
    <row r="1346" spans="1:4" x14ac:dyDescent="0.2">
      <c r="A1346" s="5">
        <v>1285</v>
      </c>
      <c r="B1346" s="138">
        <f>'Expenditures 15-22'!D210</f>
        <v>25446</v>
      </c>
      <c r="C1346" s="2" t="s">
        <v>593</v>
      </c>
      <c r="D1346" s="2" t="str">
        <f t="shared" si="20"/>
        <v>Error?</v>
      </c>
    </row>
    <row r="1347" spans="1:4" x14ac:dyDescent="0.2">
      <c r="A1347" s="5">
        <v>1286</v>
      </c>
      <c r="B1347" s="138">
        <f>'Expenditures 15-22'!E182</f>
        <v>162722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162722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162722</v>
      </c>
      <c r="C1353" s="2" t="s">
        <v>593</v>
      </c>
      <c r="D1353" s="2" t="str">
        <f t="shared" si="20"/>
        <v>Error?</v>
      </c>
    </row>
    <row r="1354" spans="1:4" x14ac:dyDescent="0.2">
      <c r="A1354" s="5">
        <v>1293</v>
      </c>
      <c r="B1354" s="138">
        <f>'Expenditures 15-22'!F182</f>
        <v>370067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370067</v>
      </c>
      <c r="C1358" s="2" t="s">
        <v>593</v>
      </c>
      <c r="D1358" s="2" t="str">
        <f t="shared" si="20"/>
        <v>Error?</v>
      </c>
    </row>
    <row r="1359" spans="1:4" x14ac:dyDescent="0.2">
      <c r="A1359" s="5">
        <v>1298</v>
      </c>
      <c r="B1359" s="138">
        <f>'Expenditures 15-22'!F210</f>
        <v>370067</v>
      </c>
      <c r="C1359" s="2" t="s">
        <v>593</v>
      </c>
      <c r="D1359" s="2" t="str">
        <f t="shared" si="20"/>
        <v>Error?</v>
      </c>
    </row>
    <row r="1360" spans="1:4" x14ac:dyDescent="0.2">
      <c r="A1360" s="5">
        <v>1299</v>
      </c>
      <c r="B1360" s="138">
        <f>'Expenditures 15-22'!G182</f>
        <v>180322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180322</v>
      </c>
      <c r="C1364" s="2" t="s">
        <v>593</v>
      </c>
      <c r="D1364" s="2" t="str">
        <f t="shared" si="20"/>
        <v>Error?</v>
      </c>
    </row>
    <row r="1365" spans="1:4" x14ac:dyDescent="0.2">
      <c r="A1365" s="5">
        <v>1304</v>
      </c>
      <c r="B1365" s="138">
        <f>'Expenditures 15-22'!G210</f>
        <v>180322</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2041350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8306</v>
      </c>
      <c r="C1380" s="2" t="s">
        <v>593</v>
      </c>
      <c r="D1380" s="2" t="str">
        <f t="shared" si="20"/>
        <v>Error?</v>
      </c>
    </row>
    <row r="1381" spans="1:4" x14ac:dyDescent="0.2">
      <c r="A1381" s="5">
        <v>1320</v>
      </c>
      <c r="B1381" s="138">
        <f>'Expenditures 15-22'!K184</f>
        <v>2049656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2049656</v>
      </c>
      <c r="C1388" s="2" t="s">
        <v>593</v>
      </c>
      <c r="D1388" s="2" t="str">
        <f t="shared" si="20"/>
        <v>Error?</v>
      </c>
    </row>
    <row r="1389" spans="1:4" x14ac:dyDescent="0.2">
      <c r="A1389" s="5">
        <v>1328</v>
      </c>
      <c r="B1389" s="138">
        <f>'Expenditures 15-22'!K211</f>
        <v>1305717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220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4524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37528</v>
      </c>
      <c r="D1408" s="2" t="str">
        <f t="shared" si="21"/>
        <v>Error?</v>
      </c>
    </row>
    <row r="1409" spans="1:4" x14ac:dyDescent="0.2">
      <c r="A1409" s="5">
        <v>1348</v>
      </c>
      <c r="B1409" s="138">
        <f>'Expenditures 15-22'!D224</f>
        <v>65</v>
      </c>
      <c r="D1409" s="2" t="str">
        <f t="shared" si="21"/>
        <v>Error?</v>
      </c>
    </row>
    <row r="1410" spans="1:4" x14ac:dyDescent="0.2">
      <c r="A1410" s="5">
        <v>1349</v>
      </c>
      <c r="B1410" s="138">
        <f>'Expenditures 15-22'!D229</f>
        <v>554857</v>
      </c>
      <c r="C1410" s="2" t="s">
        <v>593</v>
      </c>
      <c r="D1410" s="2" t="str">
        <f t="shared" si="21"/>
        <v>Error?</v>
      </c>
    </row>
    <row r="1411" spans="1:4" x14ac:dyDescent="0.2">
      <c r="A1411" s="5">
        <v>1350</v>
      </c>
      <c r="B1411" s="138">
        <f>'Expenditures 15-22'!D232</f>
        <v>1912</v>
      </c>
      <c r="D1411" s="2" t="str">
        <f t="shared" si="21"/>
        <v>Error?</v>
      </c>
    </row>
    <row r="1412" spans="1:4" x14ac:dyDescent="0.2">
      <c r="A1412" s="5">
        <v>1351</v>
      </c>
      <c r="B1412" s="138">
        <f>'Expenditures 15-22'!D233</f>
        <v>8222</v>
      </c>
      <c r="D1412" s="2" t="str">
        <f t="shared" si="21"/>
        <v>Error?</v>
      </c>
    </row>
    <row r="1413" spans="1:4" x14ac:dyDescent="0.2">
      <c r="A1413" s="5">
        <v>1352</v>
      </c>
      <c r="B1413" s="138">
        <f>'Expenditures 15-22'!D234</f>
        <v>26695</v>
      </c>
      <c r="D1413" s="2" t="str">
        <f t="shared" si="21"/>
        <v>Error?</v>
      </c>
    </row>
    <row r="1414" spans="1:4" x14ac:dyDescent="0.2">
      <c r="A1414" s="5">
        <v>1353</v>
      </c>
      <c r="B1414" s="138">
        <f>'Expenditures 15-22'!D235</f>
        <v>2211</v>
      </c>
      <c r="D1414" s="2" t="str">
        <f t="shared" si="21"/>
        <v>Error?</v>
      </c>
    </row>
    <row r="1415" spans="1:4" x14ac:dyDescent="0.2">
      <c r="A1415" s="5">
        <v>1354</v>
      </c>
      <c r="B1415" s="138">
        <f>'Expenditures 15-22'!D236</f>
        <v>6449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45489</v>
      </c>
      <c r="C1417" s="2" t="s">
        <v>593</v>
      </c>
      <c r="D1417" s="2" t="str">
        <f t="shared" si="21"/>
        <v>Error?</v>
      </c>
    </row>
    <row r="1418" spans="1:4" x14ac:dyDescent="0.2">
      <c r="A1418" s="5">
        <v>1357</v>
      </c>
      <c r="B1418" s="138">
        <f>'Expenditures 15-22'!D240</f>
        <v>5288</v>
      </c>
      <c r="D1418" s="2" t="str">
        <f t="shared" si="21"/>
        <v>Error?</v>
      </c>
    </row>
    <row r="1419" spans="1:4" x14ac:dyDescent="0.2">
      <c r="A1419" s="5">
        <v>1358</v>
      </c>
      <c r="B1419" s="138">
        <f>'Expenditures 15-22'!D241</f>
        <v>11003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16291</v>
      </c>
      <c r="C1421" s="2" t="s">
        <v>593</v>
      </c>
      <c r="D1421" s="2" t="str">
        <f t="shared" si="21"/>
        <v>Error?</v>
      </c>
    </row>
    <row r="1422" spans="1:4" x14ac:dyDescent="0.2">
      <c r="A1422" s="5">
        <v>1361</v>
      </c>
      <c r="B1422" s="138">
        <f>'Expenditures 15-22'!D245</f>
        <v>117</v>
      </c>
      <c r="D1422" s="2" t="str">
        <f t="shared" si="21"/>
        <v>Error?</v>
      </c>
    </row>
    <row r="1423" spans="1:4" x14ac:dyDescent="0.2">
      <c r="A1423" s="5">
        <v>1362</v>
      </c>
      <c r="B1423" s="138">
        <f>'Expenditures 15-22'!D246</f>
        <v>16796</v>
      </c>
      <c r="D1423" s="2" t="str">
        <f t="shared" si="21"/>
        <v>Error?</v>
      </c>
    </row>
    <row r="1424" spans="1:4" x14ac:dyDescent="0.2">
      <c r="A1424" s="5">
        <v>1363</v>
      </c>
      <c r="B1424" s="138">
        <f>'Expenditures 15-22'!D257</f>
        <v>28929</v>
      </c>
      <c r="C1424" s="2" t="s">
        <v>593</v>
      </c>
      <c r="D1424" s="2" t="str">
        <f t="shared" si="21"/>
        <v>Error?</v>
      </c>
    </row>
    <row r="1425" spans="1:4" x14ac:dyDescent="0.2">
      <c r="A1425" s="5">
        <v>1364</v>
      </c>
      <c r="B1425" s="138">
        <f>'Expenditures 15-22'!D259</f>
        <v>88854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88854</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28578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215549</v>
      </c>
      <c r="D1431" s="2" t="str">
        <f t="shared" si="21"/>
        <v>Error?</v>
      </c>
    </row>
    <row r="1432" spans="1:4" x14ac:dyDescent="0.2">
      <c r="A1432" s="5">
        <v>1371</v>
      </c>
      <c r="B1432" s="138">
        <f>'Expenditures 15-22'!D267</f>
        <v>202097</v>
      </c>
      <c r="D1432" s="2" t="str">
        <f t="shared" si="21"/>
        <v>Error?</v>
      </c>
    </row>
    <row r="1433" spans="1:4" x14ac:dyDescent="0.2">
      <c r="A1433" s="5">
        <v>1372</v>
      </c>
      <c r="B1433" s="138">
        <f>'Expenditures 15-22'!D268</f>
        <v>90169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536393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28121</v>
      </c>
      <c r="D1445" s="2" t="str">
        <f t="shared" si="21"/>
        <v>Error?</v>
      </c>
    </row>
    <row r="1446" spans="1:4" x14ac:dyDescent="0.2">
      <c r="A1446" s="5">
        <v>1385</v>
      </c>
      <c r="B1446" s="138">
        <f>'Expenditures 15-22'!D279</f>
        <v>744077</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1298934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220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4524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37528</v>
      </c>
      <c r="C1472" s="2" t="s">
        <v>593</v>
      </c>
      <c r="D1472" s="2" t="str">
        <f t="shared" si="22"/>
        <v>Error?</v>
      </c>
    </row>
    <row r="1473" spans="1:4" x14ac:dyDescent="0.2">
      <c r="A1473" s="5">
        <v>1412</v>
      </c>
      <c r="B1473" s="138">
        <f>'Expenditures 15-22'!K224</f>
        <v>65</v>
      </c>
      <c r="C1473" s="2" t="s">
        <v>593</v>
      </c>
      <c r="D1473" s="2" t="str">
        <f t="shared" si="22"/>
        <v>Error?</v>
      </c>
    </row>
    <row r="1474" spans="1:4" x14ac:dyDescent="0.2">
      <c r="A1474" s="5">
        <v>1413</v>
      </c>
      <c r="B1474" s="138">
        <f>'Expenditures 15-22'!K229</f>
        <v>554857</v>
      </c>
      <c r="C1474" s="2" t="s">
        <v>593</v>
      </c>
      <c r="D1474" s="2" t="str">
        <f t="shared" si="22"/>
        <v>Error?</v>
      </c>
    </row>
    <row r="1475" spans="1:4" x14ac:dyDescent="0.2">
      <c r="A1475" s="5">
        <v>1414</v>
      </c>
      <c r="B1475" s="138">
        <f>'Expenditures 15-22'!K232</f>
        <v>1912</v>
      </c>
      <c r="C1475" s="2" t="s">
        <v>593</v>
      </c>
      <c r="D1475" s="2" t="str">
        <f t="shared" si="22"/>
        <v>Error?</v>
      </c>
    </row>
    <row r="1476" spans="1:4" x14ac:dyDescent="0.2">
      <c r="A1476" s="5">
        <v>1415</v>
      </c>
      <c r="B1476" s="138">
        <f>'Expenditures 15-22'!K233</f>
        <v>8222</v>
      </c>
      <c r="C1476" s="2" t="s">
        <v>593</v>
      </c>
      <c r="D1476" s="2" t="str">
        <f t="shared" si="22"/>
        <v>Error?</v>
      </c>
    </row>
    <row r="1477" spans="1:4" x14ac:dyDescent="0.2">
      <c r="A1477" s="5">
        <v>1416</v>
      </c>
      <c r="B1477" s="138">
        <f>'Expenditures 15-22'!K234</f>
        <v>26695</v>
      </c>
      <c r="C1477" s="2" t="s">
        <v>593</v>
      </c>
      <c r="D1477" s="2" t="str">
        <f t="shared" si="22"/>
        <v>Error?</v>
      </c>
    </row>
    <row r="1478" spans="1:4" x14ac:dyDescent="0.2">
      <c r="A1478" s="5">
        <v>1417</v>
      </c>
      <c r="B1478" s="138">
        <f>'Expenditures 15-22'!K235</f>
        <v>2211</v>
      </c>
      <c r="C1478" s="2" t="s">
        <v>593</v>
      </c>
      <c r="D1478" s="2" t="str">
        <f t="shared" si="22"/>
        <v>Error?</v>
      </c>
    </row>
    <row r="1479" spans="1:4" x14ac:dyDescent="0.2">
      <c r="A1479" s="5">
        <v>1418</v>
      </c>
      <c r="B1479" s="138">
        <f>'Expenditures 15-22'!K236</f>
        <v>6449</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45489</v>
      </c>
      <c r="C1481" s="2" t="s">
        <v>593</v>
      </c>
      <c r="D1481" s="2" t="str">
        <f t="shared" si="22"/>
        <v>Error?</v>
      </c>
    </row>
    <row r="1482" spans="1:4" x14ac:dyDescent="0.2">
      <c r="A1482" s="5">
        <v>1421</v>
      </c>
      <c r="B1482" s="138">
        <f>'Expenditures 15-22'!K240</f>
        <v>5288</v>
      </c>
      <c r="C1482" s="2" t="s">
        <v>593</v>
      </c>
      <c r="D1482" s="2" t="str">
        <f t="shared" si="22"/>
        <v>Error?</v>
      </c>
    </row>
    <row r="1483" spans="1:4" x14ac:dyDescent="0.2">
      <c r="A1483" s="5">
        <v>1422</v>
      </c>
      <c r="B1483" s="138">
        <f>'Expenditures 15-22'!K241</f>
        <v>11003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16291</v>
      </c>
      <c r="C1485" s="2" t="s">
        <v>593</v>
      </c>
      <c r="D1485" s="2" t="str">
        <f t="shared" si="22"/>
        <v>Error?</v>
      </c>
    </row>
    <row r="1486" spans="1:4" x14ac:dyDescent="0.2">
      <c r="A1486" s="5">
        <v>1425</v>
      </c>
      <c r="B1486" s="138">
        <f>'Expenditures 15-22'!K245</f>
        <v>117</v>
      </c>
      <c r="C1486" s="2" t="s">
        <v>593</v>
      </c>
      <c r="D1486" s="2" t="str">
        <f t="shared" si="22"/>
        <v>Error?</v>
      </c>
    </row>
    <row r="1487" spans="1:4" x14ac:dyDescent="0.2">
      <c r="A1487" s="5">
        <v>1426</v>
      </c>
      <c r="B1487" s="138">
        <f>'Expenditures 15-22'!K246</f>
        <v>16796</v>
      </c>
      <c r="C1487" s="2" t="s">
        <v>593</v>
      </c>
      <c r="D1487" s="2" t="str">
        <f t="shared" si="22"/>
        <v>Error?</v>
      </c>
    </row>
    <row r="1488" spans="1:4" x14ac:dyDescent="0.2">
      <c r="A1488" s="5">
        <v>1427</v>
      </c>
      <c r="B1488" s="138">
        <f>'Expenditures 15-22'!K257</f>
        <v>28929</v>
      </c>
      <c r="C1488" s="2" t="s">
        <v>593</v>
      </c>
      <c r="D1488" s="2" t="str">
        <f t="shared" si="22"/>
        <v>Error?</v>
      </c>
    </row>
    <row r="1489" spans="1:4" x14ac:dyDescent="0.2">
      <c r="A1489" s="5">
        <v>1428</v>
      </c>
      <c r="B1489" s="138">
        <f>'Expenditures 15-22'!K259</f>
        <v>88854</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88854</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28578</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215549</v>
      </c>
      <c r="C1495" s="2" t="s">
        <v>593</v>
      </c>
      <c r="D1495" s="2" t="str">
        <f t="shared" si="22"/>
        <v>Error?</v>
      </c>
    </row>
    <row r="1496" spans="1:4" x14ac:dyDescent="0.2">
      <c r="A1496" s="5">
        <v>1435</v>
      </c>
      <c r="B1496" s="138">
        <f>'Expenditures 15-22'!K267</f>
        <v>202097</v>
      </c>
      <c r="C1496" s="2" t="s">
        <v>593</v>
      </c>
      <c r="D1496" s="2" t="str">
        <f t="shared" si="22"/>
        <v>Error?</v>
      </c>
    </row>
    <row r="1497" spans="1:4" x14ac:dyDescent="0.2">
      <c r="A1497" s="5">
        <v>1436</v>
      </c>
      <c r="B1497" s="138">
        <f>'Expenditures 15-22'!K268</f>
        <v>90169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536393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28121</v>
      </c>
      <c r="C1509" s="2" t="s">
        <v>593</v>
      </c>
      <c r="D1509" s="2" t="str">
        <f t="shared" si="22"/>
        <v>Error?</v>
      </c>
    </row>
    <row r="1510" spans="1:4" x14ac:dyDescent="0.2">
      <c r="A1510" s="5">
        <v>1449</v>
      </c>
      <c r="B1510" s="138">
        <f>'Expenditures 15-22'!K279</f>
        <v>744077</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1298934</v>
      </c>
      <c r="C1517" s="2" t="s">
        <v>593</v>
      </c>
      <c r="D1517" s="2" t="str">
        <f t="shared" si="22"/>
        <v>Error?</v>
      </c>
    </row>
    <row r="1518" spans="1:4" x14ac:dyDescent="0.2">
      <c r="A1518" s="5">
        <v>1457</v>
      </c>
      <c r="B1518" s="138">
        <f>'Expenditures 15-22'!K296</f>
        <v>815702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26946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26946</v>
      </c>
      <c r="C1535" s="2" t="s">
        <v>593</v>
      </c>
      <c r="D1535" s="2" t="str">
        <f t="shared" ref="D1535:D1598" si="23">IF(ISBLANK(B1535),"OK",IF(A1535-B1535=0,"OK","Error?"))</f>
        <v>Error?</v>
      </c>
    </row>
    <row r="1536" spans="1:4" x14ac:dyDescent="0.2">
      <c r="A1536" s="5">
        <v>1475</v>
      </c>
      <c r="B1536" s="138">
        <f>'Expenditures 15-22'!E312</f>
        <v>26946</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852828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852828</v>
      </c>
      <c r="C1547" s="2" t="s">
        <v>593</v>
      </c>
      <c r="D1547" s="2" t="str">
        <f t="shared" si="23"/>
        <v>Error?</v>
      </c>
    </row>
    <row r="1548" spans="1:4" x14ac:dyDescent="0.2">
      <c r="A1548" s="5">
        <v>1487</v>
      </c>
      <c r="B1548" s="138">
        <f>'Expenditures 15-22'!G312</f>
        <v>852828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879774</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879774</v>
      </c>
      <c r="C1559" s="2" t="s">
        <v>593</v>
      </c>
      <c r="D1559" s="2" t="str">
        <f t="shared" si="23"/>
        <v>Error?</v>
      </c>
    </row>
    <row r="1560" spans="1:4" x14ac:dyDescent="0.2">
      <c r="A1560" s="5">
        <v>1499</v>
      </c>
      <c r="B1560" s="138">
        <f>'Expenditures 15-22'!K312</f>
        <v>879774</v>
      </c>
      <c r="C1560" s="2" t="s">
        <v>593</v>
      </c>
      <c r="D1560" s="2" t="str">
        <f t="shared" si="23"/>
        <v>Error?</v>
      </c>
    </row>
    <row r="1561" spans="1:4" x14ac:dyDescent="0.2">
      <c r="A1561" s="5">
        <v>1500</v>
      </c>
      <c r="B1561" s="138">
        <f>'Expenditures 15-22'!K313</f>
        <v>-551121</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32031363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35028209</v>
      </c>
      <c r="C1630" s="2" t="s">
        <v>593</v>
      </c>
      <c r="D1630" s="2" t="str">
        <f t="shared" si="24"/>
        <v>Error?</v>
      </c>
    </row>
    <row r="1631" spans="1:4" x14ac:dyDescent="0.2">
      <c r="A1631" s="5">
        <v>1570</v>
      </c>
      <c r="B1631" s="138">
        <f>'Acct Summary 7-8'!D79</f>
        <v>3395702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4084240</v>
      </c>
      <c r="C1644" s="2" t="s">
        <v>593</v>
      </c>
      <c r="D1644" s="2" t="str">
        <f t="shared" si="24"/>
        <v>Error?</v>
      </c>
    </row>
    <row r="1645" spans="1:4" x14ac:dyDescent="0.2">
      <c r="A1645" s="5">
        <v>1584</v>
      </c>
      <c r="B1645" s="138">
        <f>'Acct Summary 7-8'!E79</f>
        <v>2729235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3633234</v>
      </c>
      <c r="C1658" s="2" t="s">
        <v>593</v>
      </c>
      <c r="D1658" s="2" t="str">
        <f t="shared" si="24"/>
        <v>Error?</v>
      </c>
    </row>
    <row r="1659" spans="1:4" x14ac:dyDescent="0.2">
      <c r="A1659" s="5">
        <v>1598</v>
      </c>
      <c r="B1659" s="138">
        <f>'Acct Summary 7-8'!F79</f>
        <v>4818675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6124392</v>
      </c>
      <c r="C1672" s="2" t="s">
        <v>593</v>
      </c>
      <c r="D1672" s="2" t="str">
        <f t="shared" si="25"/>
        <v>Error?</v>
      </c>
    </row>
    <row r="1673" spans="1:4" x14ac:dyDescent="0.2">
      <c r="A1673" s="5">
        <v>1612</v>
      </c>
      <c r="B1673" s="138">
        <f>'Acct Summary 7-8'!G79</f>
        <v>2588445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3404147</v>
      </c>
      <c r="C1686" s="2" t="s">
        <v>593</v>
      </c>
      <c r="D1686" s="2" t="str">
        <f t="shared" si="25"/>
        <v>Error?</v>
      </c>
    </row>
    <row r="1687" spans="1:4" x14ac:dyDescent="0.2">
      <c r="A1687" s="5">
        <v>1626</v>
      </c>
      <c r="B1687" s="138">
        <f>'Acct Summary 7-8'!H79</f>
        <v>270007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8041344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24837503</v>
      </c>
      <c r="C1744" s="2" t="s">
        <v>593</v>
      </c>
      <c r="D1744" s="2" t="str">
        <f t="shared" si="26"/>
        <v>Error?</v>
      </c>
    </row>
    <row r="1745" spans="1:5" x14ac:dyDescent="0.2">
      <c r="A1745" s="5">
        <v>1684</v>
      </c>
      <c r="B1745" s="138">
        <f>'Tax Sched 23'!B5</f>
        <v>4369560</v>
      </c>
      <c r="C1745" s="2" t="s">
        <v>593</v>
      </c>
      <c r="D1745" s="2" t="str">
        <f t="shared" si="26"/>
        <v>Error?</v>
      </c>
    </row>
    <row r="1746" spans="1:5" x14ac:dyDescent="0.2">
      <c r="A1746" s="5">
        <v>1685</v>
      </c>
      <c r="B1746" s="138">
        <f>'Tax Sched 23'!B6</f>
        <v>5647998</v>
      </c>
      <c r="C1746" s="2" t="s">
        <v>593</v>
      </c>
      <c r="D1746" s="2" t="str">
        <f t="shared" si="26"/>
        <v>Error?</v>
      </c>
    </row>
    <row r="1747" spans="1:5" x14ac:dyDescent="0.2">
      <c r="A1747" s="5">
        <v>1686</v>
      </c>
      <c r="B1747" s="138">
        <f>'Tax Sched 23'!B7</f>
        <v>1839815</v>
      </c>
      <c r="C1747" s="2" t="s">
        <v>593</v>
      </c>
      <c r="D1747" s="2" t="str">
        <f t="shared" si="26"/>
        <v>Error?</v>
      </c>
    </row>
    <row r="1748" spans="1:5" x14ac:dyDescent="0.2">
      <c r="A1748" s="5">
        <v>1687</v>
      </c>
      <c r="B1748" s="138">
        <f>'Tax Sched 23'!B8</f>
        <v>901882</v>
      </c>
      <c r="C1748" s="2" t="s">
        <v>593</v>
      </c>
      <c r="D1748" s="2" t="str">
        <f t="shared" si="26"/>
        <v>Error?</v>
      </c>
    </row>
    <row r="1749" spans="1:5" x14ac:dyDescent="0.2">
      <c r="A1749" s="5">
        <v>1688</v>
      </c>
      <c r="B1749" s="138">
        <f>'Tax Sched 23'!B10</f>
        <v>459954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1553692</v>
      </c>
      <c r="C1752" s="2" t="s">
        <v>593</v>
      </c>
      <c r="D1752" s="2" t="str">
        <f t="shared" si="26"/>
        <v>Error?</v>
      </c>
    </row>
    <row r="1753" spans="1:5" x14ac:dyDescent="0.2">
      <c r="A1753" s="5">
        <v>1692</v>
      </c>
      <c r="B1753" s="138">
        <f>'Tax Sched 23'!B12</f>
        <v>459954</v>
      </c>
      <c r="C1753" s="2" t="s">
        <v>593</v>
      </c>
      <c r="D1753" s="2" t="str">
        <f t="shared" si="26"/>
        <v>Error?</v>
      </c>
    </row>
    <row r="1754" spans="1:5" x14ac:dyDescent="0.2">
      <c r="A1754" s="5">
        <v>1693</v>
      </c>
      <c r="B1754" s="138">
        <f>'Tax Sched 23'!B14</f>
        <v>367963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41990874</v>
      </c>
      <c r="C1759" s="2" t="s">
        <v>593</v>
      </c>
      <c r="D1759" s="2" t="str">
        <f t="shared" si="26"/>
        <v>Error?</v>
      </c>
    </row>
    <row r="1760" spans="1:5" x14ac:dyDescent="0.2">
      <c r="A1760" s="5">
        <v>1699</v>
      </c>
      <c r="B1760" s="138">
        <f>'Tax Sched 23'!D4</f>
        <v>13101903</v>
      </c>
      <c r="C1760" s="2" t="s">
        <v>593</v>
      </c>
      <c r="D1760" s="2" t="str">
        <f t="shared" si="26"/>
        <v>Error?</v>
      </c>
    </row>
    <row r="1761" spans="1:5" x14ac:dyDescent="0.2">
      <c r="A1761" s="5">
        <v>1700</v>
      </c>
      <c r="B1761" s="138">
        <f>'Tax Sched 23'!D5</f>
        <v>2304964</v>
      </c>
      <c r="C1761" s="2" t="s">
        <v>593</v>
      </c>
      <c r="D1761" s="2" t="str">
        <f t="shared" si="26"/>
        <v>Error?</v>
      </c>
    </row>
    <row r="1762" spans="1:5" s="8" customFormat="1" x14ac:dyDescent="0.2">
      <c r="A1762" s="5">
        <v>1701</v>
      </c>
      <c r="B1762" s="138">
        <f>'Tax Sched 23'!D6</f>
        <v>3094114</v>
      </c>
      <c r="C1762" s="2" t="s">
        <v>593</v>
      </c>
      <c r="D1762" s="2" t="str">
        <f t="shared" si="26"/>
        <v>Error?</v>
      </c>
      <c r="E1762" s="9"/>
    </row>
    <row r="1763" spans="1:5" x14ac:dyDescent="0.2">
      <c r="A1763" s="5">
        <v>1702</v>
      </c>
      <c r="B1763" s="138">
        <f>'Tax Sched 23'!D7</f>
        <v>970511</v>
      </c>
      <c r="C1763" s="2" t="s">
        <v>593</v>
      </c>
      <c r="D1763" s="2" t="str">
        <f t="shared" si="26"/>
        <v>Error?</v>
      </c>
    </row>
    <row r="1764" spans="1:5" x14ac:dyDescent="0.2">
      <c r="A1764" s="5">
        <v>1703</v>
      </c>
      <c r="B1764" s="138">
        <f>'Tax Sched 23'!D8</f>
        <v>478922</v>
      </c>
      <c r="C1764" s="2" t="s">
        <v>593</v>
      </c>
      <c r="D1764" s="2" t="str">
        <f t="shared" si="26"/>
        <v>Error?</v>
      </c>
    </row>
    <row r="1765" spans="1:5" x14ac:dyDescent="0.2">
      <c r="A1765" s="5">
        <v>1704</v>
      </c>
      <c r="B1765" s="138">
        <f>'Tax Sched 23'!D10</f>
        <v>242628</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781794</v>
      </c>
      <c r="C1768" s="2" t="s">
        <v>593</v>
      </c>
      <c r="D1768" s="2" t="str">
        <f t="shared" si="26"/>
        <v>Error?</v>
      </c>
    </row>
    <row r="1769" spans="1:5" x14ac:dyDescent="0.2">
      <c r="A1769" s="5">
        <v>1708</v>
      </c>
      <c r="B1769" s="138">
        <f>'Tax Sched 23'!D12</f>
        <v>242628</v>
      </c>
      <c r="C1769" s="2" t="s">
        <v>593</v>
      </c>
      <c r="D1769" s="2" t="str">
        <f t="shared" si="26"/>
        <v>Error?</v>
      </c>
    </row>
    <row r="1770" spans="1:5" x14ac:dyDescent="0.2">
      <c r="A1770" s="5">
        <v>1709</v>
      </c>
      <c r="B1770" s="138">
        <f>'Tax Sched 23'!D14</f>
        <v>194102</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22234426</v>
      </c>
      <c r="C1775" s="2" t="s">
        <v>593</v>
      </c>
      <c r="D1775" s="2" t="str">
        <f t="shared" si="26"/>
        <v>Error?</v>
      </c>
    </row>
    <row r="1776" spans="1:5" x14ac:dyDescent="0.2">
      <c r="A1776" s="5">
        <v>1715</v>
      </c>
      <c r="B1776" s="138">
        <f>'Tax Sched 23'!C4</f>
        <v>11735600</v>
      </c>
      <c r="D1776" s="2" t="str">
        <f t="shared" si="26"/>
        <v>Error?</v>
      </c>
    </row>
    <row r="1777" spans="1:4" x14ac:dyDescent="0.2">
      <c r="A1777" s="5">
        <v>1716</v>
      </c>
      <c r="B1777" s="138">
        <f>'Tax Sched 23'!C5</f>
        <v>2064596</v>
      </c>
      <c r="D1777" s="2" t="str">
        <f t="shared" si="26"/>
        <v>Error?</v>
      </c>
    </row>
    <row r="1778" spans="1:4" x14ac:dyDescent="0.2">
      <c r="A1778" s="5">
        <v>1717</v>
      </c>
      <c r="B1778" s="138">
        <f>'Tax Sched 23'!C6</f>
        <v>2553884</v>
      </c>
      <c r="D1778" s="2" t="str">
        <f t="shared" si="26"/>
        <v>Error?</v>
      </c>
    </row>
    <row r="1779" spans="1:4" x14ac:dyDescent="0.2">
      <c r="A1779" s="5">
        <v>1718</v>
      </c>
      <c r="B1779" s="138">
        <f>'Tax Sched 23'!C7</f>
        <v>869304</v>
      </c>
      <c r="D1779" s="2" t="str">
        <f t="shared" si="26"/>
        <v>Error?</v>
      </c>
    </row>
    <row r="1780" spans="1:4" x14ac:dyDescent="0.2">
      <c r="A1780" s="5">
        <v>1719</v>
      </c>
      <c r="B1780" s="138">
        <f>'Tax Sched 23'!C8</f>
        <v>422960</v>
      </c>
      <c r="D1780" s="2" t="str">
        <f t="shared" si="26"/>
        <v>Error?</v>
      </c>
    </row>
    <row r="1781" spans="1:4" x14ac:dyDescent="0.2">
      <c r="A1781" s="5">
        <v>1720</v>
      </c>
      <c r="B1781" s="138">
        <f>'Tax Sched 23'!C10</f>
        <v>217326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771898</v>
      </c>
      <c r="D1784" s="2" t="str">
        <f t="shared" si="26"/>
        <v>Error?</v>
      </c>
    </row>
    <row r="1785" spans="1:4" x14ac:dyDescent="0.2">
      <c r="A1785" s="5">
        <v>1724</v>
      </c>
      <c r="B1785" s="138">
        <f>'Tax Sched 23'!C12</f>
        <v>217326</v>
      </c>
      <c r="D1785" s="2" t="str">
        <f t="shared" si="26"/>
        <v>Error?</v>
      </c>
    </row>
    <row r="1786" spans="1:4" x14ac:dyDescent="0.2">
      <c r="A1786" s="5">
        <v>1725</v>
      </c>
      <c r="B1786" s="138">
        <f>'Tax Sched 23'!C14</f>
        <v>173861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19756448</v>
      </c>
      <c r="C1791" s="2" t="s">
        <v>593</v>
      </c>
      <c r="D1791" s="2" t="str">
        <f t="shared" ref="D1791:D1854" si="27">IF(ISBLANK(B1791),"OK",IF(A1791-B1791=0,"OK","Error?"))</f>
        <v>Error?</v>
      </c>
    </row>
    <row r="1792" spans="1:4" x14ac:dyDescent="0.2">
      <c r="A1792" s="5">
        <v>1731</v>
      </c>
      <c r="B1792" s="138">
        <f>'Tax Sched 23'!F4</f>
        <v>13351156</v>
      </c>
      <c r="C1792" s="2" t="s">
        <v>593</v>
      </c>
      <c r="D1792" s="2" t="str">
        <f t="shared" si="27"/>
        <v>Error?</v>
      </c>
    </row>
    <row r="1793" spans="1:4" x14ac:dyDescent="0.2">
      <c r="A1793" s="5">
        <v>1732</v>
      </c>
      <c r="B1793" s="138">
        <f>'Tax Sched 23'!F5</f>
        <v>2348815</v>
      </c>
      <c r="C1793" s="2" t="s">
        <v>593</v>
      </c>
      <c r="D1793" s="2" t="str">
        <f t="shared" si="27"/>
        <v>Error?</v>
      </c>
    </row>
    <row r="1794" spans="1:4" x14ac:dyDescent="0.2">
      <c r="A1794" s="5">
        <v>1733</v>
      </c>
      <c r="B1794" s="138">
        <f>'Tax Sched 23'!F6</f>
        <v>2905459</v>
      </c>
      <c r="C1794" s="2" t="s">
        <v>593</v>
      </c>
      <c r="D1794" s="2" t="str">
        <f t="shared" si="27"/>
        <v>Error?</v>
      </c>
    </row>
    <row r="1795" spans="1:4" x14ac:dyDescent="0.2">
      <c r="A1795" s="5">
        <v>1734</v>
      </c>
      <c r="B1795" s="138">
        <f>'Tax Sched 23'!F7</f>
        <v>988974</v>
      </c>
      <c r="C1795" s="2" t="s">
        <v>593</v>
      </c>
      <c r="D1795" s="2" t="str">
        <f t="shared" si="27"/>
        <v>Error?</v>
      </c>
    </row>
    <row r="1796" spans="1:4" x14ac:dyDescent="0.2">
      <c r="A1796" s="5">
        <v>1735</v>
      </c>
      <c r="B1796" s="138">
        <f>'Tax Sched 23'!F8</f>
        <v>481185</v>
      </c>
      <c r="C1796" s="2" t="s">
        <v>593</v>
      </c>
      <c r="D1796" s="2" t="str">
        <f t="shared" si="27"/>
        <v>Error?</v>
      </c>
    </row>
    <row r="1797" spans="1:4" x14ac:dyDescent="0.2">
      <c r="A1797" s="5">
        <v>1736</v>
      </c>
      <c r="B1797" s="138">
        <f>'Tax Sched 23'!F10</f>
        <v>247244</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878160</v>
      </c>
      <c r="C1800" s="2" t="s">
        <v>593</v>
      </c>
      <c r="D1800" s="2" t="str">
        <f t="shared" si="27"/>
        <v>Error?</v>
      </c>
    </row>
    <row r="1801" spans="1:4" x14ac:dyDescent="0.2">
      <c r="A1801" s="5">
        <v>1740</v>
      </c>
      <c r="B1801" s="138">
        <f>'Tax Sched 23'!F12</f>
        <v>247244</v>
      </c>
      <c r="C1801" s="2" t="s">
        <v>593</v>
      </c>
      <c r="D1801" s="2" t="str">
        <f t="shared" si="27"/>
        <v>Error?</v>
      </c>
    </row>
    <row r="1802" spans="1:4" x14ac:dyDescent="0.2">
      <c r="A1802" s="5">
        <v>1741</v>
      </c>
      <c r="B1802" s="138">
        <f>'Tax Sched 23'!F14</f>
        <v>197795</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22476178</v>
      </c>
      <c r="C1807" s="2" t="s">
        <v>593</v>
      </c>
      <c r="D1807" s="2" t="str">
        <f t="shared" si="27"/>
        <v>Error?</v>
      </c>
    </row>
    <row r="1808" spans="1:4" x14ac:dyDescent="0.2">
      <c r="A1808" s="5">
        <v>1747</v>
      </c>
      <c r="B1808" s="138">
        <f>'Tax Sched 23'!E4</f>
        <v>25086756</v>
      </c>
      <c r="D1808" s="2" t="str">
        <f t="shared" si="27"/>
        <v>Error?</v>
      </c>
    </row>
    <row r="1809" spans="1:4" x14ac:dyDescent="0.2">
      <c r="A1809" s="5">
        <v>1748</v>
      </c>
      <c r="B1809" s="138">
        <f>'Tax Sched 23'!E5</f>
        <v>4413411</v>
      </c>
      <c r="D1809" s="2" t="str">
        <f t="shared" si="27"/>
        <v>Error?</v>
      </c>
    </row>
    <row r="1810" spans="1:4" x14ac:dyDescent="0.2">
      <c r="A1810" s="5">
        <v>1749</v>
      </c>
      <c r="B1810" s="138">
        <f>'Tax Sched 23'!E6</f>
        <v>5459343</v>
      </c>
      <c r="D1810" s="2" t="str">
        <f t="shared" si="27"/>
        <v>Error?</v>
      </c>
    </row>
    <row r="1811" spans="1:4" x14ac:dyDescent="0.2">
      <c r="A1811" s="5">
        <v>1750</v>
      </c>
      <c r="B1811" s="138">
        <f>'Tax Sched 23'!E7</f>
        <v>1858278</v>
      </c>
      <c r="D1811" s="2" t="str">
        <f t="shared" si="27"/>
        <v>Error?</v>
      </c>
    </row>
    <row r="1812" spans="1:4" x14ac:dyDescent="0.2">
      <c r="A1812" s="5">
        <v>1751</v>
      </c>
      <c r="B1812" s="138">
        <f>'Tax Sched 23'!E8</f>
        <v>904145</v>
      </c>
      <c r="D1812" s="2" t="str">
        <f t="shared" si="27"/>
        <v>Error?</v>
      </c>
    </row>
    <row r="1813" spans="1:4" x14ac:dyDescent="0.2">
      <c r="A1813" s="5">
        <v>1752</v>
      </c>
      <c r="B1813" s="138">
        <f>'Tax Sched 23'!E10</f>
        <v>464570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1650058</v>
      </c>
      <c r="D1816" s="2" t="str">
        <f t="shared" si="27"/>
        <v>Error?</v>
      </c>
    </row>
    <row r="1817" spans="1:4" x14ac:dyDescent="0.2">
      <c r="A1817" s="5">
        <v>1756</v>
      </c>
      <c r="B1817" s="138">
        <f>'Tax Sched 23'!E12</f>
        <v>464570</v>
      </c>
      <c r="D1817" s="2" t="str">
        <f t="shared" si="27"/>
        <v>Error?</v>
      </c>
    </row>
    <row r="1818" spans="1:4" x14ac:dyDescent="0.2">
      <c r="A1818" s="5">
        <v>1757</v>
      </c>
      <c r="B1818" s="138">
        <f>'Tax Sched 23'!E14</f>
        <v>371656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42232626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54866828</v>
      </c>
      <c r="C1939" s="2" t="s">
        <v>593</v>
      </c>
      <c r="D1939" s="2" t="str">
        <f t="shared" si="29"/>
        <v>Error?</v>
      </c>
    </row>
    <row r="1940" spans="1:5" x14ac:dyDescent="0.2">
      <c r="A1940" s="5">
        <v>1879</v>
      </c>
      <c r="B1940" s="138">
        <f>'Short-Term Long-Term Debt 24'!F49</f>
        <v>7720000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367963</v>
      </c>
      <c r="D1972" s="2" t="str">
        <f t="shared" si="29"/>
        <v>Error?</v>
      </c>
    </row>
    <row r="1973" spans="1:5" x14ac:dyDescent="0.2">
      <c r="A1973" s="5">
        <v>1912</v>
      </c>
      <c r="B1973" s="138">
        <f>'Rest Tax Levies-Tort Im 25'!H6</f>
        <v>97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368060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368060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2812408</v>
      </c>
      <c r="D2008" s="2" t="str">
        <f t="shared" si="30"/>
        <v>Error?</v>
      </c>
    </row>
    <row r="2009" spans="1:4" x14ac:dyDescent="0.2">
      <c r="A2009" s="5">
        <v>1948</v>
      </c>
      <c r="B2009" s="138">
        <f>'Cap Outlay Deprec 26'!C8</f>
        <v>105073273</v>
      </c>
      <c r="D2009" s="2" t="str">
        <f t="shared" si="30"/>
        <v>Error?</v>
      </c>
    </row>
    <row r="2010" spans="1:4" x14ac:dyDescent="0.2">
      <c r="A2010" s="5">
        <v>1949</v>
      </c>
      <c r="B2010" s="138">
        <f>'Cap Outlay Deprec 26'!C10</f>
        <v>10900004</v>
      </c>
      <c r="D2010" s="2" t="str">
        <f t="shared" si="30"/>
        <v>Error?</v>
      </c>
    </row>
    <row r="2011" spans="1:4" x14ac:dyDescent="0.2">
      <c r="A2011" s="5">
        <v>1950</v>
      </c>
      <c r="B2011" s="138">
        <f>'Cap Outlay Deprec 26'!C12</f>
        <v>8188763</v>
      </c>
      <c r="D2011" s="2" t="str">
        <f t="shared" si="30"/>
        <v>Error?</v>
      </c>
    </row>
    <row r="2012" spans="1:4" x14ac:dyDescent="0.2">
      <c r="A2012" s="5">
        <v>1951</v>
      </c>
      <c r="B2012" s="138">
        <f>'Cap Outlay Deprec 26'!C13</f>
        <v>3884258</v>
      </c>
      <c r="D2012" s="2" t="str">
        <f t="shared" si="30"/>
        <v>Error?</v>
      </c>
    </row>
    <row r="2013" spans="1:4" x14ac:dyDescent="0.2">
      <c r="A2013" s="5">
        <v>1952</v>
      </c>
      <c r="B2013" s="138">
        <f>'Cap Outlay Deprec 26'!C16</f>
        <v>131509814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452164</v>
      </c>
      <c r="D2015" s="2" t="str">
        <f t="shared" si="30"/>
        <v>Error?</v>
      </c>
    </row>
    <row r="2016" spans="1:4" x14ac:dyDescent="0.2">
      <c r="A2016" s="5">
        <v>1955</v>
      </c>
      <c r="B2016" s="138">
        <f>'Cap Outlay Deprec 26'!D10</f>
        <v>242695</v>
      </c>
      <c r="D2016" s="2" t="str">
        <f t="shared" si="30"/>
        <v>Error?</v>
      </c>
    </row>
    <row r="2017" spans="1:4" x14ac:dyDescent="0.2">
      <c r="A2017" s="5">
        <v>1956</v>
      </c>
      <c r="B2017" s="138">
        <f>'Cap Outlay Deprec 26'!D12</f>
        <v>893511</v>
      </c>
      <c r="D2017" s="2" t="str">
        <f t="shared" si="30"/>
        <v>Error?</v>
      </c>
    </row>
    <row r="2018" spans="1:4" x14ac:dyDescent="0.2">
      <c r="A2018" s="5">
        <v>1957</v>
      </c>
      <c r="B2018" s="138">
        <f>'Cap Outlay Deprec 26'!D13</f>
        <v>180322</v>
      </c>
      <c r="D2018" s="2" t="str">
        <f t="shared" si="30"/>
        <v>Error?</v>
      </c>
    </row>
    <row r="2019" spans="1:4" x14ac:dyDescent="0.2">
      <c r="A2019" s="5">
        <v>1958</v>
      </c>
      <c r="B2019" s="138">
        <f>'Cap Outlay Deprec 26'!D16</f>
        <v>2307616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442168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442168</v>
      </c>
      <c r="C2025" s="2" t="s">
        <v>593</v>
      </c>
      <c r="D2025" s="2" t="str">
        <f t="shared" si="30"/>
        <v>Error?</v>
      </c>
    </row>
    <row r="2026" spans="1:4" x14ac:dyDescent="0.2">
      <c r="A2026" s="5">
        <v>1965</v>
      </c>
      <c r="B2026" s="138">
        <f>'Cap Outlay Deprec 26'!F5</f>
        <v>2812408</v>
      </c>
      <c r="C2026" s="2" t="s">
        <v>593</v>
      </c>
      <c r="D2026" s="2" t="str">
        <f t="shared" si="30"/>
        <v>Error?</v>
      </c>
    </row>
    <row r="2027" spans="1:4" x14ac:dyDescent="0.2">
      <c r="A2027" s="5">
        <v>1966</v>
      </c>
      <c r="B2027" s="138">
        <f>'Cap Outlay Deprec 26'!F8</f>
        <v>105525437</v>
      </c>
      <c r="C2027" s="2" t="s">
        <v>593</v>
      </c>
      <c r="D2027" s="2" t="str">
        <f t="shared" si="30"/>
        <v>Error?</v>
      </c>
    </row>
    <row r="2028" spans="1:4" x14ac:dyDescent="0.2">
      <c r="A2028" s="5">
        <v>1967</v>
      </c>
      <c r="B2028" s="138">
        <f>'Cap Outlay Deprec 26'!F10</f>
        <v>11142699</v>
      </c>
      <c r="C2028" s="2" t="s">
        <v>593</v>
      </c>
      <c r="D2028" s="2" t="str">
        <f t="shared" si="30"/>
        <v>Error?</v>
      </c>
    </row>
    <row r="2029" spans="1:4" x14ac:dyDescent="0.2">
      <c r="A2029" s="5">
        <v>1968</v>
      </c>
      <c r="B2029" s="138">
        <f>'Cap Outlay Deprec 26'!F12</f>
        <v>8640106</v>
      </c>
      <c r="C2029" s="2" t="s">
        <v>593</v>
      </c>
      <c r="D2029" s="2" t="str">
        <f t="shared" si="30"/>
        <v>Error?</v>
      </c>
    </row>
    <row r="2030" spans="1:4" x14ac:dyDescent="0.2">
      <c r="A2030" s="5">
        <v>1969</v>
      </c>
      <c r="B2030" s="138">
        <f>'Cap Outlay Deprec 26'!F13</f>
        <v>4064580</v>
      </c>
      <c r="C2030" s="2" t="s">
        <v>593</v>
      </c>
      <c r="D2030" s="2" t="str">
        <f t="shared" si="30"/>
        <v>Error?</v>
      </c>
    </row>
    <row r="2031" spans="1:4" x14ac:dyDescent="0.2">
      <c r="A2031" s="5">
        <v>1970</v>
      </c>
      <c r="B2031" s="138">
        <f>'Cap Outlay Deprec 26'!F16</f>
        <v>133375262</v>
      </c>
      <c r="C2031" s="2" t="s">
        <v>593</v>
      </c>
      <c r="D2031" s="2" t="str">
        <f t="shared" si="30"/>
        <v>Error?</v>
      </c>
    </row>
    <row r="2032" spans="1:4" x14ac:dyDescent="0.2">
      <c r="A2032" s="10">
        <v>1971</v>
      </c>
      <c r="D2032" s="2" t="str">
        <f t="shared" si="30"/>
        <v>OK</v>
      </c>
    </row>
    <row r="2033" spans="1:4" x14ac:dyDescent="0.2">
      <c r="A2033" s="5">
        <v>1972</v>
      </c>
      <c r="B2033" s="138">
        <f>'Cap Outlay Deprec 26'!H8</f>
        <v>25495490</v>
      </c>
      <c r="D2033" s="2" t="str">
        <f t="shared" si="30"/>
        <v>Error?</v>
      </c>
    </row>
    <row r="2034" spans="1:4" x14ac:dyDescent="0.2">
      <c r="A2034" s="5">
        <v>1973</v>
      </c>
      <c r="B2034" s="138">
        <f>'Cap Outlay Deprec 26'!H10</f>
        <v>4149577</v>
      </c>
      <c r="D2034" s="2" t="str">
        <f t="shared" si="30"/>
        <v>Error?</v>
      </c>
    </row>
    <row r="2035" spans="1:4" x14ac:dyDescent="0.2">
      <c r="A2035" s="5">
        <v>1974</v>
      </c>
      <c r="B2035" s="138">
        <f>'Cap Outlay Deprec 26'!H12</f>
        <v>4760783</v>
      </c>
      <c r="D2035" s="2" t="str">
        <f t="shared" si="30"/>
        <v>Error?</v>
      </c>
    </row>
    <row r="2036" spans="1:4" x14ac:dyDescent="0.2">
      <c r="A2036" s="5">
        <v>1975</v>
      </c>
      <c r="B2036" s="138">
        <f>'Cap Outlay Deprec 26'!H13</f>
        <v>3382674</v>
      </c>
      <c r="D2036" s="2" t="str">
        <f t="shared" si="30"/>
        <v>Error?</v>
      </c>
    </row>
    <row r="2037" spans="1:4" x14ac:dyDescent="0.2">
      <c r="A2037" s="5">
        <v>1976</v>
      </c>
      <c r="B2037" s="138">
        <f>'Cap Outlay Deprec 26'!H16</f>
        <v>37961367</v>
      </c>
      <c r="C2037" s="2" t="s">
        <v>593</v>
      </c>
      <c r="D2037" s="2" t="str">
        <f t="shared" si="30"/>
        <v>Error?</v>
      </c>
    </row>
    <row r="2038" spans="1:4" x14ac:dyDescent="0.2">
      <c r="A2038" s="10">
        <v>1977</v>
      </c>
      <c r="D2038" s="2" t="str">
        <f t="shared" si="30"/>
        <v>OK</v>
      </c>
    </row>
    <row r="2039" spans="1:4" x14ac:dyDescent="0.2">
      <c r="A2039" s="5">
        <v>1978</v>
      </c>
      <c r="B2039" s="138">
        <f>'Cap Outlay Deprec 26'!I8</f>
        <v>2082545</v>
      </c>
      <c r="D2039" s="2" t="str">
        <f t="shared" si="30"/>
        <v>Error?</v>
      </c>
    </row>
    <row r="2040" spans="1:4" x14ac:dyDescent="0.2">
      <c r="A2040" s="5">
        <v>1979</v>
      </c>
      <c r="B2040" s="138">
        <f>'Cap Outlay Deprec 26'!I10</f>
        <v>553753</v>
      </c>
      <c r="D2040" s="2" t="str">
        <f t="shared" si="30"/>
        <v>Error?</v>
      </c>
    </row>
    <row r="2041" spans="1:4" x14ac:dyDescent="0.2">
      <c r="A2041" s="5">
        <v>1980</v>
      </c>
      <c r="B2041" s="138">
        <f>'Cap Outlay Deprec 26'!I12</f>
        <v>820098</v>
      </c>
      <c r="D2041" s="2" t="str">
        <f t="shared" si="30"/>
        <v>Error?</v>
      </c>
    </row>
    <row r="2042" spans="1:4" x14ac:dyDescent="0.2">
      <c r="A2042" s="5">
        <v>1981</v>
      </c>
      <c r="B2042" s="138">
        <f>'Cap Outlay Deprec 26'!I13</f>
        <v>200476</v>
      </c>
      <c r="D2042" s="2" t="str">
        <f t="shared" si="30"/>
        <v>Error?</v>
      </c>
    </row>
    <row r="2043" spans="1:4" x14ac:dyDescent="0.2">
      <c r="A2043" s="5">
        <v>1982</v>
      </c>
      <c r="B2043" s="138">
        <f>'Cap Outlay Deprec 26'!I16</f>
        <v>3692062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442168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442168</v>
      </c>
      <c r="C2049" s="2" t="s">
        <v>593</v>
      </c>
      <c r="D2049" s="2" t="str">
        <f t="shared" si="31"/>
        <v>Error?</v>
      </c>
    </row>
    <row r="2050" spans="1:4" x14ac:dyDescent="0.2">
      <c r="A2050" s="10">
        <v>1989</v>
      </c>
      <c r="D2050" s="2" t="str">
        <f t="shared" si="31"/>
        <v>OK</v>
      </c>
    </row>
    <row r="2051" spans="1:4" x14ac:dyDescent="0.2">
      <c r="A2051" s="5">
        <v>1990</v>
      </c>
      <c r="B2051" s="138">
        <f>'Cap Outlay Deprec 26'!K8</f>
        <v>27578035</v>
      </c>
      <c r="C2051" s="2" t="s">
        <v>593</v>
      </c>
      <c r="D2051" s="2" t="str">
        <f t="shared" si="31"/>
        <v>Error?</v>
      </c>
    </row>
    <row r="2052" spans="1:4" x14ac:dyDescent="0.2">
      <c r="A2052" s="5">
        <v>1991</v>
      </c>
      <c r="B2052" s="138">
        <f>'Cap Outlay Deprec 26'!K10</f>
        <v>4703330</v>
      </c>
      <c r="C2052" s="2" t="s">
        <v>593</v>
      </c>
      <c r="D2052" s="2" t="str">
        <f t="shared" si="31"/>
        <v>Error?</v>
      </c>
    </row>
    <row r="2053" spans="1:4" x14ac:dyDescent="0.2">
      <c r="A2053" s="5">
        <v>1992</v>
      </c>
      <c r="B2053" s="138">
        <f>'Cap Outlay Deprec 26'!K12</f>
        <v>5138713</v>
      </c>
      <c r="C2053" s="2" t="s">
        <v>593</v>
      </c>
      <c r="D2053" s="2" t="str">
        <f t="shared" si="31"/>
        <v>Error?</v>
      </c>
    </row>
    <row r="2054" spans="1:4" x14ac:dyDescent="0.2">
      <c r="A2054" s="5">
        <v>1993</v>
      </c>
      <c r="B2054" s="138">
        <f>'Cap Outlay Deprec 26'!K13</f>
        <v>3583150</v>
      </c>
      <c r="C2054" s="2" t="s">
        <v>593</v>
      </c>
      <c r="D2054" s="2" t="str">
        <f t="shared" si="31"/>
        <v>Error?</v>
      </c>
    </row>
    <row r="2055" spans="1:4" x14ac:dyDescent="0.2">
      <c r="A2055" s="5">
        <v>1994</v>
      </c>
      <c r="B2055" s="138">
        <f>'Cap Outlay Deprec 26'!K16</f>
        <v>41211261</v>
      </c>
      <c r="C2055" s="2" t="s">
        <v>593</v>
      </c>
      <c r="D2055" s="2" t="str">
        <f t="shared" si="31"/>
        <v>Error?</v>
      </c>
    </row>
    <row r="2056" spans="1:4" x14ac:dyDescent="0.2">
      <c r="A2056" s="5">
        <v>1995</v>
      </c>
      <c r="B2056" s="138">
        <f>'Cap Outlay Deprec 26'!L5</f>
        <v>2812408</v>
      </c>
      <c r="C2056" s="2" t="s">
        <v>593</v>
      </c>
      <c r="D2056" s="2" t="str">
        <f t="shared" si="31"/>
        <v>Error?</v>
      </c>
    </row>
    <row r="2057" spans="1:4" x14ac:dyDescent="0.2">
      <c r="A2057" s="5">
        <v>1996</v>
      </c>
      <c r="B2057" s="138">
        <f>'Cap Outlay Deprec 26'!L8</f>
        <v>77947402</v>
      </c>
      <c r="C2057" s="2" t="s">
        <v>593</v>
      </c>
      <c r="D2057" s="2" t="str">
        <f t="shared" si="31"/>
        <v>Error?</v>
      </c>
    </row>
    <row r="2058" spans="1:4" x14ac:dyDescent="0.2">
      <c r="A2058" s="5">
        <v>1997</v>
      </c>
      <c r="B2058" s="138">
        <f>'Cap Outlay Deprec 26'!L10</f>
        <v>6439369</v>
      </c>
      <c r="C2058" s="2" t="s">
        <v>593</v>
      </c>
      <c r="D2058" s="2" t="str">
        <f t="shared" si="31"/>
        <v>Error?</v>
      </c>
    </row>
    <row r="2059" spans="1:4" x14ac:dyDescent="0.2">
      <c r="A2059" s="5">
        <v>1998</v>
      </c>
      <c r="B2059" s="138">
        <f>'Cap Outlay Deprec 26'!L12</f>
        <v>3501393</v>
      </c>
      <c r="C2059" s="2" t="s">
        <v>593</v>
      </c>
      <c r="D2059" s="2" t="str">
        <f t="shared" si="31"/>
        <v>Error?</v>
      </c>
    </row>
    <row r="2060" spans="1:4" x14ac:dyDescent="0.2">
      <c r="A2060" s="5">
        <v>1999</v>
      </c>
      <c r="B2060" s="138">
        <f>'Cap Outlay Deprec 26'!L13</f>
        <v>481430</v>
      </c>
      <c r="C2060" s="2" t="s">
        <v>593</v>
      </c>
      <c r="D2060" s="2" t="str">
        <f t="shared" si="31"/>
        <v>Error?</v>
      </c>
    </row>
    <row r="2061" spans="1:4" x14ac:dyDescent="0.2">
      <c r="A2061" s="5">
        <v>2000</v>
      </c>
      <c r="B2061" s="138">
        <f>'Cap Outlay Deprec 26'!L16</f>
        <v>92164001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190417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190417</v>
      </c>
      <c r="C2088" s="2" t="s">
        <v>593</v>
      </c>
      <c r="D2088" s="2" t="str">
        <f t="shared" si="31"/>
        <v>Error?</v>
      </c>
    </row>
    <row r="2089" spans="1:4" x14ac:dyDescent="0.2">
      <c r="A2089" s="5">
        <v>2028</v>
      </c>
      <c r="B2089" s="138">
        <f>'Expenditures 15-22'!K92</f>
        <v>1075508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1632903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720000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214394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28547982</v>
      </c>
      <c r="C2551" s="2" t="s">
        <v>593</v>
      </c>
      <c r="D2551" s="2" t="str">
        <f t="shared" si="38"/>
        <v>Error?</v>
      </c>
    </row>
    <row r="2552" spans="1:4" x14ac:dyDescent="0.2">
      <c r="A2552" s="10">
        <v>2491</v>
      </c>
      <c r="D2552" s="2" t="str">
        <f t="shared" si="38"/>
        <v>OK</v>
      </c>
    </row>
    <row r="2553" spans="1:4" x14ac:dyDescent="0.2">
      <c r="A2553" s="5">
        <v>2492</v>
      </c>
      <c r="B2553" s="138">
        <f>'Acct Summary 7-8'!C6</f>
        <v>4201434</v>
      </c>
      <c r="C2553" s="2" t="s">
        <v>593</v>
      </c>
      <c r="D2553" s="2" t="str">
        <f t="shared" si="38"/>
        <v>Error?</v>
      </c>
    </row>
    <row r="2554" spans="1:4" x14ac:dyDescent="0.2">
      <c r="A2554" s="5">
        <v>2493</v>
      </c>
      <c r="B2554" s="138">
        <f>'Acct Summary 7-8'!C7</f>
        <v>1015352</v>
      </c>
      <c r="C2554" s="2" t="s">
        <v>593</v>
      </c>
      <c r="D2554" s="2" t="str">
        <f t="shared" si="38"/>
        <v>Error?</v>
      </c>
    </row>
    <row r="2555" spans="1:4" x14ac:dyDescent="0.2">
      <c r="A2555" s="5">
        <v>2494</v>
      </c>
      <c r="B2555" s="138">
        <f>'Acct Summary 7-8'!C8</f>
        <v>33764768</v>
      </c>
      <c r="C2555" s="2" t="s">
        <v>593</v>
      </c>
      <c r="D2555" s="2" t="str">
        <f t="shared" si="38"/>
        <v>Error?</v>
      </c>
    </row>
    <row r="2556" spans="1:4" x14ac:dyDescent="0.2">
      <c r="A2556" s="5">
        <v>2495</v>
      </c>
      <c r="B2556" s="138">
        <f>'Acct Summary 7-8'!C12</f>
        <v>21381409</v>
      </c>
      <c r="C2556" s="2" t="s">
        <v>593</v>
      </c>
      <c r="D2556" s="2" t="str">
        <f t="shared" si="38"/>
        <v>Error?</v>
      </c>
    </row>
    <row r="2557" spans="1:4" x14ac:dyDescent="0.2">
      <c r="A2557" s="5">
        <v>2496</v>
      </c>
      <c r="B2557" s="138">
        <f>'Acct Summary 7-8'!C13</f>
        <v>8102888</v>
      </c>
      <c r="C2557" s="2" t="s">
        <v>593</v>
      </c>
      <c r="D2557" s="2" t="str">
        <f t="shared" si="38"/>
        <v>Error?</v>
      </c>
    </row>
    <row r="2558" spans="1:4" x14ac:dyDescent="0.2">
      <c r="A2558" s="5">
        <v>2497</v>
      </c>
      <c r="B2558" s="138">
        <f>'Acct Summary 7-8'!C14</f>
        <v>17700</v>
      </c>
      <c r="C2558" s="2" t="s">
        <v>593</v>
      </c>
      <c r="D2558" s="2" t="str">
        <f t="shared" si="38"/>
        <v>Error?</v>
      </c>
    </row>
    <row r="2559" spans="1:4" x14ac:dyDescent="0.2">
      <c r="A2559" s="5">
        <v>2498</v>
      </c>
      <c r="B2559" s="138">
        <f>'Acct Summary 7-8'!C15</f>
        <v>1265925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30767922</v>
      </c>
      <c r="C2561" s="2" t="s">
        <v>593</v>
      </c>
      <c r="D2561" s="2" t="str">
        <f t="shared" si="39"/>
        <v>Error?</v>
      </c>
    </row>
    <row r="2562" spans="1:4" x14ac:dyDescent="0.2">
      <c r="A2562" s="5">
        <v>2501</v>
      </c>
      <c r="B2562" s="138">
        <f>'Acct Summary 7-8'!C20</f>
        <v>2996846</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4512501</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4512501</v>
      </c>
      <c r="C2568" s="2" t="s">
        <v>593</v>
      </c>
      <c r="D2568" s="2" t="str">
        <f t="shared" si="39"/>
        <v>Error?</v>
      </c>
    </row>
    <row r="2569" spans="1:4" x14ac:dyDescent="0.2">
      <c r="A2569" s="5">
        <v>2508</v>
      </c>
      <c r="B2569" s="138">
        <f>'Acct Summary 7-8'!D13</f>
        <v>3823963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3823963</v>
      </c>
      <c r="C2573" s="2" t="s">
        <v>593</v>
      </c>
      <c r="D2573" s="2" t="str">
        <f t="shared" si="39"/>
        <v>Error?</v>
      </c>
    </row>
    <row r="2574" spans="1:4" x14ac:dyDescent="0.2">
      <c r="A2574" s="5">
        <v>2513</v>
      </c>
      <c r="B2574" s="138">
        <f>'Acct Summary 7-8'!D20</f>
        <v>688538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1903063</v>
      </c>
      <c r="C2591" s="2" t="s">
        <v>593</v>
      </c>
      <c r="D2591" s="2" t="str">
        <f t="shared" si="39"/>
        <v>Error?</v>
      </c>
    </row>
    <row r="2592" spans="1:4" x14ac:dyDescent="0.2">
      <c r="A2592" s="10">
        <v>2531</v>
      </c>
      <c r="D2592" s="2" t="str">
        <f t="shared" si="39"/>
        <v>OK</v>
      </c>
    </row>
    <row r="2593" spans="1:4" x14ac:dyDescent="0.2">
      <c r="A2593" s="5">
        <v>2532</v>
      </c>
      <c r="B2593" s="138">
        <f>'Acct Summary 7-8'!F6</f>
        <v>1452310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3355373</v>
      </c>
      <c r="C2595" s="2" t="s">
        <v>593</v>
      </c>
      <c r="D2595" s="2" t="str">
        <f t="shared" si="39"/>
        <v>Error?</v>
      </c>
    </row>
    <row r="2596" spans="1:4" x14ac:dyDescent="0.2">
      <c r="A2596" s="5">
        <v>2535</v>
      </c>
      <c r="B2596" s="138">
        <f>'Acct Summary 7-8'!F13</f>
        <v>2049656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2049656</v>
      </c>
      <c r="C2600" s="2" t="s">
        <v>593</v>
      </c>
      <c r="D2600" s="2" t="str">
        <f t="shared" si="39"/>
        <v>Error?</v>
      </c>
    </row>
    <row r="2601" spans="1:4" x14ac:dyDescent="0.2">
      <c r="A2601" s="5">
        <v>2540</v>
      </c>
      <c r="B2601" s="138">
        <f>'Acct Summary 7-8'!F20</f>
        <v>1305717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2114636</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2114636</v>
      </c>
      <c r="C2606" s="2" t="s">
        <v>593</v>
      </c>
      <c r="D2606" s="2" t="str">
        <f t="shared" si="39"/>
        <v>Error?</v>
      </c>
    </row>
    <row r="2607" spans="1:4" x14ac:dyDescent="0.2">
      <c r="A2607" s="5">
        <v>2546</v>
      </c>
      <c r="B2607" s="138">
        <f>'Acct Summary 7-8'!G12</f>
        <v>554857</v>
      </c>
      <c r="C2607" s="2" t="s">
        <v>593</v>
      </c>
      <c r="D2607" s="2" t="str">
        <f t="shared" si="39"/>
        <v>Error?</v>
      </c>
    </row>
    <row r="2608" spans="1:4" x14ac:dyDescent="0.2">
      <c r="A2608" s="5">
        <v>2547</v>
      </c>
      <c r="B2608" s="138">
        <f>'Acct Summary 7-8'!G13</f>
        <v>744077</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1298934</v>
      </c>
      <c r="C2612" s="2" t="s">
        <v>593</v>
      </c>
      <c r="D2612" s="2" t="str">
        <f t="shared" si="39"/>
        <v>Error?</v>
      </c>
    </row>
    <row r="2613" spans="1:4" x14ac:dyDescent="0.2">
      <c r="A2613" s="5">
        <v>2552</v>
      </c>
      <c r="B2613" s="138">
        <f>'Acct Summary 7-8'!G20</f>
        <v>815702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6388752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6586123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5981959</v>
      </c>
      <c r="C2634" s="2" t="s">
        <v>593</v>
      </c>
      <c r="D2634" s="2" t="str">
        <f t="shared" si="40"/>
        <v>Error?</v>
      </c>
    </row>
    <row r="2635" spans="1:4" x14ac:dyDescent="0.2">
      <c r="A2635" s="5">
        <v>2574</v>
      </c>
      <c r="B2635" s="138">
        <f>'Acct Summary 7-8'!E17</f>
        <v>5981959</v>
      </c>
      <c r="C2635" s="2" t="s">
        <v>593</v>
      </c>
      <c r="D2635" s="2" t="str">
        <f t="shared" si="40"/>
        <v>Error?</v>
      </c>
    </row>
    <row r="2636" spans="1:4" x14ac:dyDescent="0.2">
      <c r="A2636" s="5">
        <v>2575</v>
      </c>
      <c r="B2636" s="138">
        <f>'Acct Summary 7-8'!E20</f>
        <v>604164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328653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328653</v>
      </c>
      <c r="C2658" s="2" t="s">
        <v>593</v>
      </c>
      <c r="D2658" s="2" t="str">
        <f t="shared" si="40"/>
        <v>Error?</v>
      </c>
    </row>
    <row r="2659" spans="1:4" x14ac:dyDescent="0.2">
      <c r="A2659" s="5">
        <v>2598</v>
      </c>
      <c r="B2659" s="138">
        <f>'Acct Summary 7-8'!H13</f>
        <v>879774</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879774</v>
      </c>
      <c r="C2661" s="2" t="s">
        <v>593</v>
      </c>
      <c r="D2661" s="2" t="str">
        <f t="shared" si="40"/>
        <v>Error?</v>
      </c>
    </row>
    <row r="2662" spans="1:4" x14ac:dyDescent="0.2">
      <c r="A2662" s="5">
        <v>2601</v>
      </c>
      <c r="B2662" s="138">
        <f>'Acct Summary 7-8'!H20</f>
        <v>-551121</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481056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1665626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1048337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1665626</v>
      </c>
      <c r="D2912" s="2" t="str">
        <f t="shared" si="44"/>
        <v>Error?</v>
      </c>
    </row>
    <row r="2913" spans="1:4" x14ac:dyDescent="0.2">
      <c r="A2913" s="5">
        <v>2852</v>
      </c>
      <c r="B2913" s="138">
        <f>'Assets-Liab 5-6'!I41</f>
        <v>1665626</v>
      </c>
      <c r="C2913" s="2" t="s">
        <v>593</v>
      </c>
      <c r="D2913" s="2" t="str">
        <f t="shared" si="44"/>
        <v>Error?</v>
      </c>
    </row>
    <row r="2914" spans="1:4" x14ac:dyDescent="0.2">
      <c r="A2914" s="5">
        <v>2853</v>
      </c>
      <c r="B2914" s="138">
        <f>'Assets-Liab 5-6'!L33</f>
        <v>448849</v>
      </c>
      <c r="D2914" s="2" t="str">
        <f t="shared" si="44"/>
        <v>Error?</v>
      </c>
    </row>
    <row r="2915" spans="1:4" x14ac:dyDescent="0.2">
      <c r="A2915" s="10">
        <v>2854</v>
      </c>
      <c r="D2915" s="2" t="str">
        <f t="shared" si="44"/>
        <v>OK</v>
      </c>
    </row>
    <row r="2916" spans="1:4" x14ac:dyDescent="0.2">
      <c r="A2916" s="5">
        <v>2855</v>
      </c>
      <c r="B2916" s="138">
        <f>'Assets-Liab 5-6'!L34</f>
        <v>448849</v>
      </c>
      <c r="C2916" s="2" t="s">
        <v>593</v>
      </c>
      <c r="D2916" s="2" t="str">
        <f t="shared" si="44"/>
        <v>Error?</v>
      </c>
    </row>
    <row r="2917" spans="1:4" x14ac:dyDescent="0.2">
      <c r="A2917" s="5">
        <v>2856</v>
      </c>
      <c r="B2917" s="138">
        <f>'Assets-Liab 5-6'!L41</f>
        <v>1048337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190417</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190417</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195741</v>
      </c>
      <c r="D3055" s="2" t="str">
        <f t="shared" si="46"/>
        <v>Error?</v>
      </c>
    </row>
    <row r="3056" spans="1:4" x14ac:dyDescent="0.2">
      <c r="A3056" s="5">
        <v>2995</v>
      </c>
      <c r="B3056" s="138">
        <f>'Expenditures 15-22'!D10</f>
        <v>14244</v>
      </c>
      <c r="D3056" s="2" t="str">
        <f t="shared" si="46"/>
        <v>Error?</v>
      </c>
    </row>
    <row r="3057" spans="1:4" x14ac:dyDescent="0.2">
      <c r="A3057" s="5">
        <v>2996</v>
      </c>
      <c r="B3057" s="138">
        <f>'Expenditures 15-22'!E10</f>
        <v>38655</v>
      </c>
      <c r="D3057" s="2" t="str">
        <f t="shared" si="46"/>
        <v>Error?</v>
      </c>
    </row>
    <row r="3058" spans="1:4" x14ac:dyDescent="0.2">
      <c r="A3058" s="5">
        <v>2997</v>
      </c>
      <c r="B3058" s="138">
        <f>'Expenditures 15-22'!F10</f>
        <v>104680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353320</v>
      </c>
      <c r="C3062" s="2" t="s">
        <v>593</v>
      </c>
      <c r="D3062" s="2" t="str">
        <f t="shared" si="46"/>
        <v>Error?</v>
      </c>
    </row>
    <row r="3063" spans="1:4" x14ac:dyDescent="0.2">
      <c r="A3063" s="10">
        <v>3002</v>
      </c>
      <c r="D3063" s="2" t="str">
        <f t="shared" si="46"/>
        <v>OK</v>
      </c>
    </row>
    <row r="3064" spans="1:4" x14ac:dyDescent="0.2">
      <c r="A3064" s="5">
        <v>3003</v>
      </c>
      <c r="B3064" s="138">
        <f>'Expenditures 15-22'!D219</f>
        <v>26194</v>
      </c>
      <c r="D3064" s="2" t="str">
        <f t="shared" si="46"/>
        <v>Error?</v>
      </c>
    </row>
    <row r="3065" spans="1:4" x14ac:dyDescent="0.2">
      <c r="A3065" s="5">
        <v>3004</v>
      </c>
      <c r="B3065" s="138">
        <f>'Expenditures 15-22'!K219</f>
        <v>26194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599488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465514</v>
      </c>
      <c r="C3225" s="2" t="s">
        <v>593</v>
      </c>
      <c r="D3225" s="2" t="str">
        <f t="shared" si="49"/>
        <v>Error?</v>
      </c>
    </row>
    <row r="3226" spans="1:4" x14ac:dyDescent="0.2">
      <c r="A3226" s="5">
        <v>3165</v>
      </c>
      <c r="B3226" s="138">
        <f>'Acct Summary 7-8'!I8</f>
        <v>465514</v>
      </c>
      <c r="C3226" s="2" t="s">
        <v>593</v>
      </c>
      <c r="D3226" s="2" t="str">
        <f t="shared" si="49"/>
        <v>Error?</v>
      </c>
    </row>
    <row r="3227" spans="1:4" x14ac:dyDescent="0.2">
      <c r="A3227" s="5">
        <v>3166</v>
      </c>
      <c r="B3227" s="138">
        <f>'Acct Summary 7-8'!I20</f>
        <v>465514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2996846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688538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1305717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815702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299835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299835</v>
      </c>
      <c r="C3277" s="2" t="s">
        <v>593</v>
      </c>
      <c r="D3277" s="2" t="str">
        <f t="shared" si="50"/>
        <v>Error?</v>
      </c>
    </row>
    <row r="3278" spans="1:4" x14ac:dyDescent="0.2">
      <c r="A3278" s="5">
        <v>3217</v>
      </c>
      <c r="B3278" s="138">
        <f>'Acct Summary 7-8'!E78</f>
        <v>903999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8322458</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8322458</v>
      </c>
      <c r="C3299" s="2" t="s">
        <v>593</v>
      </c>
      <c r="D3299" s="2" t="str">
        <f t="shared" si="50"/>
        <v>Error?</v>
      </c>
    </row>
    <row r="3300" spans="1:4" x14ac:dyDescent="0.2">
      <c r="A3300" s="5">
        <v>3239</v>
      </c>
      <c r="B3300" s="138">
        <f>'Acct Summary 7-8'!H78</f>
        <v>7771337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465514</v>
      </c>
      <c r="C3320" s="2" t="s">
        <v>593</v>
      </c>
      <c r="D3320" s="2" t="str">
        <f t="shared" si="50"/>
        <v>Error?</v>
      </c>
    </row>
    <row r="3321" spans="1:4" x14ac:dyDescent="0.2">
      <c r="A3321" s="5">
        <v>3260</v>
      </c>
      <c r="B3321" s="138">
        <f>'Acct Summary 7-8'!I79</f>
        <v>1200112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1665626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3098158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362189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16038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11140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3592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3491117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206907</v>
      </c>
      <c r="D3387" s="2" t="str">
        <f t="shared" si="51"/>
        <v>Error?</v>
      </c>
    </row>
    <row r="3388" spans="1:4" x14ac:dyDescent="0.2">
      <c r="A3388" s="5">
        <v>3327</v>
      </c>
      <c r="B3388" s="138">
        <f>'Expenditures 15-22'!D217</f>
        <v>270147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206907</v>
      </c>
      <c r="C3390" s="2" t="s">
        <v>593</v>
      </c>
      <c r="D3390" s="2" t="str">
        <f t="shared" si="51"/>
        <v>Error?</v>
      </c>
    </row>
    <row r="3391" spans="1:4" x14ac:dyDescent="0.2">
      <c r="A3391" s="5">
        <v>3330</v>
      </c>
      <c r="B3391" s="138">
        <f>'Expenditures 15-22'!K217</f>
        <v>270147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18103575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4084240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3633234</v>
      </c>
      <c r="D3417" s="2" t="str">
        <f t="shared" si="52"/>
        <v>Error?</v>
      </c>
    </row>
    <row r="3418" spans="1:4" x14ac:dyDescent="0.2">
      <c r="A3418" s="10">
        <v>3357</v>
      </c>
      <c r="D3418" s="2" t="str">
        <f t="shared" si="52"/>
        <v>OK</v>
      </c>
    </row>
    <row r="3419" spans="1:4" x14ac:dyDescent="0.2">
      <c r="A3419" s="5">
        <v>3358</v>
      </c>
      <c r="B3419" s="138">
        <f>'Assets-Liab 5-6'!F4</f>
        <v>6124392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3404147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8041344</v>
      </c>
      <c r="D3425" s="2" t="str">
        <f t="shared" si="52"/>
        <v>Error?</v>
      </c>
    </row>
    <row r="3426" spans="1:4" x14ac:dyDescent="0.2">
      <c r="A3426" s="10">
        <v>3365</v>
      </c>
      <c r="D3426" s="2" t="str">
        <f t="shared" si="52"/>
        <v>OK</v>
      </c>
    </row>
    <row r="3427" spans="1:4" x14ac:dyDescent="0.2">
      <c r="A3427" s="5">
        <v>3366</v>
      </c>
      <c r="B3427" s="138">
        <f>'Assets-Liab 5-6'!I4</f>
        <v>1665626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1048337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1092600</v>
      </c>
      <c r="C3446" s="2" t="s">
        <v>593</v>
      </c>
      <c r="D3446" s="2" t="str">
        <f t="shared" si="52"/>
        <v>Error?</v>
      </c>
    </row>
    <row r="3447" spans="1:4" x14ac:dyDescent="0.2">
      <c r="A3447" s="5">
        <v>3386</v>
      </c>
      <c r="B3447" s="138">
        <f>'Tax Sched 23'!D16</f>
        <v>580232</v>
      </c>
      <c r="C3447" s="2" t="s">
        <v>593</v>
      </c>
      <c r="D3447" s="2" t="str">
        <f t="shared" si="52"/>
        <v>Error?</v>
      </c>
    </row>
    <row r="3448" spans="1:4" x14ac:dyDescent="0.2">
      <c r="A3448" s="5">
        <v>3387</v>
      </c>
      <c r="B3448" s="138">
        <f>'Tax Sched 23'!C16</f>
        <v>512368</v>
      </c>
      <c r="D3448" s="2" t="str">
        <f t="shared" si="52"/>
        <v>Error?</v>
      </c>
    </row>
    <row r="3449" spans="1:4" x14ac:dyDescent="0.2">
      <c r="A3449" s="5">
        <v>3388</v>
      </c>
      <c r="B3449" s="138">
        <f>'Tax Sched 23'!F16</f>
        <v>582901</v>
      </c>
      <c r="C3449" s="2" t="s">
        <v>593</v>
      </c>
      <c r="D3449" s="2" t="str">
        <f t="shared" si="52"/>
        <v>Error?</v>
      </c>
    </row>
    <row r="3450" spans="1:4" x14ac:dyDescent="0.2">
      <c r="A3450" s="5">
        <v>3389</v>
      </c>
      <c r="B3450" s="138">
        <f>'Tax Sched 23'!E16</f>
        <v>1095269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481056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481056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481056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803977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803977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803977</v>
      </c>
      <c r="D3567" s="2" t="str">
        <f t="shared" si="54"/>
        <v>Error?</v>
      </c>
    </row>
    <row r="3568" spans="1:4" x14ac:dyDescent="0.2">
      <c r="A3568" s="5">
        <v>3507</v>
      </c>
      <c r="B3568" s="138">
        <f>'Assets-Liab 5-6'!K41</f>
        <v>803977</v>
      </c>
      <c r="C3568" s="2" t="s">
        <v>593</v>
      </c>
      <c r="D3568" s="2" t="str">
        <f t="shared" si="54"/>
        <v>Error?</v>
      </c>
    </row>
    <row r="3569" spans="1:4" x14ac:dyDescent="0.2">
      <c r="A3569" s="5">
        <v>3508</v>
      </c>
      <c r="B3569" s="138">
        <f>'Acct Summary 7-8'!K4</f>
        <v>462114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462114</v>
      </c>
      <c r="C3571" s="2" t="s">
        <v>593</v>
      </c>
      <c r="D3571" s="2" t="str">
        <f t="shared" si="54"/>
        <v>Error?</v>
      </c>
    </row>
    <row r="3572" spans="1:4" x14ac:dyDescent="0.2">
      <c r="A3572" s="5">
        <v>3511</v>
      </c>
      <c r="B3572" s="138">
        <f>'Acct Summary 7-8'!K13</f>
        <v>107663</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107663</v>
      </c>
      <c r="C3575" s="2" t="s">
        <v>593</v>
      </c>
      <c r="D3575" s="2" t="str">
        <f t="shared" si="54"/>
        <v>Error?</v>
      </c>
    </row>
    <row r="3576" spans="1:4" x14ac:dyDescent="0.2">
      <c r="A3576" s="5">
        <v>3515</v>
      </c>
      <c r="B3576" s="138">
        <f>'Acct Summary 7-8'!K20</f>
        <v>354451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354451</v>
      </c>
      <c r="C3588" s="2" t="s">
        <v>593</v>
      </c>
      <c r="D3588" s="2" t="str">
        <f t="shared" si="55"/>
        <v>Error?</v>
      </c>
    </row>
    <row r="3589" spans="1:4" x14ac:dyDescent="0.2">
      <c r="A3589" s="5">
        <v>3528</v>
      </c>
      <c r="B3589" s="138">
        <f>'Acct Summary 7-8'!K79</f>
        <v>449526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803977</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107663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107663</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107663</v>
      </c>
      <c r="C3649" s="2" t="s">
        <v>593</v>
      </c>
      <c r="D3649" s="2" t="str">
        <f t="shared" si="56"/>
        <v>Error?</v>
      </c>
    </row>
    <row r="3650" spans="1:4" x14ac:dyDescent="0.2">
      <c r="A3650" s="5">
        <v>3589</v>
      </c>
      <c r="B3650" s="138">
        <f>'Expenditures 15-22'!G367</f>
        <v>107663</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107663</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107663</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107663</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107663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354451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459953</v>
      </c>
      <c r="C3725" s="2" t="s">
        <v>593</v>
      </c>
      <c r="D3725" s="2" t="str">
        <f t="shared" si="57"/>
        <v>Error?</v>
      </c>
    </row>
    <row r="3726" spans="1:4" x14ac:dyDescent="0.2">
      <c r="A3726" s="5">
        <v>3665</v>
      </c>
      <c r="B3726" s="138">
        <f>'Tax Sched 23'!D13</f>
        <v>242628</v>
      </c>
      <c r="C3726" s="2" t="s">
        <v>593</v>
      </c>
      <c r="D3726" s="2" t="str">
        <f t="shared" si="57"/>
        <v>Error?</v>
      </c>
    </row>
    <row r="3727" spans="1:4" x14ac:dyDescent="0.2">
      <c r="A3727" s="5">
        <v>3666</v>
      </c>
      <c r="B3727" s="138">
        <f>'Tax Sched 23'!C13</f>
        <v>217325</v>
      </c>
      <c r="D3727" s="2" t="str">
        <f t="shared" si="57"/>
        <v>Error?</v>
      </c>
    </row>
    <row r="3728" spans="1:4" x14ac:dyDescent="0.2">
      <c r="A3728" s="5">
        <v>3667</v>
      </c>
      <c r="B3728" s="138">
        <f>'Tax Sched 23'!F13</f>
        <v>247245</v>
      </c>
      <c r="C3728" s="2" t="s">
        <v>593</v>
      </c>
      <c r="D3728" s="2" t="str">
        <f t="shared" si="57"/>
        <v>Error?</v>
      </c>
    </row>
    <row r="3729" spans="1:4" x14ac:dyDescent="0.2">
      <c r="A3729" s="5">
        <v>3668</v>
      </c>
      <c r="B3729" s="138">
        <f>'Tax Sched 23'!E13</f>
        <v>464570</v>
      </c>
      <c r="D3729" s="2" t="str">
        <f t="shared" si="57"/>
        <v>Error?</v>
      </c>
    </row>
    <row r="3730" spans="1:4" x14ac:dyDescent="0.2">
      <c r="A3730" s="5">
        <v>3669</v>
      </c>
      <c r="B3730" s="138">
        <f>'ICR Computation 30'!E10</f>
        <v>501907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14081811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47846579</v>
      </c>
      <c r="C4122" s="2" t="s">
        <v>593</v>
      </c>
      <c r="D4122" s="2" t="str">
        <f t="shared" si="63"/>
        <v>Error?</v>
      </c>
    </row>
    <row r="4123" spans="1:4" x14ac:dyDescent="0.2">
      <c r="A4123" s="5">
        <v>4062</v>
      </c>
      <c r="B4123" s="138">
        <f>'Acct Summary 7-8'!D10</f>
        <v>4512501</v>
      </c>
      <c r="C4123" s="2" t="s">
        <v>593</v>
      </c>
      <c r="D4123" s="2" t="str">
        <f t="shared" si="63"/>
        <v>Error?</v>
      </c>
    </row>
    <row r="4124" spans="1:4" x14ac:dyDescent="0.2">
      <c r="A4124" s="5">
        <v>4063</v>
      </c>
      <c r="B4124" s="138">
        <f>'Acct Summary 7-8'!E10</f>
        <v>6586123</v>
      </c>
      <c r="C4124" s="2" t="s">
        <v>593</v>
      </c>
      <c r="D4124" s="2" t="str">
        <f t="shared" si="63"/>
        <v>Error?</v>
      </c>
    </row>
    <row r="4125" spans="1:4" x14ac:dyDescent="0.2">
      <c r="A4125" s="5">
        <v>4064</v>
      </c>
      <c r="B4125" s="138">
        <f>'Acct Summary 7-8'!F10</f>
        <v>3355373</v>
      </c>
      <c r="C4125" s="2" t="s">
        <v>593</v>
      </c>
      <c r="D4125" s="2" t="str">
        <f t="shared" si="63"/>
        <v>Error?</v>
      </c>
    </row>
    <row r="4126" spans="1:4" x14ac:dyDescent="0.2">
      <c r="A4126" s="5">
        <v>4065</v>
      </c>
      <c r="B4126" s="138">
        <f>'Acct Summary 7-8'!G10</f>
        <v>2114636</v>
      </c>
      <c r="C4126" s="2" t="s">
        <v>593</v>
      </c>
      <c r="D4126" s="2" t="str">
        <f t="shared" si="63"/>
        <v>Error?</v>
      </c>
    </row>
    <row r="4127" spans="1:4" x14ac:dyDescent="0.2">
      <c r="A4127" s="5">
        <v>4066</v>
      </c>
      <c r="B4127" s="138">
        <f>'Acct Summary 7-8'!H10</f>
        <v>328653</v>
      </c>
      <c r="C4127" s="2" t="s">
        <v>593</v>
      </c>
      <c r="D4127" s="2" t="str">
        <f t="shared" si="63"/>
        <v>Error?</v>
      </c>
    </row>
    <row r="4128" spans="1:4" x14ac:dyDescent="0.2">
      <c r="A4128" s="5">
        <v>4067</v>
      </c>
      <c r="B4128" s="138">
        <f>'Acct Summary 7-8'!I10</f>
        <v>465514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462114</v>
      </c>
      <c r="C4130" s="2" t="s">
        <v>593</v>
      </c>
      <c r="D4130" s="2" t="str">
        <f t="shared" si="63"/>
        <v>Error?</v>
      </c>
    </row>
    <row r="4131" spans="1:4" x14ac:dyDescent="0.2">
      <c r="A4131" s="5">
        <v>4070</v>
      </c>
      <c r="B4131" s="138">
        <f>'Acct Summary 7-8'!C18</f>
        <v>14081811</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44849733</v>
      </c>
      <c r="C4136" s="2" t="s">
        <v>593</v>
      </c>
      <c r="D4136" s="2" t="str">
        <f t="shared" si="63"/>
        <v>Error?</v>
      </c>
    </row>
    <row r="4137" spans="1:4" x14ac:dyDescent="0.2">
      <c r="A4137" s="5">
        <v>4076</v>
      </c>
      <c r="B4137" s="138">
        <f>'Acct Summary 7-8'!D19</f>
        <v>3823963</v>
      </c>
      <c r="C4137" s="2" t="s">
        <v>593</v>
      </c>
      <c r="D4137" s="2" t="str">
        <f t="shared" si="63"/>
        <v>Error?</v>
      </c>
    </row>
    <row r="4138" spans="1:4" x14ac:dyDescent="0.2">
      <c r="A4138" s="5">
        <v>4077</v>
      </c>
      <c r="B4138" s="138">
        <f>'Acct Summary 7-8'!E19</f>
        <v>5981959</v>
      </c>
      <c r="C4138" s="2" t="s">
        <v>593</v>
      </c>
      <c r="D4138" s="2" t="str">
        <f t="shared" si="63"/>
        <v>Error?</v>
      </c>
    </row>
    <row r="4139" spans="1:4" x14ac:dyDescent="0.2">
      <c r="A4139" s="5">
        <v>4078</v>
      </c>
      <c r="B4139" s="138">
        <f>'Acct Summary 7-8'!F19</f>
        <v>2049656</v>
      </c>
      <c r="C4139" s="2" t="s">
        <v>593</v>
      </c>
      <c r="D4139" s="2" t="str">
        <f t="shared" si="63"/>
        <v>Error?</v>
      </c>
    </row>
    <row r="4140" spans="1:4" x14ac:dyDescent="0.2">
      <c r="A4140" s="5">
        <v>4079</v>
      </c>
      <c r="B4140" s="138">
        <f>'Acct Summary 7-8'!G19</f>
        <v>1298934</v>
      </c>
      <c r="C4140" s="2" t="s">
        <v>593</v>
      </c>
      <c r="D4140" s="2" t="str">
        <f t="shared" si="63"/>
        <v>Error?</v>
      </c>
    </row>
    <row r="4141" spans="1:4" x14ac:dyDescent="0.2">
      <c r="A4141" s="5">
        <v>4080</v>
      </c>
      <c r="B4141" s="138">
        <f>'Acct Summary 7-8'!H19</f>
        <v>879774</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107663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58203061</v>
      </c>
      <c r="C4171" s="2" t="s">
        <v>593</v>
      </c>
      <c r="D4171" s="2" t="str">
        <f t="shared" si="64"/>
        <v>Error?</v>
      </c>
    </row>
    <row r="4172" spans="1:4" x14ac:dyDescent="0.2">
      <c r="A4172" s="5">
        <v>4111</v>
      </c>
      <c r="B4172" s="138">
        <f>'Short-Term Long-Term Debt 24'!J49</f>
        <v>54569827</v>
      </c>
      <c r="C4172" s="2" t="s">
        <v>593</v>
      </c>
      <c r="D4172" s="2" t="str">
        <f t="shared" si="64"/>
        <v>Error?</v>
      </c>
    </row>
    <row r="4173" spans="1:4" x14ac:dyDescent="0.2">
      <c r="A4173" s="5">
        <v>4112</v>
      </c>
      <c r="B4173" s="138">
        <f>'Short-Term Long-Term Debt 24'!H49</f>
        <v>3710000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-673767</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2700</v>
      </c>
      <c r="C4265" s="2" t="s">
        <v>593</v>
      </c>
      <c r="D4265" s="2" t="str">
        <f t="shared" si="65"/>
        <v>Error?</v>
      </c>
      <c r="E4265" s="128"/>
    </row>
    <row r="4266" spans="1:5" x14ac:dyDescent="0.2">
      <c r="A4266" s="12">
        <v>4205</v>
      </c>
      <c r="B4266" s="138">
        <f>('FP Info 3'!F10)*100000</f>
        <v>475</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3375</v>
      </c>
      <c r="C4268" s="2" t="s">
        <v>593</v>
      </c>
      <c r="D4268" s="2" t="str">
        <f t="shared" si="65"/>
        <v>Error?</v>
      </c>
    </row>
    <row r="4269" spans="1:5" x14ac:dyDescent="0.2">
      <c r="A4269" s="12">
        <v>4208</v>
      </c>
      <c r="B4269" s="138">
        <f>'FP Info 3'!J16</f>
        <v>46902467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30786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149616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24531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59227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197371</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197371</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6183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929139125</v>
      </c>
      <c r="D4995" s="2" t="str">
        <f t="shared" si="77"/>
        <v>Error?</v>
      </c>
    </row>
    <row r="4996" spans="1:4" x14ac:dyDescent="0.2">
      <c r="A4996" s="12">
        <v>4935</v>
      </c>
      <c r="B4996" s="138">
        <f>'FP Info 3'!H31</f>
        <v>128221199.25000001</v>
      </c>
      <c r="D4996" s="2" t="str">
        <f t="shared" si="77"/>
        <v>Error?</v>
      </c>
    </row>
    <row r="4997" spans="1:4" x14ac:dyDescent="0.2">
      <c r="A4997" s="12">
        <v>4936</v>
      </c>
      <c r="B4997" s="138">
        <f>'FP Info 3'!H37</f>
        <v>58203061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459953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24837503</v>
      </c>
      <c r="D5061" s="2" t="str">
        <f t="shared" si="78"/>
        <v>Error?</v>
      </c>
    </row>
    <row r="5062" spans="1:4" x14ac:dyDescent="0.2">
      <c r="A5062" s="10">
        <v>5001</v>
      </c>
      <c r="D5062" s="2" t="str">
        <f t="shared" si="78"/>
        <v>OK</v>
      </c>
    </row>
    <row r="5063" spans="1:4" x14ac:dyDescent="0.2">
      <c r="A5063" s="5">
        <v>5002</v>
      </c>
      <c r="B5063" s="138">
        <f>'Revenues 9-14'!C7</f>
        <v>367963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25665419</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603552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603552</v>
      </c>
      <c r="C5071" s="2" t="s">
        <v>593</v>
      </c>
      <c r="D5071" s="2" t="str">
        <f t="shared" si="78"/>
        <v>Error?</v>
      </c>
    </row>
    <row r="5072" spans="1:4" x14ac:dyDescent="0.2">
      <c r="A5072" s="5">
        <v>5011</v>
      </c>
      <c r="B5072" s="138">
        <f>'Revenues 9-14'!C20</f>
        <v>4739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24290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29029</v>
      </c>
      <c r="C5087" s="2" t="s">
        <v>593</v>
      </c>
      <c r="D5087" s="2" t="str">
        <f t="shared" si="78"/>
        <v>Error?</v>
      </c>
    </row>
    <row r="5088" spans="1:4" x14ac:dyDescent="0.2">
      <c r="A5088" s="5">
        <v>5027</v>
      </c>
      <c r="B5088" s="138">
        <f>'Revenues 9-14'!C65</f>
        <v>285637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285637</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420618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31012</v>
      </c>
      <c r="D5094" s="2" t="str">
        <f t="shared" si="78"/>
        <v>Error?</v>
      </c>
    </row>
    <row r="5095" spans="1:4" x14ac:dyDescent="0.2">
      <c r="A5095" s="5">
        <v>5034</v>
      </c>
      <c r="B5095" s="138">
        <f>'Revenues 9-14'!C74</f>
        <v>9666</v>
      </c>
      <c r="D5095" s="2" t="str">
        <f t="shared" si="78"/>
        <v>Error?</v>
      </c>
    </row>
    <row r="5096" spans="1:4" x14ac:dyDescent="0.2">
      <c r="A5096" s="5">
        <v>5035</v>
      </c>
      <c r="B5096" s="138">
        <f>'Revenues 9-14'!C75</f>
        <v>1064492</v>
      </c>
      <c r="C5096" s="2" t="s">
        <v>593</v>
      </c>
      <c r="D5096" s="2" t="str">
        <f t="shared" si="78"/>
        <v>Error?</v>
      </c>
    </row>
    <row r="5097" spans="1:4" x14ac:dyDescent="0.2">
      <c r="A5097" s="5">
        <v>5036</v>
      </c>
      <c r="B5097" s="138">
        <f>'Revenues 9-14'!C77</f>
        <v>46056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214534</v>
      </c>
      <c r="D5101" s="2" t="str">
        <f t="shared" si="78"/>
        <v>Error?</v>
      </c>
    </row>
    <row r="5102" spans="1:4" x14ac:dyDescent="0.2">
      <c r="A5102" s="5">
        <v>5041</v>
      </c>
      <c r="B5102" s="138">
        <f>'Revenues 9-14'!C82</f>
        <v>260590</v>
      </c>
      <c r="C5102" s="2" t="s">
        <v>593</v>
      </c>
      <c r="D5102" s="2" t="str">
        <f t="shared" si="78"/>
        <v>Error?</v>
      </c>
    </row>
    <row r="5103" spans="1:4" x14ac:dyDescent="0.2">
      <c r="A5103" s="5">
        <v>5042</v>
      </c>
      <c r="B5103" s="138">
        <f>'Revenues 9-14'!C84</f>
        <v>547505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547505</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53219</v>
      </c>
      <c r="D5115" s="2" t="str">
        <f t="shared" si="78"/>
        <v>Error?</v>
      </c>
    </row>
    <row r="5116" spans="1:4" x14ac:dyDescent="0.2">
      <c r="A5116" s="5">
        <v>5055</v>
      </c>
      <c r="B5116" s="138">
        <f>'Revenues 9-14'!C99</f>
        <v>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11483</v>
      </c>
      <c r="D5119" s="2" t="str">
        <f t="shared" ref="D5119:D5182" si="79">IF(ISBLANK(B5119),"OK",IF(A5119-B5119=0,"OK","Error?"))</f>
        <v>Error?</v>
      </c>
    </row>
    <row r="5120" spans="1:4" x14ac:dyDescent="0.2">
      <c r="A5120" s="5">
        <v>5059</v>
      </c>
      <c r="B5120" s="138">
        <f>'Revenues 9-14'!C108</f>
        <v>91758</v>
      </c>
      <c r="C5120" s="2" t="s">
        <v>593</v>
      </c>
      <c r="D5120" s="2" t="str">
        <f t="shared" si="79"/>
        <v>Error?</v>
      </c>
    </row>
    <row r="5121" spans="1:4" x14ac:dyDescent="0.2">
      <c r="A5121" s="5">
        <v>5060</v>
      </c>
      <c r="B5121" s="138">
        <f>'Revenues 9-14'!C109</f>
        <v>28547982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3182635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3182635</v>
      </c>
      <c r="C5132" s="2" t="s">
        <v>593</v>
      </c>
      <c r="D5132" s="2" t="str">
        <f t="shared" si="79"/>
        <v>Error?</v>
      </c>
    </row>
    <row r="5133" spans="1:4" x14ac:dyDescent="0.2">
      <c r="A5133" s="5">
        <v>5072</v>
      </c>
      <c r="B5133" s="138">
        <f>'Revenues 9-14'!C124</f>
        <v>137359</v>
      </c>
      <c r="D5133" s="2" t="str">
        <f t="shared" si="79"/>
        <v>Error?</v>
      </c>
    </row>
    <row r="5134" spans="1:4" x14ac:dyDescent="0.2">
      <c r="A5134" s="5">
        <v>5073</v>
      </c>
      <c r="B5134" s="138">
        <f>'Revenues 9-14'!C125</f>
        <v>267630</v>
      </c>
      <c r="D5134" s="2" t="str">
        <f t="shared" si="79"/>
        <v>Error?</v>
      </c>
    </row>
    <row r="5135" spans="1:4" x14ac:dyDescent="0.2">
      <c r="A5135" s="5">
        <v>5074</v>
      </c>
      <c r="B5135" s="138">
        <f>'Revenues 9-14'!C126</f>
        <v>253976</v>
      </c>
      <c r="D5135" s="2" t="str">
        <f t="shared" si="79"/>
        <v>Error?</v>
      </c>
    </row>
    <row r="5136" spans="1:4" x14ac:dyDescent="0.2">
      <c r="A5136" s="10">
        <v>5075</v>
      </c>
      <c r="D5136" s="2" t="str">
        <f t="shared" si="79"/>
        <v>OK</v>
      </c>
    </row>
    <row r="5137" spans="1:4" x14ac:dyDescent="0.2">
      <c r="A5137" s="5">
        <v>5076</v>
      </c>
      <c r="B5137" s="138">
        <f>'Revenues 9-14'!C127</f>
        <v>173751</v>
      </c>
      <c r="D5137" s="2" t="str">
        <f t="shared" si="79"/>
        <v>Error?</v>
      </c>
    </row>
    <row r="5138" spans="1:4" x14ac:dyDescent="0.2">
      <c r="A5138" s="10">
        <v>5077</v>
      </c>
      <c r="D5138" s="2" t="str">
        <f t="shared" si="79"/>
        <v>OK</v>
      </c>
    </row>
    <row r="5139" spans="1:4" x14ac:dyDescent="0.2">
      <c r="A5139" s="5">
        <v>5078</v>
      </c>
      <c r="B5139" s="138">
        <f>'Revenues 9-14'!C128</f>
        <v>1091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2668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836475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26111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26465</v>
      </c>
      <c r="C5161" s="2" t="s">
        <v>593</v>
      </c>
      <c r="D5161" s="2" t="str">
        <f t="shared" si="79"/>
        <v>Error?</v>
      </c>
    </row>
    <row r="5162" spans="1:4" x14ac:dyDescent="0.2">
      <c r="A5162" s="10">
        <v>5101</v>
      </c>
      <c r="D5162" s="2" t="str">
        <f t="shared" si="79"/>
        <v>OK</v>
      </c>
    </row>
    <row r="5163" spans="1:4" x14ac:dyDescent="0.2">
      <c r="A5163" s="5">
        <v>5102</v>
      </c>
      <c r="B5163" s="138">
        <f>'Revenues 9-14'!C142</f>
        <v>79602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79602</v>
      </c>
      <c r="C5165" s="2" t="s">
        <v>593</v>
      </c>
      <c r="D5165" s="2" t="str">
        <f t="shared" si="79"/>
        <v>Error?</v>
      </c>
    </row>
    <row r="5166" spans="1:4" x14ac:dyDescent="0.2">
      <c r="A5166" s="10">
        <v>5105</v>
      </c>
      <c r="D5166" s="2" t="str">
        <f t="shared" si="79"/>
        <v>OK</v>
      </c>
    </row>
    <row r="5167" spans="1:4" x14ac:dyDescent="0.2">
      <c r="A5167" s="5">
        <v>5106</v>
      </c>
      <c r="B5167" s="138">
        <f>'Revenues 9-14'!C145</f>
        <v>2983</v>
      </c>
      <c r="D5167" s="2" t="str">
        <f t="shared" si="79"/>
        <v>Error?</v>
      </c>
    </row>
    <row r="5168" spans="1:4" x14ac:dyDescent="0.2">
      <c r="A5168" s="5">
        <v>5107</v>
      </c>
      <c r="B5168" s="138">
        <f>'Revenues 9-14'!C147</f>
        <v>67091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1018799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4201434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337743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337743</v>
      </c>
      <c r="C5246" s="2" t="s">
        <v>593</v>
      </c>
      <c r="D5246" s="2" t="str">
        <f t="shared" si="80"/>
        <v>Error?</v>
      </c>
    </row>
    <row r="5247" spans="1:4" x14ac:dyDescent="0.2">
      <c r="A5247" s="5">
        <v>5186</v>
      </c>
      <c r="B5247" s="138">
        <f>'Revenues 9-14'!C203</f>
        <v>280032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280032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79020</v>
      </c>
      <c r="D5278" s="2" t="str">
        <f t="shared" si="81"/>
        <v>Error?</v>
      </c>
    </row>
    <row r="5279" spans="1:4" x14ac:dyDescent="0.2">
      <c r="A5279" s="5">
        <v>5218</v>
      </c>
      <c r="B5279" s="138">
        <f>'Revenues 9-14'!C221</f>
        <v>34774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113847</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19570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1015352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1015352</v>
      </c>
      <c r="C5326" s="2" t="s">
        <v>593</v>
      </c>
      <c r="D5326" s="2" t="str">
        <f t="shared" si="82"/>
        <v>Error?</v>
      </c>
    </row>
    <row r="5327" spans="1:4" x14ac:dyDescent="0.2">
      <c r="A5327" s="5">
        <v>5266</v>
      </c>
      <c r="B5327" s="138">
        <f>'Revenues 9-14'!C275</f>
        <v>33764768</v>
      </c>
      <c r="C5327" s="2" t="s">
        <v>593</v>
      </c>
      <c r="D5327" s="2" t="str">
        <f t="shared" si="82"/>
        <v>Error?</v>
      </c>
    </row>
    <row r="5328" spans="1:4" x14ac:dyDescent="0.2">
      <c r="A5328" s="5">
        <v>5267</v>
      </c>
      <c r="B5328" s="138">
        <f>'Revenues 9-14'!D5</f>
        <v>4369560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4369560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20861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20861</v>
      </c>
      <c r="C5342" s="2" t="s">
        <v>593</v>
      </c>
      <c r="D5342" s="2" t="str">
        <f t="shared" si="82"/>
        <v>Error?</v>
      </c>
    </row>
    <row r="5343" spans="1:4" x14ac:dyDescent="0.2">
      <c r="A5343" s="5">
        <v>5282</v>
      </c>
      <c r="B5343" s="138">
        <f>'Revenues 9-14'!D77</f>
        <v>21372</v>
      </c>
      <c r="D5343" s="2" t="str">
        <f t="shared" si="82"/>
        <v>Error?</v>
      </c>
    </row>
    <row r="5344" spans="1:4" x14ac:dyDescent="0.2">
      <c r="A5344" s="5">
        <v>5283</v>
      </c>
      <c r="B5344" s="138">
        <f>'Revenues 9-14'!D78</f>
        <v>84847</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106219</v>
      </c>
      <c r="C5348" s="2" t="s">
        <v>593</v>
      </c>
      <c r="D5348" s="2" t="str">
        <f t="shared" si="82"/>
        <v>Error?</v>
      </c>
    </row>
    <row r="5349" spans="1:4" x14ac:dyDescent="0.2">
      <c r="A5349" s="5">
        <v>5288</v>
      </c>
      <c r="B5349" s="138">
        <f>'Revenues 9-14'!D95</f>
        <v>13075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2786</v>
      </c>
      <c r="D5354" s="2" t="str">
        <f t="shared" si="82"/>
        <v>Error?</v>
      </c>
    </row>
    <row r="5355" spans="1:4" x14ac:dyDescent="0.2">
      <c r="A5355" s="5">
        <v>5294</v>
      </c>
      <c r="B5355" s="138">
        <f>'Revenues 9-14'!D108</f>
        <v>15861</v>
      </c>
      <c r="C5355" s="2" t="s">
        <v>593</v>
      </c>
      <c r="D5355" s="2" t="str">
        <f t="shared" si="82"/>
        <v>Error?</v>
      </c>
    </row>
    <row r="5356" spans="1:4" x14ac:dyDescent="0.2">
      <c r="A5356" s="5">
        <v>5295</v>
      </c>
      <c r="B5356" s="138">
        <f>'Revenues 9-14'!D109</f>
        <v>4512501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4512501</v>
      </c>
      <c r="C5508" s="2" t="s">
        <v>593</v>
      </c>
      <c r="D5508" s="2" t="str">
        <f t="shared" si="85"/>
        <v>Error?</v>
      </c>
    </row>
    <row r="5509" spans="1:4" x14ac:dyDescent="0.2">
      <c r="A5509" s="5">
        <v>5448</v>
      </c>
      <c r="B5509" s="138">
        <f>'Revenues 9-14'!E5</f>
        <v>5647998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5647998</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20754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20754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720000</v>
      </c>
      <c r="C5526" s="2" t="s">
        <v>593</v>
      </c>
      <c r="D5526" s="2" t="str">
        <f t="shared" si="85"/>
        <v>Error?</v>
      </c>
    </row>
    <row r="5527" spans="1:4" x14ac:dyDescent="0.2">
      <c r="A5527" s="5">
        <v>5466</v>
      </c>
      <c r="B5527" s="138">
        <f>'Revenues 9-14'!E109</f>
        <v>6388752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6586123</v>
      </c>
      <c r="C5552" s="2" t="s">
        <v>593</v>
      </c>
      <c r="D5552" s="2" t="str">
        <f t="shared" si="85"/>
        <v>Error?</v>
      </c>
    </row>
    <row r="5553" spans="1:4" x14ac:dyDescent="0.2">
      <c r="A5553" s="5">
        <v>5492</v>
      </c>
      <c r="B5553" s="138">
        <f>'Revenues 9-14'!F5</f>
        <v>1839815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1839815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6600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6600</v>
      </c>
      <c r="C5579" s="2" t="s">
        <v>593</v>
      </c>
      <c r="D5579" s="2" t="str">
        <f t="shared" si="86"/>
        <v>Error?</v>
      </c>
    </row>
    <row r="5580" spans="1:4" x14ac:dyDescent="0.2">
      <c r="A5580" s="5">
        <v>5519</v>
      </c>
      <c r="B5580" s="138">
        <f>'Revenues 9-14'!F65</f>
        <v>32868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32868</v>
      </c>
      <c r="C5582" s="2" t="s">
        <v>593</v>
      </c>
      <c r="D5582" s="2" t="str">
        <f t="shared" si="86"/>
        <v>Error?</v>
      </c>
    </row>
    <row r="5583" spans="1:4" x14ac:dyDescent="0.2">
      <c r="A5583" s="5">
        <v>5522</v>
      </c>
      <c r="B5583" s="138">
        <f>'Revenues 9-14'!F96</f>
        <v>53</v>
      </c>
      <c r="D5583" s="2" t="str">
        <f t="shared" si="86"/>
        <v>Error?</v>
      </c>
    </row>
    <row r="5584" spans="1:4" x14ac:dyDescent="0.2">
      <c r="A5584" s="5">
        <v>5523</v>
      </c>
      <c r="B5584" s="138">
        <f>'Revenues 9-14'!F98</f>
        <v>23167</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560</v>
      </c>
      <c r="D5586" s="2" t="str">
        <f t="shared" si="86"/>
        <v>Error?</v>
      </c>
    </row>
    <row r="5587" spans="1:4" x14ac:dyDescent="0.2">
      <c r="A5587" s="5">
        <v>5526</v>
      </c>
      <c r="B5587" s="138">
        <f>'Revenues 9-14'!F108</f>
        <v>23780</v>
      </c>
      <c r="C5587" s="2" t="s">
        <v>593</v>
      </c>
      <c r="D5587" s="2" t="str">
        <f t="shared" si="86"/>
        <v>Error?</v>
      </c>
    </row>
    <row r="5588" spans="1:4" x14ac:dyDescent="0.2">
      <c r="A5588" s="5">
        <v>5527</v>
      </c>
      <c r="B5588" s="138">
        <f>'Revenues 9-14'!F109</f>
        <v>1903063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795957</v>
      </c>
      <c r="D5615" s="2" t="str">
        <f t="shared" si="86"/>
        <v>Error?</v>
      </c>
    </row>
    <row r="5616" spans="1:4" x14ac:dyDescent="0.2">
      <c r="A5616" s="10">
        <v>5555</v>
      </c>
      <c r="D5616" s="2" t="str">
        <f t="shared" si="86"/>
        <v>OK</v>
      </c>
    </row>
    <row r="5617" spans="1:4" x14ac:dyDescent="0.2">
      <c r="A5617" s="5">
        <v>5556</v>
      </c>
      <c r="B5617" s="138">
        <f>'Revenues 9-14'!F152</f>
        <v>656353</v>
      </c>
      <c r="D5617" s="2" t="str">
        <f t="shared" si="86"/>
        <v>Error?</v>
      </c>
    </row>
    <row r="5618" spans="1:4" x14ac:dyDescent="0.2">
      <c r="A5618" s="5">
        <v>5557</v>
      </c>
      <c r="B5618" s="138">
        <f>'Revenues 9-14'!F154</f>
        <v>1452310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1452310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1452310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3355373</v>
      </c>
      <c r="C5720" s="2" t="s">
        <v>593</v>
      </c>
      <c r="D5720" s="2" t="str">
        <f t="shared" si="88"/>
        <v>Error?</v>
      </c>
    </row>
    <row r="5721" spans="1:4" x14ac:dyDescent="0.2">
      <c r="A5721" s="5">
        <v>5660</v>
      </c>
      <c r="B5721" s="138">
        <f>'Revenues 9-14'!G5</f>
        <v>901882</v>
      </c>
      <c r="D5721" s="2" t="str">
        <f t="shared" si="88"/>
        <v>Error?</v>
      </c>
    </row>
    <row r="5722" spans="1:4" x14ac:dyDescent="0.2">
      <c r="A5722" s="5">
        <v>5661</v>
      </c>
      <c r="B5722" s="138">
        <f>'Revenues 9-14'!G7</f>
        <v>0</v>
      </c>
      <c r="D5722" s="2" t="str">
        <f t="shared" si="88"/>
        <v>Error?</v>
      </c>
    </row>
    <row r="5723" spans="1:4" x14ac:dyDescent="0.2">
      <c r="A5723" s="5">
        <v>5662</v>
      </c>
      <c r="B5723" s="138">
        <f>'Revenues 9-14'!G8</f>
        <v>1092600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1994482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91000</v>
      </c>
      <c r="C5730" s="2" t="s">
        <v>593</v>
      </c>
      <c r="D5730" s="2" t="str">
        <f t="shared" si="88"/>
        <v>Error?</v>
      </c>
    </row>
    <row r="5731" spans="1:4" x14ac:dyDescent="0.2">
      <c r="A5731" s="5">
        <v>5670</v>
      </c>
      <c r="B5731" s="138">
        <f>'Revenues 9-14'!G65</f>
        <v>21747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21747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7407</v>
      </c>
      <c r="D5736" s="2" t="str">
        <f t="shared" si="88"/>
        <v>Error?</v>
      </c>
    </row>
    <row r="5737" spans="1:4" x14ac:dyDescent="0.2">
      <c r="A5737" s="5">
        <v>5676</v>
      </c>
      <c r="B5737" s="138">
        <f>'Revenues 9-14'!G108</f>
        <v>7407</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2114636</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3939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3939</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324714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328653</v>
      </c>
      <c r="C5915" s="2" t="s">
        <v>593</v>
      </c>
      <c r="D5915" s="2" t="str">
        <f t="shared" si="91"/>
        <v>Error?</v>
      </c>
    </row>
    <row r="5916" spans="1:4" x14ac:dyDescent="0.2">
      <c r="A5916" s="5">
        <v>5855</v>
      </c>
      <c r="B5916" s="138">
        <f>'Revenues 9-14'!I5</f>
        <v>459954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459954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5560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5560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465514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459954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459954</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2160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2160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462114</v>
      </c>
      <c r="C6023" s="2" t="s">
        <v>593</v>
      </c>
      <c r="D6023" s="2" t="str">
        <f t="shared" si="93"/>
        <v>Error?</v>
      </c>
    </row>
    <row r="6024" spans="1:5" x14ac:dyDescent="0.2">
      <c r="A6024" s="5">
        <v>5963</v>
      </c>
      <c r="B6024" s="138">
        <f>'Revenues 9-14'!G109</f>
        <v>2114636</v>
      </c>
      <c r="C6024" s="2" t="s">
        <v>593</v>
      </c>
      <c r="D6024" s="2" t="str">
        <f t="shared" si="93"/>
        <v>Error?</v>
      </c>
    </row>
    <row r="6025" spans="1:5" x14ac:dyDescent="0.2">
      <c r="A6025" s="5">
        <v>5964</v>
      </c>
      <c r="B6025" s="138">
        <f>'Revenues 9-14'!H109</f>
        <v>328653</v>
      </c>
      <c r="C6025" s="2" t="s">
        <v>593</v>
      </c>
      <c r="D6025" s="2" t="str">
        <f t="shared" si="93"/>
        <v>Error?</v>
      </c>
    </row>
    <row r="6026" spans="1:5" x14ac:dyDescent="0.2">
      <c r="A6026" s="5">
        <v>5965</v>
      </c>
      <c r="B6026" s="138">
        <f>'Revenues 9-14'!I109</f>
        <v>465514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462114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603196</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125986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4211.51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2159129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2159129</v>
      </c>
      <c r="D6215" s="2" t="str">
        <f t="shared" si="96"/>
        <v>Error?</v>
      </c>
      <c r="E6215" s="2" t="s">
        <v>199</v>
      </c>
    </row>
    <row r="6216" spans="1:5" x14ac:dyDescent="0.2">
      <c r="A6216">
        <v>6155</v>
      </c>
      <c r="B6216" s="138">
        <f>'Assets-Liab 5-6'!J41</f>
        <v>2159129</v>
      </c>
      <c r="D6216" s="2" t="str">
        <f t="shared" si="96"/>
        <v>Error?</v>
      </c>
      <c r="E6216" s="2" t="s">
        <v>199</v>
      </c>
    </row>
    <row r="6217" spans="1:5" x14ac:dyDescent="0.2">
      <c r="A6217">
        <v>6156</v>
      </c>
      <c r="B6217" s="138">
        <f>'Assets-Liab 5-6'!J4</f>
        <v>2159129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1587953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1587953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1587953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834811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834811</v>
      </c>
      <c r="D6229" s="2" t="str">
        <f t="shared" si="96"/>
        <v>Error?</v>
      </c>
      <c r="E6229" s="2" t="s">
        <v>199</v>
      </c>
    </row>
    <row r="6230" spans="1:5" x14ac:dyDescent="0.2">
      <c r="A6230">
        <v>6169</v>
      </c>
      <c r="B6230" s="138">
        <f>'Acct Summary 7-8'!J20</f>
        <v>753142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753142</v>
      </c>
      <c r="D6263" s="2" t="str">
        <f t="shared" si="96"/>
        <v>Error?</v>
      </c>
      <c r="E6263" s="2" t="s">
        <v>199</v>
      </c>
    </row>
    <row r="6264" spans="1:5" x14ac:dyDescent="0.2">
      <c r="A6264">
        <v>6203</v>
      </c>
      <c r="B6264" s="138">
        <f>'Acct Summary 7-8'!J79</f>
        <v>1405987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2159129</v>
      </c>
      <c r="D6266" s="2" t="str">
        <f t="shared" si="96"/>
        <v>Error?</v>
      </c>
      <c r="E6266" s="2" t="s">
        <v>199</v>
      </c>
    </row>
    <row r="6267" spans="1:5" x14ac:dyDescent="0.2">
      <c r="A6267">
        <v>6206</v>
      </c>
      <c r="B6267" s="138">
        <f>'Acct Summary 7-8'!C82</f>
        <v>2996846</v>
      </c>
      <c r="D6267" s="2" t="str">
        <f t="shared" si="96"/>
        <v>Error?</v>
      </c>
      <c r="E6267" s="2" t="s">
        <v>199</v>
      </c>
    </row>
    <row r="6268" spans="1:5" x14ac:dyDescent="0.2">
      <c r="A6268">
        <v>6207</v>
      </c>
      <c r="B6268" s="138">
        <f>'Acct Summary 7-8'!D82</f>
        <v>688538</v>
      </c>
      <c r="D6268" s="2" t="str">
        <f t="shared" si="96"/>
        <v>Error?</v>
      </c>
      <c r="E6268" s="2" t="s">
        <v>199</v>
      </c>
    </row>
    <row r="6269" spans="1:5" x14ac:dyDescent="0.2">
      <c r="A6269">
        <v>6208</v>
      </c>
      <c r="B6269" s="138">
        <f>'Acct Summary 7-8'!E82</f>
        <v>903999</v>
      </c>
      <c r="D6269" s="2" t="str">
        <f t="shared" si="96"/>
        <v>Error?</v>
      </c>
      <c r="E6269" s="2" t="s">
        <v>199</v>
      </c>
    </row>
    <row r="6270" spans="1:5" x14ac:dyDescent="0.2">
      <c r="A6270">
        <v>6209</v>
      </c>
      <c r="B6270" s="138">
        <f>'Acct Summary 7-8'!F82</f>
        <v>1305717</v>
      </c>
      <c r="D6270" s="2" t="str">
        <f t="shared" si="96"/>
        <v>Error?</v>
      </c>
      <c r="E6270" s="2" t="s">
        <v>199</v>
      </c>
    </row>
    <row r="6271" spans="1:5" x14ac:dyDescent="0.2">
      <c r="A6271">
        <v>6210</v>
      </c>
      <c r="B6271" s="138">
        <f>'Acct Summary 7-8'!G82</f>
        <v>815702</v>
      </c>
      <c r="D6271" s="2" t="str">
        <f t="shared" ref="D6271:D6334" si="97">IF(ISBLANK(B6271),"OK",IF(A6271-B6271=0,"OK","Error?"))</f>
        <v>Error?</v>
      </c>
      <c r="E6271" s="2" t="s">
        <v>199</v>
      </c>
    </row>
    <row r="6272" spans="1:5" x14ac:dyDescent="0.2">
      <c r="A6272">
        <v>6211</v>
      </c>
      <c r="B6272" s="138">
        <f>'Acct Summary 7-8'!H82</f>
        <v>7771337</v>
      </c>
      <c r="D6272" s="2" t="str">
        <f t="shared" si="97"/>
        <v>Error?</v>
      </c>
      <c r="E6272" s="2" t="s">
        <v>199</v>
      </c>
    </row>
    <row r="6273" spans="1:5" x14ac:dyDescent="0.2">
      <c r="A6273">
        <v>6212</v>
      </c>
      <c r="B6273" s="138">
        <f>'Acct Summary 7-8'!I82</f>
        <v>465514</v>
      </c>
      <c r="D6273" s="2" t="str">
        <f t="shared" si="97"/>
        <v>Error?</v>
      </c>
      <c r="E6273" s="2" t="s">
        <v>199</v>
      </c>
    </row>
    <row r="6274" spans="1:5" x14ac:dyDescent="0.2">
      <c r="A6274">
        <v>6213</v>
      </c>
      <c r="B6274" s="138">
        <f>'Acct Summary 7-8'!J82</f>
        <v>753142</v>
      </c>
      <c r="D6274" s="2" t="str">
        <f t="shared" si="97"/>
        <v>Error?</v>
      </c>
      <c r="E6274" s="2" t="s">
        <v>199</v>
      </c>
    </row>
    <row r="6275" spans="1:5" x14ac:dyDescent="0.2">
      <c r="A6275">
        <v>6214</v>
      </c>
      <c r="B6275" s="138">
        <f>'Acct Summary 7-8'!K82</f>
        <v>354451</v>
      </c>
      <c r="D6275" s="2" t="str">
        <f t="shared" si="97"/>
        <v>Error?</v>
      </c>
      <c r="E6275" s="2" t="s">
        <v>199</v>
      </c>
    </row>
    <row r="6276" spans="1:5" x14ac:dyDescent="0.2">
      <c r="A6276">
        <v>6215</v>
      </c>
      <c r="B6276" s="138">
        <f>'Acct Summary 7-8'!C83</f>
        <v>8.5555216368613074E-2</v>
      </c>
      <c r="D6276" s="2" t="str">
        <f t="shared" si="97"/>
        <v>Error?</v>
      </c>
      <c r="E6276" s="2" t="s">
        <v>199</v>
      </c>
    </row>
    <row r="6277" spans="1:5" x14ac:dyDescent="0.2">
      <c r="A6277">
        <v>6216</v>
      </c>
      <c r="B6277" s="138">
        <f>'Acct Summary 7-8'!D83</f>
        <v>0.16858411846512447</v>
      </c>
      <c r="D6277" s="2" t="str">
        <f t="shared" si="97"/>
        <v>Error?</v>
      </c>
      <c r="E6277" s="2" t="s">
        <v>199</v>
      </c>
    </row>
    <row r="6278" spans="1:5" x14ac:dyDescent="0.2">
      <c r="A6278">
        <v>6217</v>
      </c>
      <c r="B6278" s="138">
        <f>'Acct Summary 7-8'!E83</f>
        <v>0.24881386665433605</v>
      </c>
      <c r="D6278" s="2" t="str">
        <f t="shared" si="97"/>
        <v>Error?</v>
      </c>
      <c r="E6278" s="2" t="s">
        <v>199</v>
      </c>
    </row>
    <row r="6279" spans="1:5" x14ac:dyDescent="0.2">
      <c r="A6279">
        <v>6218</v>
      </c>
      <c r="B6279" s="138">
        <f>'Acct Summary 7-8'!F83</f>
        <v>0.21319944902285812</v>
      </c>
      <c r="D6279" s="2" t="str">
        <f t="shared" si="97"/>
        <v>Error?</v>
      </c>
      <c r="E6279" s="2" t="s">
        <v>199</v>
      </c>
    </row>
    <row r="6280" spans="1:5" x14ac:dyDescent="0.2">
      <c r="A6280">
        <v>6219</v>
      </c>
      <c r="B6280" s="138">
        <f>'Acct Summary 7-8'!G83</f>
        <v>0.23962008691164041</v>
      </c>
      <c r="D6280" s="2" t="str">
        <f t="shared" si="97"/>
        <v>Error?</v>
      </c>
      <c r="E6280" s="2" t="s">
        <v>199</v>
      </c>
    </row>
    <row r="6281" spans="1:5" x14ac:dyDescent="0.2">
      <c r="A6281">
        <v>6220</v>
      </c>
      <c r="B6281" s="138">
        <f>'Acct Summary 7-8'!H83</f>
        <v>0.96642265273068784</v>
      </c>
      <c r="D6281" s="2" t="str">
        <f t="shared" si="97"/>
        <v>Error?</v>
      </c>
      <c r="E6281" s="2" t="s">
        <v>199</v>
      </c>
    </row>
    <row r="6282" spans="1:5" x14ac:dyDescent="0.2">
      <c r="A6282">
        <v>6221</v>
      </c>
      <c r="B6282" s="138">
        <f>'Acct Summary 7-8'!I83</f>
        <v>0.2794829091284598</v>
      </c>
      <c r="D6282" s="2" t="str">
        <f t="shared" si="97"/>
        <v>Error?</v>
      </c>
      <c r="E6282" s="2" t="s">
        <v>199</v>
      </c>
    </row>
    <row r="6283" spans="1:5" x14ac:dyDescent="0.2">
      <c r="A6283">
        <v>6222</v>
      </c>
      <c r="B6283" s="138">
        <f>'Acct Summary 7-8'!J83</f>
        <v>0.34881750928267835</v>
      </c>
      <c r="D6283" s="2" t="str">
        <f t="shared" si="97"/>
        <v>Error?</v>
      </c>
      <c r="E6283" s="2" t="s">
        <v>199</v>
      </c>
    </row>
    <row r="6284" spans="1:5" x14ac:dyDescent="0.2">
      <c r="A6284">
        <v>6223</v>
      </c>
      <c r="B6284" s="138">
        <f>'Acct Summary 7-8'!K83</f>
        <v>0.44087206474812091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1553692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1553692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9241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9241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15125</v>
      </c>
      <c r="D6339" s="2" t="str">
        <f t="shared" si="98"/>
        <v>Error?</v>
      </c>
      <c r="E6339" s="2" t="s">
        <v>199</v>
      </c>
    </row>
    <row r="6340" spans="1:5" x14ac:dyDescent="0.2">
      <c r="A6340">
        <v>6279</v>
      </c>
      <c r="B6340" s="138">
        <f>'Revenues 9-14'!C102</f>
        <v>11281</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25020</v>
      </c>
      <c r="D6350" s="2" t="str">
        <f t="shared" si="98"/>
        <v>Error?</v>
      </c>
      <c r="E6350" s="2" t="s">
        <v>199</v>
      </c>
    </row>
    <row r="6351" spans="1:5" x14ac:dyDescent="0.2">
      <c r="A6351">
        <v>6290</v>
      </c>
      <c r="B6351" s="138">
        <f>'Revenues 9-14'!J108</f>
        <v>25020</v>
      </c>
      <c r="D6351" s="2" t="str">
        <f t="shared" si="98"/>
        <v>Error?</v>
      </c>
      <c r="E6351" s="2" t="s">
        <v>199</v>
      </c>
    </row>
    <row r="6352" spans="1:5" x14ac:dyDescent="0.2">
      <c r="A6352">
        <v>6291</v>
      </c>
      <c r="B6352" s="138">
        <f>'Revenues 9-14'!J109</f>
        <v>1587953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354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86408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197371</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197371</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96939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227223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142316</v>
      </c>
      <c r="D6880" s="2" t="str">
        <f t="shared" si="106"/>
        <v>Error?</v>
      </c>
    </row>
    <row r="6881" spans="1:4" x14ac:dyDescent="0.2">
      <c r="A6881">
        <v>6820</v>
      </c>
      <c r="B6881" s="138">
        <f>'Expenditures 15-22'!K22</f>
        <v>142316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31312</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31312</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31312</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1075508</v>
      </c>
      <c r="D6983" s="2" t="str">
        <f t="shared" si="108"/>
        <v>Error?</v>
      </c>
    </row>
    <row r="6984" spans="1:4" x14ac:dyDescent="0.2">
      <c r="A6984">
        <v>6923</v>
      </c>
      <c r="B6984" s="138">
        <f>'Expenditures 15-22'!K86</f>
        <v>1075508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1075508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31312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834811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1587953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6645</v>
      </c>
      <c r="D7073" s="2" t="str">
        <f t="shared" si="109"/>
        <v>Error?</v>
      </c>
    </row>
    <row r="7074" spans="1:4" x14ac:dyDescent="0.2">
      <c r="A7074">
        <v>7013</v>
      </c>
      <c r="B7074" s="138">
        <f>'Expenditures 15-22'!K216</f>
        <v>6645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2627</v>
      </c>
      <c r="D7079" s="2" t="str">
        <f t="shared" si="109"/>
        <v>Error?</v>
      </c>
    </row>
    <row r="7080" spans="1:4" x14ac:dyDescent="0.2">
      <c r="A7080">
        <v>7019</v>
      </c>
      <c r="B7080" s="138">
        <f>'Expenditures 15-22'!K226</f>
        <v>2627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12016</v>
      </c>
      <c r="D7093" s="2" t="str">
        <f t="shared" si="109"/>
        <v>Error?</v>
      </c>
    </row>
    <row r="7094" spans="1:4" x14ac:dyDescent="0.2">
      <c r="A7094">
        <v>7033</v>
      </c>
      <c r="B7094" s="138">
        <f>'Expenditures 15-22'!K254</f>
        <v>12016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187305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187305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20460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20460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194605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194605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157406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21832</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179238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128840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23750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152590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100613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100613</v>
      </c>
      <c r="D7198" s="2" t="str">
        <f t="shared" si="111"/>
        <v>Error?</v>
      </c>
    </row>
    <row r="7199" spans="1:4" x14ac:dyDescent="0.2">
      <c r="A7199">
        <v>7138</v>
      </c>
      <c r="B7199" s="138">
        <f>'Expenditures 15-22'!C330</f>
        <v>128840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663679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21832</v>
      </c>
      <c r="D7203" s="2" t="str">
        <f t="shared" si="111"/>
        <v>Error?</v>
      </c>
    </row>
    <row r="7204" spans="1:4" x14ac:dyDescent="0.2">
      <c r="A7204">
        <v>7143</v>
      </c>
      <c r="B7204" s="138">
        <f>'Expenditures 15-22'!H330</f>
        <v>20460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834811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128840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663679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21832</v>
      </c>
      <c r="D7220" s="2" t="str">
        <f t="shared" si="111"/>
        <v>Error?</v>
      </c>
    </row>
    <row r="7221" spans="1:4" x14ac:dyDescent="0.2">
      <c r="A7221">
        <v>7160</v>
      </c>
      <c r="B7221" s="138">
        <f>'Expenditures 15-22'!H342</f>
        <v>20460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834811</v>
      </c>
      <c r="D7224" s="2" t="str">
        <f t="shared" si="111"/>
        <v>Error?</v>
      </c>
    </row>
    <row r="7225" spans="1:4" x14ac:dyDescent="0.2">
      <c r="A7225">
        <v>7164</v>
      </c>
      <c r="B7225" s="138">
        <f>'Expenditures 15-22'!K343</f>
        <v>753142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10531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185506</v>
      </c>
      <c r="D7263" s="2" t="str">
        <f t="shared" si="112"/>
        <v>Error?</v>
      </c>
    </row>
    <row r="7264" spans="1:4" x14ac:dyDescent="0.2">
      <c r="A7264">
        <f t="shared" si="113"/>
        <v>7203</v>
      </c>
      <c r="B7264" s="138">
        <f>'Expenditures 15-22'!D17</f>
        <v>25062</v>
      </c>
      <c r="D7264" s="2" t="str">
        <f t="shared" si="112"/>
        <v>Error?</v>
      </c>
    </row>
    <row r="7265" spans="1:5" x14ac:dyDescent="0.2">
      <c r="A7265">
        <f t="shared" si="113"/>
        <v>7204</v>
      </c>
      <c r="B7265" s="138">
        <f>'Expenditures 15-22'!E17</f>
        <v>13335</v>
      </c>
      <c r="D7265" s="2" t="str">
        <f t="shared" si="112"/>
        <v>Error?</v>
      </c>
    </row>
    <row r="7266" spans="1:5" x14ac:dyDescent="0.2">
      <c r="A7266">
        <f t="shared" si="113"/>
        <v>7205</v>
      </c>
      <c r="B7266" s="138">
        <f>'Expenditures 15-22'!F17</f>
        <v>3320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572956</v>
      </c>
      <c r="D7606" s="2" t="str">
        <f t="shared" si="122"/>
        <v>Error?</v>
      </c>
      <c r="E7606" s="2" t="s">
        <v>19</v>
      </c>
    </row>
    <row r="7607" spans="1:5" x14ac:dyDescent="0.2">
      <c r="A7607">
        <f t="shared" si="123"/>
        <v>7546</v>
      </c>
      <c r="B7607" s="138">
        <f>'Cap Outlay Deprec 26'!D9</f>
        <v>57868</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630824</v>
      </c>
      <c r="D7609" s="2" t="str">
        <f t="shared" si="122"/>
        <v>Error?</v>
      </c>
      <c r="E7609" s="2" t="s">
        <v>19</v>
      </c>
    </row>
    <row r="7610" spans="1:5" x14ac:dyDescent="0.2">
      <c r="A7610">
        <f t="shared" si="123"/>
        <v>7549</v>
      </c>
      <c r="B7610" s="138">
        <f>'Cap Outlay Deprec 26'!H9</f>
        <v>101990</v>
      </c>
      <c r="D7610" s="2" t="str">
        <f t="shared" si="122"/>
        <v>Error?</v>
      </c>
      <c r="E7610" s="2" t="s">
        <v>19</v>
      </c>
    </row>
    <row r="7611" spans="1:5" x14ac:dyDescent="0.2">
      <c r="A7611">
        <f t="shared" si="123"/>
        <v>7550</v>
      </c>
      <c r="B7611" s="138">
        <f>'Cap Outlay Deprec 26'!I9</f>
        <v>31541</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133531</v>
      </c>
      <c r="D7613" s="2" t="str">
        <f t="shared" si="122"/>
        <v>Error?</v>
      </c>
      <c r="E7613" s="2" t="s">
        <v>19</v>
      </c>
    </row>
    <row r="7614" spans="1:5" x14ac:dyDescent="0.2">
      <c r="A7614">
        <f t="shared" si="123"/>
        <v>7553</v>
      </c>
      <c r="B7614" s="138">
        <f>'Cap Outlay Deprec 26'!L9</f>
        <v>497293</v>
      </c>
      <c r="D7614" s="2" t="str">
        <f t="shared" si="122"/>
        <v>Error?</v>
      </c>
      <c r="E7614" s="2" t="s">
        <v>19</v>
      </c>
    </row>
    <row r="7615" spans="1:5" x14ac:dyDescent="0.2">
      <c r="A7615">
        <f t="shared" si="123"/>
        <v>7554</v>
      </c>
      <c r="B7615" s="138">
        <f>'Cap Outlay Deprec 26'!C14</f>
        <v>78152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78152</v>
      </c>
      <c r="D7618" s="2" t="str">
        <f t="shared" si="124"/>
        <v>Error?</v>
      </c>
      <c r="E7618" s="2" t="s">
        <v>19</v>
      </c>
    </row>
    <row r="7619" spans="1:5" x14ac:dyDescent="0.2">
      <c r="A7619">
        <f t="shared" si="123"/>
        <v>7558</v>
      </c>
      <c r="B7619" s="138">
        <f>'Cap Outlay Deprec 26'!H14</f>
        <v>70853</v>
      </c>
      <c r="D7619" s="2" t="str">
        <f t="shared" si="124"/>
        <v>Error?</v>
      </c>
      <c r="E7619" s="2" t="s">
        <v>19</v>
      </c>
    </row>
    <row r="7620" spans="1:5" x14ac:dyDescent="0.2">
      <c r="A7620">
        <f t="shared" si="123"/>
        <v>7559</v>
      </c>
      <c r="B7620" s="138">
        <f>'Cap Outlay Deprec 26'!I14</f>
        <v>3649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74502</v>
      </c>
      <c r="D7622" s="2" t="str">
        <f t="shared" si="124"/>
        <v>Error?</v>
      </c>
      <c r="E7622" s="2" t="s">
        <v>19</v>
      </c>
    </row>
    <row r="7623" spans="1:5" x14ac:dyDescent="0.2">
      <c r="A7623">
        <f t="shared" si="123"/>
        <v>7562</v>
      </c>
      <c r="B7623" s="138">
        <f>'Cap Outlay Deprec 26'!L14</f>
        <v>3650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3692062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172</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15125</v>
      </c>
      <c r="D7712" s="2" t="str">
        <f t="shared" si="126"/>
        <v>Error?</v>
      </c>
      <c r="E7712" s="2" t="s">
        <v>880</v>
      </c>
    </row>
    <row r="7713" spans="1:6" x14ac:dyDescent="0.2">
      <c r="A7713">
        <v>7652</v>
      </c>
      <c r="B7713" s="138">
        <f>'Rest Tax Levies-Tort Im 25'!J8</f>
        <v>1044714</v>
      </c>
      <c r="D7713" s="2" t="str">
        <f t="shared" si="126"/>
        <v>Error?</v>
      </c>
      <c r="E7713" s="2" t="s">
        <v>880</v>
      </c>
    </row>
    <row r="7714" spans="1:6" x14ac:dyDescent="0.2">
      <c r="A7714">
        <v>7653</v>
      </c>
      <c r="B7714" s="138">
        <f>'Rest Tax Levies-Tort Im 25'!K9</f>
        <v>67091</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1044886</v>
      </c>
      <c r="D7718" s="2" t="str">
        <f t="shared" si="126"/>
        <v>Error?</v>
      </c>
      <c r="E7718" s="2" t="s">
        <v>880</v>
      </c>
    </row>
    <row r="7719" spans="1:6" x14ac:dyDescent="0.2">
      <c r="A7719">
        <v>7658</v>
      </c>
      <c r="B7719" s="138">
        <f>'Rest Tax Levies-Tort Im 25'!K12</f>
        <v>82216</v>
      </c>
      <c r="D7719" s="2" t="str">
        <f t="shared" si="126"/>
        <v>Error?</v>
      </c>
      <c r="E7719" s="2" t="s">
        <v>880</v>
      </c>
    </row>
    <row r="7720" spans="1:6" x14ac:dyDescent="0.2">
      <c r="A7720">
        <v>7659</v>
      </c>
      <c r="B7720" s="138">
        <f>'Rest Tax Levies-Tort Im 25'!H14</f>
        <v>368060</v>
      </c>
      <c r="D7720" s="2" t="str">
        <f t="shared" si="126"/>
        <v>Error?</v>
      </c>
      <c r="E7720" s="2" t="s">
        <v>880</v>
      </c>
    </row>
    <row r="7721" spans="1:6" x14ac:dyDescent="0.2">
      <c r="A7721">
        <v>7660</v>
      </c>
      <c r="B7721" s="138">
        <f>'Rest Tax Levies-Tort Im 25'!K14</f>
        <v>82216</v>
      </c>
      <c r="D7721" s="2" t="str">
        <f t="shared" si="126"/>
        <v>Error?</v>
      </c>
      <c r="E7721" s="2" t="s">
        <v>880</v>
      </c>
    </row>
    <row r="7722" spans="1:6" x14ac:dyDescent="0.2">
      <c r="A7722">
        <v>7661</v>
      </c>
      <c r="B7722" s="138">
        <f>'Rest Tax Levies-Tort Im 25'!J15</f>
        <v>110492</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720000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110492</v>
      </c>
      <c r="D7730" s="2" t="str">
        <f t="shared" si="126"/>
        <v>Error?</v>
      </c>
      <c r="E7730" s="2" t="s">
        <v>880</v>
      </c>
    </row>
    <row r="7731" spans="1:6" x14ac:dyDescent="0.2">
      <c r="A7731">
        <v>7670</v>
      </c>
      <c r="B7731" s="138">
        <f>'Revenues 9-14'!H103</f>
        <v>324714</v>
      </c>
      <c r="D7731" s="2" t="str">
        <f t="shared" si="126"/>
        <v>Error?</v>
      </c>
      <c r="E7731" s="2" t="s">
        <v>880</v>
      </c>
    </row>
    <row r="7732" spans="1:6" x14ac:dyDescent="0.2">
      <c r="A7732">
        <v>7671</v>
      </c>
      <c r="B7732" s="138">
        <f>'Rest Tax Levies-Tort Im 25'!J24</f>
        <v>934394</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934394</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197371</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31227</v>
      </c>
      <c r="D7797" s="2" t="str">
        <f t="shared" si="127"/>
        <v>Error?</v>
      </c>
      <c r="E7797" s="4" t="s">
        <v>2015</v>
      </c>
    </row>
    <row r="7798" spans="1:5" x14ac:dyDescent="0.2">
      <c r="A7798">
        <v>7737</v>
      </c>
      <c r="B7798" s="138">
        <f>'Contracts Paid in CY 29'!F141</f>
        <v>25650</v>
      </c>
      <c r="D7798" s="2" t="str">
        <f t="shared" si="127"/>
        <v>Error?</v>
      </c>
      <c r="E7798" s="4" t="s">
        <v>2015</v>
      </c>
    </row>
    <row r="7799" spans="1:5" x14ac:dyDescent="0.2">
      <c r="A7799">
        <v>7738</v>
      </c>
      <c r="B7799" s="138">
        <f>'Contracts Paid in CY 29'!G141</f>
        <v>5577</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7.5703125"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522" t="s">
        <v>1252</v>
      </c>
      <c r="B2" s="2522"/>
      <c r="C2" s="2522"/>
      <c r="D2" s="2522"/>
      <c r="E2" s="2522"/>
      <c r="F2" s="2522"/>
      <c r="G2" s="2522"/>
      <c r="H2" s="2522"/>
      <c r="I2" s="2522"/>
      <c r="J2" s="2522"/>
      <c r="K2" s="2522"/>
      <c r="L2" s="2522"/>
    </row>
    <row r="3" spans="1:29" ht="13.5" customHeight="1" x14ac:dyDescent="0.2">
      <c r="A3" s="2508" t="s">
        <v>1251</v>
      </c>
      <c r="B3" s="2508"/>
      <c r="C3" s="2508"/>
      <c r="D3" s="2508"/>
      <c r="E3" s="2508"/>
      <c r="F3" s="2508"/>
      <c r="G3" s="2508"/>
      <c r="H3" s="2508"/>
      <c r="I3" s="2508"/>
      <c r="J3" s="2508"/>
      <c r="K3" s="2508"/>
      <c r="L3" s="2508"/>
    </row>
    <row r="4" spans="1:29" ht="13.5" customHeight="1" x14ac:dyDescent="0.2">
      <c r="A4" s="2522" t="s">
        <v>1798</v>
      </c>
      <c r="B4" s="2539"/>
      <c r="C4" s="2539"/>
      <c r="D4" s="2539"/>
      <c r="E4" s="2539"/>
      <c r="F4" s="2539"/>
      <c r="G4" s="2539"/>
      <c r="H4" s="2539"/>
      <c r="I4" s="2539"/>
      <c r="J4" s="2539"/>
      <c r="K4" s="2539"/>
      <c r="L4" s="253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1250</v>
      </c>
      <c r="B6" s="1183"/>
      <c r="C6" s="1184"/>
      <c r="D6" s="1184"/>
      <c r="E6" s="1185" t="s">
        <v>1249</v>
      </c>
      <c r="F6" s="1186"/>
      <c r="G6" s="1187" t="s">
        <v>1248</v>
      </c>
      <c r="H6" s="1184"/>
      <c r="I6" s="1184"/>
      <c r="J6" s="1184"/>
      <c r="K6" s="1184"/>
      <c r="L6" s="1188"/>
      <c r="V6" s="1181"/>
      <c r="W6" s="1181"/>
      <c r="X6" s="1181"/>
      <c r="Y6" s="1181"/>
      <c r="Z6" s="1181"/>
      <c r="AA6" s="1181"/>
      <c r="AB6" s="1181"/>
      <c r="AC6" s="1181"/>
    </row>
    <row r="7" spans="1:29" ht="16.5" customHeight="1" x14ac:dyDescent="0.2">
      <c r="A7" s="2502" t="str">
        <f>COVER!A17</f>
        <v>Dunlap CUSD 323</v>
      </c>
      <c r="B7" s="2503"/>
      <c r="C7" s="2503"/>
      <c r="D7" s="2540"/>
      <c r="E7" s="2541">
        <f>COVER!A13</f>
        <v>48072323026</v>
      </c>
      <c r="F7" s="2542"/>
      <c r="G7" s="2509" t="str">
        <f>COVER!T23</f>
        <v>066-005027</v>
      </c>
      <c r="H7" s="2510"/>
      <c r="I7" s="2510"/>
      <c r="J7" s="2510"/>
      <c r="K7" s="2510"/>
      <c r="L7" s="2511"/>
    </row>
    <row r="8" spans="1:29" ht="13.5" customHeight="1" x14ac:dyDescent="0.2">
      <c r="A8" s="1182" t="s">
        <v>1596</v>
      </c>
      <c r="B8" s="1183"/>
      <c r="C8" s="1184"/>
      <c r="D8" s="1184"/>
      <c r="E8" s="1189"/>
      <c r="F8" s="1188"/>
      <c r="G8" s="1190" t="s">
        <v>1247</v>
      </c>
      <c r="H8" s="1191"/>
      <c r="I8" s="1191"/>
      <c r="J8" s="1191"/>
      <c r="K8" s="1191"/>
      <c r="L8" s="1192"/>
    </row>
    <row r="9" spans="1:29" ht="13.5" customHeight="1" x14ac:dyDescent="0.2">
      <c r="A9" s="2512"/>
      <c r="B9" s="2513"/>
      <c r="C9" s="2513"/>
      <c r="D9" s="2513"/>
      <c r="E9" s="2513"/>
      <c r="F9" s="2514"/>
      <c r="G9" s="2515" t="str">
        <f>COVER!T13</f>
        <v>Gorenz and Associates, Ltd.</v>
      </c>
      <c r="H9" s="2516"/>
      <c r="I9" s="2516"/>
      <c r="J9" s="2516"/>
      <c r="K9" s="2516"/>
      <c r="L9" s="2517"/>
    </row>
    <row r="10" spans="1:29" ht="13.5" customHeight="1" x14ac:dyDescent="0.2">
      <c r="A10" s="2499" t="str">
        <f>COVER!A38</f>
        <v>Dr. Scott Dearman</v>
      </c>
      <c r="B10" s="2500"/>
      <c r="C10" s="2500"/>
      <c r="D10" s="2500"/>
      <c r="E10" s="2500"/>
      <c r="F10" s="2501"/>
      <c r="G10" s="2515" t="str">
        <f>COVER!T17</f>
        <v>4200 N Knoxville Ave</v>
      </c>
      <c r="H10" s="2528"/>
      <c r="I10" s="2528"/>
      <c r="J10" s="2528"/>
      <c r="K10" s="2528"/>
      <c r="L10" s="2529"/>
    </row>
    <row r="11" spans="1:29" ht="13.5" customHeight="1" x14ac:dyDescent="0.2">
      <c r="A11" s="1182" t="s">
        <v>1598</v>
      </c>
      <c r="B11" s="1183"/>
      <c r="C11" s="1184"/>
      <c r="D11" s="1189"/>
      <c r="E11" s="1184"/>
      <c r="F11" s="1188"/>
      <c r="G11" s="2515" t="str">
        <f>COVER!T19</f>
        <v>Peoria</v>
      </c>
      <c r="H11" s="2528"/>
      <c r="I11" s="2528"/>
      <c r="J11" s="2528"/>
      <c r="K11" s="2528"/>
      <c r="L11" s="2529"/>
    </row>
    <row r="12" spans="1:29" ht="13.5" customHeight="1" x14ac:dyDescent="0.2">
      <c r="A12" s="2533" t="s">
        <v>1597</v>
      </c>
      <c r="B12" s="2534"/>
      <c r="C12" s="2534"/>
      <c r="D12" s="2534"/>
      <c r="E12" s="2534"/>
      <c r="F12" s="2535"/>
      <c r="G12" s="2530"/>
      <c r="H12" s="2531"/>
      <c r="I12" s="2531"/>
      <c r="J12" s="2531"/>
      <c r="K12" s="2531"/>
      <c r="L12" s="2532"/>
    </row>
    <row r="13" spans="1:29" ht="13.5" customHeight="1" x14ac:dyDescent="0.2">
      <c r="A13" s="2515"/>
      <c r="B13" s="2528"/>
      <c r="C13" s="2528"/>
      <c r="D13" s="2528"/>
      <c r="E13" s="2528"/>
      <c r="F13" s="2529"/>
      <c r="G13" s="2523" t="s">
        <v>1599</v>
      </c>
      <c r="H13" s="2524"/>
      <c r="I13" s="2536" t="str">
        <f>COVER!T25</f>
        <v>rrumbold@gorenzcpa.com</v>
      </c>
      <c r="J13" s="2537"/>
      <c r="K13" s="2537"/>
      <c r="L13" s="2538"/>
    </row>
    <row r="14" spans="1:29" ht="13.5" customHeight="1" x14ac:dyDescent="0.2">
      <c r="A14" s="2515" t="str">
        <f>COVER!A19</f>
        <v>3020 Willow Knolls</v>
      </c>
      <c r="B14" s="2528"/>
      <c r="C14" s="2528"/>
      <c r="D14" s="2528"/>
      <c r="E14" s="2528"/>
      <c r="F14" s="2529"/>
      <c r="G14" s="1193" t="s">
        <v>1246</v>
      </c>
      <c r="H14" s="1191"/>
      <c r="I14" s="1191"/>
      <c r="J14" s="1191"/>
      <c r="K14" s="1191"/>
      <c r="L14" s="1192"/>
    </row>
    <row r="15" spans="1:29" ht="13.5" customHeight="1" x14ac:dyDescent="0.2">
      <c r="A15" s="2515" t="str">
        <f>COVER!A21</f>
        <v>Peoria, IL</v>
      </c>
      <c r="B15" s="2528"/>
      <c r="C15" s="2528"/>
      <c r="D15" s="2528"/>
      <c r="E15" s="2528"/>
      <c r="F15" s="2529"/>
      <c r="G15" s="2525" t="str">
        <f>COVER!T15</f>
        <v>Russel J. Rumbold II, CPA</v>
      </c>
      <c r="H15" s="2526"/>
      <c r="I15" s="2526"/>
      <c r="J15" s="2526"/>
      <c r="K15" s="2526"/>
      <c r="L15" s="2527"/>
    </row>
    <row r="16" spans="1:29" ht="12.2" customHeight="1" x14ac:dyDescent="0.2">
      <c r="A16" s="2505">
        <f>COVER!A25</f>
        <v>61614</v>
      </c>
      <c r="B16" s="2506"/>
      <c r="C16" s="2506"/>
      <c r="D16" s="2506"/>
      <c r="E16" s="2506"/>
      <c r="F16" s="2507"/>
      <c r="G16" s="2518"/>
      <c r="H16" s="2519"/>
      <c r="I16" s="2519"/>
      <c r="J16" s="2519"/>
      <c r="K16" s="2519"/>
      <c r="L16" s="2520"/>
    </row>
    <row r="17" spans="1:13" ht="12.2" customHeight="1" x14ac:dyDescent="0.2">
      <c r="A17" s="2521"/>
      <c r="B17" s="2506"/>
      <c r="C17" s="2506"/>
      <c r="D17" s="2506"/>
      <c r="E17" s="2506"/>
      <c r="F17" s="2507"/>
      <c r="G17" s="1193" t="s">
        <v>1245</v>
      </c>
      <c r="H17" s="1191"/>
      <c r="I17" s="1191"/>
      <c r="J17" s="1191"/>
      <c r="K17" s="1195" t="s">
        <v>1244</v>
      </c>
      <c r="L17" s="1188"/>
      <c r="M17" s="1181"/>
    </row>
    <row r="18" spans="1:13" ht="12.2" customHeight="1" x14ac:dyDescent="0.2">
      <c r="A18" s="2499"/>
      <c r="B18" s="2500"/>
      <c r="C18" s="2500"/>
      <c r="D18" s="2500"/>
      <c r="E18" s="2500"/>
      <c r="F18" s="2501"/>
      <c r="G18" s="2502" t="str">
        <f>COVER!T21</f>
        <v>309-685-7621</v>
      </c>
      <c r="H18" s="2503"/>
      <c r="I18" s="2503"/>
      <c r="J18" s="2503"/>
      <c r="K18" s="2502" t="str">
        <f>COVER!X21</f>
        <v>309-685-4758</v>
      </c>
      <c r="L18" s="2504"/>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1230</v>
      </c>
      <c r="K20" s="1174" t="s">
        <v>1230</v>
      </c>
    </row>
    <row r="21" spans="1:13" ht="12.2" customHeight="1" x14ac:dyDescent="0.2">
      <c r="A21" s="1197" t="s">
        <v>1799</v>
      </c>
    </row>
    <row r="22" spans="1:13" ht="12.2" customHeight="1" x14ac:dyDescent="0.2">
      <c r="A22" s="1198"/>
    </row>
    <row r="23" spans="1:13" ht="12.2" customHeight="1" x14ac:dyDescent="0.2">
      <c r="A23" s="1198"/>
      <c r="B23" s="1199" t="s">
        <v>2072</v>
      </c>
      <c r="C23" s="1200" t="s">
        <v>1243</v>
      </c>
    </row>
    <row r="24" spans="1:13" ht="10.15" customHeight="1" x14ac:dyDescent="0.2">
      <c r="A24" s="1198"/>
      <c r="C24" s="1200" t="s">
        <v>1242</v>
      </c>
    </row>
    <row r="25" spans="1:13" ht="9" customHeight="1" x14ac:dyDescent="0.2">
      <c r="B25" s="1201" t="s">
        <v>1230</v>
      </c>
      <c r="C25" s="1202"/>
    </row>
    <row r="26" spans="1:13" s="1196" customFormat="1" ht="12.2" customHeight="1" x14ac:dyDescent="0.2">
      <c r="B26" s="1199" t="s">
        <v>2072</v>
      </c>
      <c r="C26" s="1200" t="s">
        <v>1800</v>
      </c>
    </row>
    <row r="27" spans="1:13" s="1196" customFormat="1" ht="9" customHeight="1" x14ac:dyDescent="0.2">
      <c r="B27" s="1201"/>
      <c r="C27" s="1200"/>
    </row>
    <row r="28" spans="1:13" s="1196" customFormat="1" ht="12.2" customHeight="1" x14ac:dyDescent="0.2">
      <c r="A28" s="1203"/>
      <c r="B28" s="1199" t="s">
        <v>2072</v>
      </c>
      <c r="C28" s="1200" t="s">
        <v>1801</v>
      </c>
    </row>
    <row r="29" spans="1:13" s="1196" customFormat="1" ht="9" customHeight="1" x14ac:dyDescent="0.2">
      <c r="A29" s="1203"/>
      <c r="B29" s="1201"/>
      <c r="C29" s="1200"/>
    </row>
    <row r="30" spans="1:13" s="1196" customFormat="1" ht="12.2" customHeight="1" x14ac:dyDescent="0.2">
      <c r="B30" s="1199" t="s">
        <v>2072</v>
      </c>
      <c r="C30" s="1200" t="s">
        <v>1642</v>
      </c>
      <c r="D30" s="1194"/>
      <c r="E30" s="1194"/>
    </row>
    <row r="31" spans="1:13" s="1196" customFormat="1" ht="9" customHeight="1" x14ac:dyDescent="0.2">
      <c r="B31" s="1201"/>
      <c r="C31" s="1200"/>
      <c r="D31" s="1194"/>
      <c r="E31" s="1194"/>
    </row>
    <row r="32" spans="1:13" s="1196" customFormat="1" ht="12.2" customHeight="1" x14ac:dyDescent="0.2">
      <c r="B32" s="1199" t="s">
        <v>2072</v>
      </c>
      <c r="C32" s="1200" t="s">
        <v>1643</v>
      </c>
      <c r="D32" s="1194"/>
      <c r="E32" s="1194"/>
    </row>
    <row r="33" spans="1:8" s="1196" customFormat="1" ht="10.9" customHeight="1" x14ac:dyDescent="0.2">
      <c r="B33" s="1201"/>
      <c r="C33" s="1204" t="s">
        <v>1802</v>
      </c>
      <c r="D33" s="1194"/>
      <c r="E33" s="1194"/>
    </row>
    <row r="34" spans="1:8" ht="9" customHeight="1" x14ac:dyDescent="0.2">
      <c r="B34" s="1201"/>
      <c r="C34" s="1204"/>
    </row>
    <row r="35" spans="1:8" s="1196" customFormat="1" ht="13.5" customHeight="1" x14ac:dyDescent="0.2">
      <c r="B35" s="1199" t="s">
        <v>2072</v>
      </c>
      <c r="C35" s="1200" t="s">
        <v>1644</v>
      </c>
    </row>
    <row r="36" spans="1:8" s="1196" customFormat="1" ht="10.9" customHeight="1" x14ac:dyDescent="0.2">
      <c r="B36" s="1201"/>
      <c r="C36" s="1204" t="s">
        <v>1645</v>
      </c>
    </row>
    <row r="37" spans="1:8" ht="9" customHeight="1" x14ac:dyDescent="0.2">
      <c r="B37" s="1201"/>
      <c r="C37" s="1204"/>
    </row>
    <row r="38" spans="1:8" s="1196" customFormat="1" ht="12.2" customHeight="1" x14ac:dyDescent="0.2">
      <c r="B38" s="1199" t="s">
        <v>2072</v>
      </c>
      <c r="C38" s="1200" t="s">
        <v>1646</v>
      </c>
    </row>
    <row r="39" spans="1:8" ht="9" customHeight="1" x14ac:dyDescent="0.2">
      <c r="B39" s="1201"/>
      <c r="C39" s="1204"/>
    </row>
    <row r="40" spans="1:8" s="1196" customFormat="1" ht="13.5" customHeight="1" x14ac:dyDescent="0.2">
      <c r="B40" s="1199" t="s">
        <v>2072</v>
      </c>
      <c r="C40" s="1200" t="s">
        <v>1647</v>
      </c>
    </row>
    <row r="41" spans="1:8" ht="9" customHeight="1" x14ac:dyDescent="0.2">
      <c r="A41" s="1205"/>
      <c r="B41" s="1201"/>
      <c r="C41" s="1204"/>
    </row>
    <row r="42" spans="1:8" s="1196" customFormat="1" ht="13.5" customHeight="1" x14ac:dyDescent="0.2">
      <c r="B42" s="1199"/>
      <c r="C42" s="1200" t="s">
        <v>1942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1241</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t="s">
        <v>2072</v>
      </c>
      <c r="C46" s="1207" t="s">
        <v>1648</v>
      </c>
      <c r="D46" s="1194"/>
      <c r="E46" s="1194"/>
      <c r="F46" s="1194"/>
      <c r="G46" s="1194"/>
      <c r="H46" s="1194"/>
    </row>
    <row r="47" spans="1:8" ht="9" customHeight="1" x14ac:dyDescent="0.2"/>
    <row r="48" spans="1:8" ht="12.2" customHeight="1" x14ac:dyDescent="0.2">
      <c r="B48" s="1208"/>
      <c r="C48" s="1209" t="s">
        <v>1649</v>
      </c>
    </row>
    <row r="49" spans="1:12" ht="9" customHeight="1" x14ac:dyDescent="0.2"/>
    <row r="50" spans="1:12" ht="6" customHeight="1" x14ac:dyDescent="0.2">
      <c r="C50" s="1209"/>
    </row>
    <row r="51" spans="1:12" ht="12.2" customHeight="1" x14ac:dyDescent="0.2">
      <c r="A51" s="1211" t="s">
        <v>1803</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6"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43" t="str">
        <f>'Single Audit Cover'!A7</f>
        <v>Dunlap CUSD 323</v>
      </c>
      <c r="B1" s="2539"/>
      <c r="C1" s="2539"/>
      <c r="D1" s="2539"/>
    </row>
    <row r="2" spans="1:11" s="1212" customFormat="1" ht="12.75" x14ac:dyDescent="0.2">
      <c r="A2" s="2544">
        <f>'Single Audit Cover'!E7</f>
        <v>48072323026</v>
      </c>
      <c r="B2" s="2545"/>
      <c r="C2" s="2545"/>
      <c r="D2" s="2545"/>
    </row>
    <row r="3" spans="1:11" s="1212" customFormat="1" ht="12.75" x14ac:dyDescent="0.2">
      <c r="A3" s="2543" t="s">
        <v>1592</v>
      </c>
      <c r="B3" s="2539"/>
      <c r="C3" s="2539"/>
      <c r="D3" s="2539"/>
    </row>
    <row r="4" spans="1:11" s="1212" customFormat="1" ht="4.5" customHeight="1" x14ac:dyDescent="0.2">
      <c r="A4" s="1213"/>
      <c r="B4" s="1214"/>
      <c r="C4" s="1214"/>
      <c r="D4" s="1214"/>
    </row>
    <row r="5" spans="1:11" x14ac:dyDescent="0.2">
      <c r="B5" s="1216" t="s">
        <v>1593</v>
      </c>
      <c r="C5" s="1217"/>
      <c r="D5" s="1218"/>
    </row>
    <row r="6" spans="1:11" x14ac:dyDescent="0.2">
      <c r="B6" s="1216" t="s">
        <v>1286</v>
      </c>
      <c r="C6" s="1217"/>
      <c r="D6" s="1218"/>
    </row>
    <row r="7" spans="1:11" x14ac:dyDescent="0.2">
      <c r="B7" s="1216" t="s">
        <v>1594</v>
      </c>
      <c r="C7" s="1217"/>
      <c r="D7" s="1218"/>
    </row>
    <row r="8" spans="1:11" ht="4.5" customHeight="1" x14ac:dyDescent="0.2">
      <c r="B8" s="1216"/>
      <c r="C8" s="1217"/>
      <c r="D8" s="1218"/>
    </row>
    <row r="9" spans="1:11" x14ac:dyDescent="0.2">
      <c r="B9" s="1220" t="s">
        <v>1285</v>
      </c>
      <c r="C9" s="1221"/>
      <c r="D9" s="1218"/>
    </row>
    <row r="10" spans="1:11" ht="4.5" customHeight="1" x14ac:dyDescent="0.2">
      <c r="B10" s="1220"/>
      <c r="C10" s="1221"/>
      <c r="D10" s="1218"/>
    </row>
    <row r="11" spans="1:11" x14ac:dyDescent="0.2">
      <c r="B11" s="1222"/>
      <c r="C11" s="1223">
        <v>1</v>
      </c>
      <c r="D11" s="1224" t="s">
        <v>1804</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1805</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1806</v>
      </c>
      <c r="E15" s="1225"/>
      <c r="F15" s="1225"/>
      <c r="G15" s="1225"/>
      <c r="H15" s="1225"/>
      <c r="I15" s="1225"/>
      <c r="J15" s="1225"/>
      <c r="K15" s="1225"/>
    </row>
    <row r="16" spans="1:11" ht="10.5" customHeight="1" x14ac:dyDescent="0.2">
      <c r="B16" s="1228"/>
      <c r="D16" s="1227" t="s">
        <v>1284</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1807</v>
      </c>
      <c r="E18" s="1225"/>
      <c r="F18" s="1225"/>
      <c r="G18" s="1225"/>
      <c r="H18" s="1225"/>
      <c r="I18" s="1225"/>
      <c r="J18" s="1225"/>
      <c r="K18" s="1225"/>
    </row>
    <row r="19" spans="1:11" ht="9.75" customHeight="1" x14ac:dyDescent="0.2">
      <c r="A19" s="1219"/>
      <c r="B19" s="1228"/>
      <c r="D19" s="1227" t="s">
        <v>1283</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1282</v>
      </c>
      <c r="E21" s="1225"/>
      <c r="F21" s="1225"/>
      <c r="G21" s="1225"/>
      <c r="H21" s="1225"/>
      <c r="I21" s="1225"/>
      <c r="J21" s="1225"/>
      <c r="K21" s="1225"/>
    </row>
    <row r="22" spans="1:11" ht="10.5" customHeight="1" x14ac:dyDescent="0.2">
      <c r="A22" s="1219"/>
      <c r="B22" s="1228"/>
      <c r="D22" s="1227" t="s">
        <v>1281</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1828</v>
      </c>
      <c r="E24" s="1225"/>
      <c r="F24" s="1225"/>
      <c r="G24" s="1225"/>
      <c r="H24" s="1225"/>
      <c r="I24" s="1225"/>
      <c r="J24" s="1225"/>
      <c r="K24" s="1225"/>
    </row>
    <row r="25" spans="1:11" x14ac:dyDescent="0.2">
      <c r="A25" s="1219"/>
      <c r="B25" s="1228"/>
      <c r="D25" s="1227" t="s">
        <v>1808</v>
      </c>
      <c r="E25" s="1225"/>
      <c r="F25" s="1225"/>
      <c r="G25" s="1225"/>
      <c r="H25" s="1225"/>
      <c r="I25" s="1225"/>
      <c r="J25" s="1225"/>
      <c r="K25" s="1225"/>
    </row>
    <row r="26" spans="1:11" x14ac:dyDescent="0.2">
      <c r="A26" s="1219"/>
      <c r="B26" s="1228"/>
      <c r="D26" s="1232" t="s">
        <v>1809</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1650</v>
      </c>
      <c r="E28" s="1225"/>
      <c r="F28" s="1225"/>
      <c r="G28" s="1225"/>
      <c r="H28" s="1225"/>
      <c r="I28" s="1225"/>
      <c r="J28" s="1225"/>
      <c r="K28" s="1225"/>
    </row>
    <row r="29" spans="1:11" ht="10.5" customHeight="1" x14ac:dyDescent="0.2">
      <c r="A29" s="1219"/>
      <c r="D29" s="1233" t="s">
        <v>1651</v>
      </c>
    </row>
    <row r="30" spans="1:11" ht="6" customHeight="1" x14ac:dyDescent="0.2">
      <c r="A30" s="1219"/>
      <c r="D30" s="1218"/>
    </row>
    <row r="31" spans="1:11" x14ac:dyDescent="0.2">
      <c r="A31" s="1219"/>
      <c r="B31" s="1220" t="s">
        <v>1280</v>
      </c>
      <c r="C31" s="1221"/>
      <c r="D31" s="1218"/>
    </row>
    <row r="32" spans="1:11" ht="4.5" customHeight="1" x14ac:dyDescent="0.2">
      <c r="A32" s="1219"/>
      <c r="B32" s="1220"/>
      <c r="C32" s="1221"/>
      <c r="D32" s="1218"/>
    </row>
    <row r="33" spans="1:5" x14ac:dyDescent="0.2">
      <c r="A33" s="1219"/>
      <c r="B33" s="1222"/>
      <c r="C33" s="1223">
        <v>8</v>
      </c>
      <c r="D33" s="1234" t="s">
        <v>1279</v>
      </c>
    </row>
    <row r="34" spans="1:5" ht="10.5" customHeight="1" x14ac:dyDescent="0.2">
      <c r="A34" s="1219"/>
      <c r="B34" s="1235"/>
      <c r="C34" s="1223"/>
      <c r="D34" s="1234" t="s">
        <v>1652</v>
      </c>
    </row>
    <row r="35" spans="1:5" ht="3" customHeight="1" x14ac:dyDescent="0.2">
      <c r="A35" s="1219"/>
      <c r="B35" s="1228"/>
      <c r="D35" s="1218"/>
    </row>
    <row r="36" spans="1:5" x14ac:dyDescent="0.2">
      <c r="A36" s="1219"/>
      <c r="B36" s="1222"/>
      <c r="C36" s="1223">
        <f>C33+1</f>
        <v>9</v>
      </c>
      <c r="D36" s="1234" t="s">
        <v>1278</v>
      </c>
    </row>
    <row r="37" spans="1:5" ht="10.5" customHeight="1" x14ac:dyDescent="0.2">
      <c r="A37" s="1219"/>
      <c r="B37" s="1228"/>
      <c r="D37" s="1234" t="s">
        <v>1652</v>
      </c>
    </row>
    <row r="38" spans="1:5" ht="3" customHeight="1" x14ac:dyDescent="0.2">
      <c r="A38" s="1219"/>
      <c r="B38" s="1236"/>
      <c r="C38" s="1237"/>
      <c r="D38" s="1218"/>
    </row>
    <row r="39" spans="1:5" x14ac:dyDescent="0.2">
      <c r="A39" s="1219"/>
      <c r="B39" s="1238"/>
      <c r="C39" s="1229">
        <f>C36+1</f>
        <v>10</v>
      </c>
      <c r="D39" s="1218" t="s">
        <v>1277</v>
      </c>
    </row>
    <row r="40" spans="1:5" ht="10.5" customHeight="1" x14ac:dyDescent="0.2">
      <c r="A40" s="1219"/>
      <c r="B40" s="1239"/>
      <c r="C40" s="1237"/>
      <c r="D40" s="1218" t="s">
        <v>1653</v>
      </c>
    </row>
    <row r="41" spans="1:5" ht="3" customHeight="1" x14ac:dyDescent="0.2">
      <c r="A41" s="1219"/>
      <c r="B41" s="1236"/>
      <c r="C41" s="1237"/>
      <c r="D41" s="1218"/>
    </row>
    <row r="42" spans="1:5" ht="10.5" customHeight="1" x14ac:dyDescent="0.2">
      <c r="A42" s="1219"/>
      <c r="B42" s="1238"/>
      <c r="C42" s="1229">
        <v>11</v>
      </c>
      <c r="D42" s="1240" t="s">
        <v>1654</v>
      </c>
      <c r="E42" s="312"/>
    </row>
    <row r="43" spans="1:5" ht="3" customHeight="1" x14ac:dyDescent="0.2">
      <c r="A43" s="1219"/>
      <c r="B43" s="1236"/>
      <c r="C43" s="1237"/>
      <c r="D43" s="1218"/>
    </row>
    <row r="44" spans="1:5" x14ac:dyDescent="0.2">
      <c r="A44" s="1219"/>
      <c r="B44" s="1222"/>
      <c r="C44" s="1223">
        <f>C42+1</f>
        <v>12</v>
      </c>
      <c r="D44" s="1234" t="s">
        <v>1276</v>
      </c>
    </row>
    <row r="45" spans="1:5" ht="10.5" customHeight="1" x14ac:dyDescent="0.2">
      <c r="A45" s="1219"/>
      <c r="B45" s="1235"/>
      <c r="C45" s="1223"/>
      <c r="D45" s="1234" t="s">
        <v>1275</v>
      </c>
    </row>
    <row r="46" spans="1:5" ht="10.5" customHeight="1" x14ac:dyDescent="0.2">
      <c r="A46" s="1219"/>
      <c r="B46" s="1236"/>
      <c r="C46" s="1237"/>
      <c r="D46" s="1234" t="s">
        <v>1274</v>
      </c>
    </row>
    <row r="47" spans="1:5" ht="3" customHeight="1" x14ac:dyDescent="0.2">
      <c r="A47" s="1219"/>
      <c r="B47" s="1236"/>
      <c r="C47" s="1237"/>
      <c r="D47" s="1234"/>
    </row>
    <row r="48" spans="1:5" x14ac:dyDescent="0.2">
      <c r="A48" s="1219"/>
      <c r="B48" s="1222"/>
      <c r="C48" s="1223">
        <f>C44+1</f>
        <v>13</v>
      </c>
      <c r="D48" s="1234" t="s">
        <v>1655</v>
      </c>
    </row>
    <row r="49" spans="1:4" ht="3" customHeight="1" x14ac:dyDescent="0.2">
      <c r="A49" s="1219"/>
      <c r="B49" s="1226"/>
      <c r="C49" s="1223"/>
      <c r="D49" s="1234"/>
    </row>
    <row r="50" spans="1:4" x14ac:dyDescent="0.2">
      <c r="A50" s="1219"/>
      <c r="B50" s="1222"/>
      <c r="C50" s="1223">
        <f>C48+1</f>
        <v>14</v>
      </c>
      <c r="D50" s="1234" t="s">
        <v>1273</v>
      </c>
    </row>
    <row r="51" spans="1:4" ht="3" customHeight="1" x14ac:dyDescent="0.2">
      <c r="A51" s="1219"/>
      <c r="B51" s="1226"/>
      <c r="C51" s="1223"/>
      <c r="D51" s="1234"/>
    </row>
    <row r="52" spans="1:4" x14ac:dyDescent="0.2">
      <c r="A52" s="1219"/>
      <c r="B52" s="1222"/>
      <c r="C52" s="1223">
        <f>C50+1</f>
        <v>15</v>
      </c>
      <c r="D52" s="1234" t="s">
        <v>1272</v>
      </c>
    </row>
    <row r="53" spans="1:4" ht="3" customHeight="1" x14ac:dyDescent="0.2">
      <c r="A53" s="1219"/>
      <c r="B53" s="1226"/>
      <c r="C53" s="1223"/>
      <c r="D53" s="1234"/>
    </row>
    <row r="54" spans="1:4" x14ac:dyDescent="0.2">
      <c r="A54" s="1219"/>
      <c r="B54" s="1222"/>
      <c r="C54" s="1223">
        <f>C52+1</f>
        <v>16</v>
      </c>
      <c r="D54" s="1234" t="s">
        <v>1271</v>
      </c>
    </row>
    <row r="55" spans="1:4" ht="3" customHeight="1" x14ac:dyDescent="0.2">
      <c r="A55" s="1219"/>
      <c r="B55" s="1226"/>
      <c r="C55" s="1223"/>
      <c r="D55" s="1234"/>
    </row>
    <row r="56" spans="1:4" x14ac:dyDescent="0.2">
      <c r="A56" s="1219"/>
      <c r="B56" s="1222"/>
      <c r="C56" s="1223">
        <f>C54+1</f>
        <v>17</v>
      </c>
      <c r="D56" s="1218" t="s">
        <v>1810</v>
      </c>
    </row>
    <row r="57" spans="1:4" ht="10.5" customHeight="1" x14ac:dyDescent="0.2">
      <c r="A57" s="1219"/>
      <c r="D57" s="1234" t="s">
        <v>1811</v>
      </c>
    </row>
    <row r="58" spans="1:4" x14ac:dyDescent="0.2">
      <c r="A58" s="1219"/>
      <c r="C58" s="1241"/>
      <c r="D58" s="1234" t="s">
        <v>1812</v>
      </c>
    </row>
    <row r="59" spans="1:4" ht="10.5" customHeight="1" x14ac:dyDescent="0.2">
      <c r="A59" s="1219"/>
      <c r="D59" s="1218" t="s">
        <v>1270</v>
      </c>
    </row>
    <row r="60" spans="1:4" ht="10.5" customHeight="1" x14ac:dyDescent="0.2">
      <c r="A60" s="1219"/>
      <c r="D60" s="1242" t="s">
        <v>1680</v>
      </c>
    </row>
    <row r="61" spans="1:4" ht="10.5" customHeight="1" x14ac:dyDescent="0.2">
      <c r="A61" s="1219"/>
      <c r="C61" s="1241"/>
      <c r="D61" s="1234" t="s">
        <v>1813</v>
      </c>
    </row>
    <row r="62" spans="1:4" ht="10.5" customHeight="1" x14ac:dyDescent="0.2">
      <c r="A62" s="1219"/>
      <c r="D62" s="1243" t="s">
        <v>1269</v>
      </c>
    </row>
    <row r="63" spans="1:4" ht="10.5" customHeight="1" x14ac:dyDescent="0.2">
      <c r="A63" s="1219"/>
      <c r="D63" s="1218" t="s">
        <v>1656</v>
      </c>
    </row>
    <row r="64" spans="1:4" ht="10.5" customHeight="1" x14ac:dyDescent="0.2">
      <c r="A64" s="1219"/>
      <c r="D64" s="1242" t="s">
        <v>1679</v>
      </c>
    </row>
    <row r="65" spans="1:4" x14ac:dyDescent="0.2">
      <c r="A65" s="1219"/>
      <c r="C65" s="1241"/>
      <c r="D65" s="1234" t="s">
        <v>1814</v>
      </c>
    </row>
    <row r="66" spans="1:4" ht="10.5" customHeight="1" x14ac:dyDescent="0.2">
      <c r="A66" s="1219"/>
      <c r="D66" s="1244" t="s">
        <v>1268</v>
      </c>
    </row>
    <row r="67" spans="1:4" ht="10.5" customHeight="1" x14ac:dyDescent="0.2">
      <c r="A67" s="1219"/>
      <c r="D67" s="1218" t="s">
        <v>1657</v>
      </c>
    </row>
    <row r="68" spans="1:4" ht="10.5" customHeight="1" x14ac:dyDescent="0.2">
      <c r="A68" s="1219"/>
      <c r="D68" s="1242" t="s">
        <v>1679</v>
      </c>
    </row>
    <row r="69" spans="1:4" ht="10.5" customHeight="1" x14ac:dyDescent="0.2">
      <c r="A69" s="1219"/>
      <c r="C69" s="1241"/>
      <c r="D69" s="1234" t="s">
        <v>1815</v>
      </c>
    </row>
    <row r="70" spans="1:4" x14ac:dyDescent="0.2">
      <c r="A70" s="1219"/>
      <c r="D70" s="1243" t="s">
        <v>1267</v>
      </c>
    </row>
    <row r="71" spans="1:4" ht="3" customHeight="1" x14ac:dyDescent="0.2">
      <c r="A71" s="1219"/>
      <c r="D71" s="1218"/>
    </row>
    <row r="72" spans="1:4" x14ac:dyDescent="0.2">
      <c r="A72" s="1219"/>
      <c r="B72" s="1222"/>
      <c r="C72" s="1223">
        <f>C56+1</f>
        <v>18</v>
      </c>
      <c r="D72" s="1244" t="s">
        <v>1816</v>
      </c>
    </row>
    <row r="73" spans="1:4" ht="3" customHeight="1" x14ac:dyDescent="0.2">
      <c r="A73" s="1219"/>
      <c r="B73" s="1226"/>
      <c r="C73" s="1223"/>
      <c r="D73" s="1244"/>
    </row>
    <row r="74" spans="1:4" x14ac:dyDescent="0.2">
      <c r="A74" s="1219"/>
      <c r="B74" s="1222"/>
      <c r="C74" s="1223">
        <f>C72+1</f>
        <v>19</v>
      </c>
      <c r="D74" s="1234" t="s">
        <v>1266</v>
      </c>
    </row>
    <row r="75" spans="1:4" ht="3" customHeight="1" x14ac:dyDescent="0.2">
      <c r="A75" s="1219"/>
      <c r="B75" s="1226"/>
      <c r="C75" s="1223"/>
      <c r="D75" s="1234"/>
    </row>
    <row r="76" spans="1:4" x14ac:dyDescent="0.2">
      <c r="A76" s="1219"/>
      <c r="B76" s="1222"/>
      <c r="C76" s="1223">
        <f>C74+1</f>
        <v>20</v>
      </c>
      <c r="D76" s="1245" t="s">
        <v>1817</v>
      </c>
    </row>
    <row r="77" spans="1:4" ht="3" customHeight="1" x14ac:dyDescent="0.2">
      <c r="A77" s="1219"/>
      <c r="B77" s="1226"/>
      <c r="C77" s="1223"/>
      <c r="D77" s="1245"/>
    </row>
    <row r="78" spans="1:4" x14ac:dyDescent="0.2">
      <c r="A78" s="1219"/>
      <c r="B78" s="1222"/>
      <c r="C78" s="1223">
        <f>C76+1</f>
        <v>21</v>
      </c>
      <c r="D78" s="1218" t="s">
        <v>1818</v>
      </c>
    </row>
    <row r="79" spans="1:4" ht="3" customHeight="1" x14ac:dyDescent="0.2">
      <c r="A79" s="1219"/>
      <c r="B79" s="1226"/>
      <c r="C79" s="1223"/>
      <c r="D79" s="1218"/>
    </row>
    <row r="80" spans="1:4" x14ac:dyDescent="0.2">
      <c r="A80" s="1219"/>
      <c r="B80" s="1222"/>
      <c r="C80" s="1223">
        <f>C78+1</f>
        <v>22</v>
      </c>
      <c r="D80" s="1246" t="s">
        <v>1819</v>
      </c>
    </row>
    <row r="81" spans="1:4" ht="3" customHeight="1" x14ac:dyDescent="0.2">
      <c r="A81" s="1219"/>
      <c r="B81" s="1226"/>
      <c r="C81" s="1223"/>
      <c r="D81" s="1246"/>
    </row>
    <row r="82" spans="1:4" x14ac:dyDescent="0.2">
      <c r="A82" s="1219"/>
      <c r="B82" s="1222"/>
      <c r="C82" s="1223">
        <f>C80+1</f>
        <v>23</v>
      </c>
      <c r="D82" s="1245" t="s">
        <v>1820</v>
      </c>
    </row>
    <row r="83" spans="1:4" ht="10.5" customHeight="1" x14ac:dyDescent="0.2">
      <c r="A83" s="1219"/>
      <c r="B83" s="1228"/>
      <c r="D83" s="1234" t="s">
        <v>1265</v>
      </c>
    </row>
    <row r="84" spans="1:4" ht="3" customHeight="1" x14ac:dyDescent="0.2">
      <c r="A84" s="1219"/>
      <c r="B84" s="1228"/>
      <c r="D84" s="1234"/>
    </row>
    <row r="85" spans="1:4" x14ac:dyDescent="0.2">
      <c r="A85" s="1219"/>
      <c r="B85" s="1222"/>
      <c r="C85" s="1223">
        <f>C82+1</f>
        <v>24</v>
      </c>
      <c r="D85" s="1234" t="s">
        <v>1264</v>
      </c>
    </row>
    <row r="86" spans="1:4" ht="3" customHeight="1" x14ac:dyDescent="0.2">
      <c r="A86" s="1219"/>
      <c r="B86" s="1226"/>
      <c r="C86" s="1223"/>
      <c r="D86" s="1234"/>
    </row>
    <row r="87" spans="1:4" x14ac:dyDescent="0.2">
      <c r="A87" s="1219"/>
      <c r="B87" s="1222"/>
      <c r="C87" s="1223">
        <f>C85+1</f>
        <v>25</v>
      </c>
      <c r="D87" s="1234" t="s">
        <v>1263</v>
      </c>
    </row>
    <row r="88" spans="1:4" ht="3" customHeight="1" x14ac:dyDescent="0.2">
      <c r="A88" s="1219"/>
      <c r="B88" s="1226"/>
      <c r="C88" s="1223"/>
      <c r="D88" s="1234"/>
    </row>
    <row r="89" spans="1:4" x14ac:dyDescent="0.2">
      <c r="A89" s="1219"/>
      <c r="B89" s="1222"/>
      <c r="C89" s="1223">
        <f>C87+1</f>
        <v>26</v>
      </c>
      <c r="D89" s="1234" t="s">
        <v>1262</v>
      </c>
    </row>
    <row r="90" spans="1:4" ht="3" customHeight="1" x14ac:dyDescent="0.2">
      <c r="A90" s="1219"/>
      <c r="B90" s="1226"/>
      <c r="C90" s="1223"/>
      <c r="D90" s="1234"/>
    </row>
    <row r="91" spans="1:4" x14ac:dyDescent="0.2">
      <c r="A91" s="1219"/>
      <c r="B91" s="1222"/>
      <c r="C91" s="1223">
        <f>C89+1</f>
        <v>27</v>
      </c>
      <c r="D91" s="1234" t="s">
        <v>1821</v>
      </c>
    </row>
    <row r="92" spans="1:4" x14ac:dyDescent="0.2">
      <c r="A92" s="1219"/>
      <c r="B92" s="1247"/>
      <c r="C92" s="1241"/>
      <c r="D92" s="1234" t="s">
        <v>1261</v>
      </c>
    </row>
    <row r="93" spans="1:4" ht="4.5" customHeight="1" x14ac:dyDescent="0.2">
      <c r="A93" s="1219"/>
      <c r="D93" s="1218"/>
    </row>
    <row r="94" spans="1:4" x14ac:dyDescent="0.2">
      <c r="A94" s="1219"/>
      <c r="B94" s="1220" t="s">
        <v>1658</v>
      </c>
      <c r="C94" s="1221"/>
      <c r="D94" s="1218"/>
    </row>
    <row r="95" spans="1:4" ht="4.5" customHeight="1" x14ac:dyDescent="0.2">
      <c r="A95" s="1219"/>
      <c r="B95" s="1220"/>
      <c r="C95" s="1221"/>
      <c r="D95" s="1218"/>
    </row>
    <row r="96" spans="1:4" x14ac:dyDescent="0.2">
      <c r="A96" s="1219"/>
      <c r="B96" s="1222"/>
      <c r="C96" s="1223">
        <f>C91+1</f>
        <v>28</v>
      </c>
      <c r="D96" s="1234" t="s">
        <v>1822</v>
      </c>
    </row>
    <row r="97" spans="1:4" ht="3" customHeight="1" x14ac:dyDescent="0.2">
      <c r="A97" s="1219"/>
      <c r="B97" s="1226"/>
      <c r="C97" s="1223"/>
      <c r="D97" s="1234"/>
    </row>
    <row r="98" spans="1:4" x14ac:dyDescent="0.2">
      <c r="A98" s="1219"/>
      <c r="B98" s="1222"/>
      <c r="C98" s="1223">
        <f>C96+1</f>
        <v>29</v>
      </c>
      <c r="D98" s="1248" t="s">
        <v>1823</v>
      </c>
    </row>
    <row r="99" spans="1:4" ht="3" customHeight="1" x14ac:dyDescent="0.2">
      <c r="A99" s="1219"/>
      <c r="B99" s="1226"/>
      <c r="C99" s="1223"/>
      <c r="D99" s="1248"/>
    </row>
    <row r="100" spans="1:4" x14ac:dyDescent="0.2">
      <c r="A100" s="1219"/>
      <c r="B100" s="1222"/>
      <c r="C100" s="1223">
        <f>C98+1</f>
        <v>30</v>
      </c>
      <c r="D100" s="1234" t="s">
        <v>1824</v>
      </c>
    </row>
    <row r="101" spans="1:4" ht="3" customHeight="1" x14ac:dyDescent="0.2">
      <c r="A101" s="1219"/>
      <c r="B101" s="1226"/>
      <c r="C101" s="1223"/>
      <c r="D101" s="1249"/>
    </row>
    <row r="102" spans="1:4" x14ac:dyDescent="0.2">
      <c r="A102" s="1219"/>
      <c r="B102" s="1222"/>
      <c r="C102" s="1223">
        <f>C100+1</f>
        <v>31</v>
      </c>
      <c r="D102" s="1234" t="s">
        <v>1659</v>
      </c>
    </row>
    <row r="103" spans="1:4" ht="4.5" customHeight="1" x14ac:dyDescent="0.2">
      <c r="A103" s="1219"/>
      <c r="B103" s="312"/>
      <c r="C103" s="1223"/>
      <c r="D103" s="1234"/>
    </row>
    <row r="104" spans="1:4" ht="14.1" customHeight="1" x14ac:dyDescent="0.2">
      <c r="A104" s="1219"/>
      <c r="B104" s="1250" t="s">
        <v>1260</v>
      </c>
    </row>
    <row r="105" spans="1:4" ht="4.5" customHeight="1" x14ac:dyDescent="0.2">
      <c r="A105" s="1219"/>
      <c r="B105" s="1250"/>
    </row>
    <row r="106" spans="1:4" x14ac:dyDescent="0.2">
      <c r="A106" s="1219"/>
      <c r="B106" s="1222"/>
      <c r="C106" s="1223">
        <f>C102+1</f>
        <v>32</v>
      </c>
      <c r="D106" s="1218" t="s">
        <v>1660</v>
      </c>
    </row>
    <row r="107" spans="1:4" ht="3" customHeight="1" x14ac:dyDescent="0.2">
      <c r="A107" s="1219"/>
      <c r="B107" s="1226"/>
      <c r="C107" s="1223"/>
      <c r="D107" s="1218"/>
    </row>
    <row r="108" spans="1:4" x14ac:dyDescent="0.2">
      <c r="A108" s="1219"/>
      <c r="B108" s="1222"/>
      <c r="C108" s="1223">
        <v>33</v>
      </c>
      <c r="D108" s="1218" t="s">
        <v>1825</v>
      </c>
    </row>
    <row r="109" spans="1:4" ht="3" customHeight="1" x14ac:dyDescent="0.2">
      <c r="A109" s="1219"/>
      <c r="B109" s="1226"/>
      <c r="C109" s="1223"/>
      <c r="D109" s="1218"/>
    </row>
    <row r="110" spans="1:4" x14ac:dyDescent="0.2">
      <c r="A110" s="1219"/>
      <c r="B110" s="1222"/>
      <c r="C110" s="1223">
        <f>C108+1</f>
        <v>34</v>
      </c>
      <c r="D110" s="1218" t="s">
        <v>1259</v>
      </c>
    </row>
    <row r="111" spans="1:4" ht="3" customHeight="1" x14ac:dyDescent="0.2">
      <c r="A111" s="1219"/>
      <c r="B111" s="1226"/>
      <c r="C111" s="1223"/>
      <c r="D111" s="1218"/>
    </row>
    <row r="112" spans="1:4" x14ac:dyDescent="0.2">
      <c r="A112" s="1219"/>
      <c r="B112" s="1222"/>
      <c r="C112" s="1223">
        <f>C110+1</f>
        <v>35</v>
      </c>
      <c r="D112" s="1218" t="s">
        <v>1258</v>
      </c>
    </row>
    <row r="113" spans="1:4" ht="11.25" customHeight="1" x14ac:dyDescent="0.2">
      <c r="A113" s="1219"/>
      <c r="B113" s="1251"/>
      <c r="C113" s="1223"/>
      <c r="D113" s="1252" t="s">
        <v>1257</v>
      </c>
    </row>
    <row r="114" spans="1:4" ht="3" customHeight="1" x14ac:dyDescent="0.2">
      <c r="A114" s="1219"/>
      <c r="B114" s="1253"/>
      <c r="C114" s="1223"/>
      <c r="D114" s="1252"/>
    </row>
    <row r="115" spans="1:4" x14ac:dyDescent="0.2">
      <c r="A115" s="1219"/>
      <c r="B115" s="1222"/>
      <c r="C115" s="1223">
        <f>C112+1</f>
        <v>36</v>
      </c>
      <c r="D115" s="1234" t="s">
        <v>1256</v>
      </c>
    </row>
    <row r="116" spans="1:4" ht="3" customHeight="1" x14ac:dyDescent="0.2">
      <c r="A116" s="1219"/>
      <c r="B116" s="1226"/>
      <c r="C116" s="1223"/>
      <c r="D116" s="1234"/>
    </row>
    <row r="117" spans="1:4" x14ac:dyDescent="0.2">
      <c r="A117" s="1219"/>
      <c r="B117" s="1222"/>
      <c r="C117" s="1223">
        <f>C115+1</f>
        <v>37</v>
      </c>
      <c r="D117" s="1234" t="s">
        <v>1826</v>
      </c>
    </row>
    <row r="118" spans="1:4" ht="3" customHeight="1" x14ac:dyDescent="0.2">
      <c r="A118" s="1219"/>
      <c r="B118" s="1226"/>
      <c r="C118" s="1223"/>
      <c r="D118" s="1234"/>
    </row>
    <row r="119" spans="1:4" x14ac:dyDescent="0.2">
      <c r="A119" s="1219"/>
      <c r="B119" s="1222"/>
      <c r="C119" s="1223">
        <f>C117+1</f>
        <v>38</v>
      </c>
      <c r="D119" s="1234" t="s">
        <v>1827</v>
      </c>
    </row>
    <row r="120" spans="1:4" ht="10.5" customHeight="1" x14ac:dyDescent="0.2">
      <c r="A120" s="1219"/>
      <c r="B120" s="1247"/>
      <c r="C120" s="1223"/>
      <c r="D120" s="1234" t="s">
        <v>1255</v>
      </c>
    </row>
    <row r="121" spans="1:4" ht="10.5" customHeight="1" x14ac:dyDescent="0.2">
      <c r="A121" s="1219"/>
      <c r="B121" s="1247"/>
      <c r="C121" s="1223"/>
      <c r="D121" s="1234" t="s">
        <v>1254</v>
      </c>
    </row>
    <row r="122" spans="1:4" ht="3" customHeight="1" x14ac:dyDescent="0.2">
      <c r="A122" s="1219"/>
      <c r="B122" s="1247"/>
      <c r="C122" s="1223"/>
      <c r="D122" s="1234"/>
    </row>
    <row r="123" spans="1:4" x14ac:dyDescent="0.2">
      <c r="A123" s="1219"/>
      <c r="B123" s="1222"/>
      <c r="C123" s="1223">
        <f>C119+1</f>
        <v>39</v>
      </c>
      <c r="D123" s="1244" t="s">
        <v>1943</v>
      </c>
    </row>
    <row r="124" spans="1:4" x14ac:dyDescent="0.2">
      <c r="A124" s="1219"/>
      <c r="B124" s="312"/>
      <c r="C124" s="1223"/>
      <c r="D124" s="1234" t="s">
        <v>1253</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47" t="str">
        <f>'Single Audit Cover'!A7</f>
        <v>Dunlap CUSD 323</v>
      </c>
      <c r="B1" s="2547"/>
      <c r="C1" s="2547"/>
      <c r="D1" s="2547"/>
      <c r="E1" s="2547"/>
    </row>
    <row r="2" spans="1:5" x14ac:dyDescent="0.2">
      <c r="A2" s="2548">
        <f>'Single Audit Cover'!E7</f>
        <v>48072323026</v>
      </c>
      <c r="B2" s="2548"/>
      <c r="C2" s="2548"/>
      <c r="D2" s="2548"/>
      <c r="E2" s="2548"/>
    </row>
    <row r="3" spans="1:5" ht="4.5" customHeight="1" x14ac:dyDescent="0.2"/>
    <row r="4" spans="1:5" x14ac:dyDescent="0.2">
      <c r="A4" s="2547" t="s">
        <v>1306</v>
      </c>
      <c r="B4" s="2547"/>
      <c r="C4" s="2547"/>
      <c r="D4" s="2547"/>
      <c r="E4" s="2547"/>
    </row>
    <row r="5" spans="1:5" x14ac:dyDescent="0.2">
      <c r="A5" s="2550" t="str">
        <f>'Single Audit Cover'!A4</f>
        <v>Year Ending June 30, 2018</v>
      </c>
      <c r="B5" s="2550"/>
      <c r="C5" s="2550"/>
      <c r="D5" s="2550"/>
      <c r="E5" s="2550"/>
    </row>
    <row r="6" spans="1:5" x14ac:dyDescent="0.2">
      <c r="A6" s="2547" t="s">
        <v>1305</v>
      </c>
      <c r="B6" s="2547"/>
      <c r="C6" s="2547"/>
      <c r="D6" s="2547"/>
      <c r="E6" s="2547"/>
    </row>
    <row r="8" spans="1:5" x14ac:dyDescent="0.2">
      <c r="A8" s="1257" t="s">
        <v>1304</v>
      </c>
    </row>
    <row r="10" spans="1:5" x14ac:dyDescent="0.2">
      <c r="A10" s="1258" t="s">
        <v>1303</v>
      </c>
      <c r="B10" s="1259" t="s">
        <v>1302</v>
      </c>
      <c r="C10" s="1259"/>
      <c r="D10" s="1260">
        <f>SUM('Acct Summary 7-8'!C7:K7)</f>
        <v>1212723</v>
      </c>
    </row>
    <row r="11" spans="1:5" ht="18" customHeight="1" x14ac:dyDescent="0.2">
      <c r="A11" s="1258" t="s">
        <v>1301</v>
      </c>
      <c r="B11" s="1259"/>
      <c r="C11" s="1259"/>
    </row>
    <row r="12" spans="1:5" x14ac:dyDescent="0.2">
      <c r="A12" s="1258" t="s">
        <v>1300</v>
      </c>
      <c r="B12" s="1259" t="s">
        <v>1299</v>
      </c>
      <c r="C12" s="1259"/>
      <c r="D12" s="1261">
        <f>SUM('Revenues 9-14'!C112:D112,'Revenues 9-14'!F112:G112)</f>
        <v>0</v>
      </c>
    </row>
    <row r="13" spans="1:5" x14ac:dyDescent="0.2">
      <c r="A13" s="1258" t="s">
        <v>1298</v>
      </c>
      <c r="B13" s="1259"/>
      <c r="C13" s="1259"/>
    </row>
    <row r="14" spans="1:5" x14ac:dyDescent="0.2">
      <c r="A14" s="1258" t="s">
        <v>1829</v>
      </c>
      <c r="B14" s="1259"/>
      <c r="C14" s="1259"/>
      <c r="D14" s="1261">
        <f>'ICR Computation 30'!E11</f>
        <v>125986</v>
      </c>
    </row>
    <row r="15" spans="1:5" x14ac:dyDescent="0.2">
      <c r="A15" s="1258"/>
      <c r="B15" s="1259"/>
      <c r="C15" s="1259"/>
    </row>
    <row r="16" spans="1:5" x14ac:dyDescent="0.2">
      <c r="A16" s="1258" t="s">
        <v>1951</v>
      </c>
      <c r="B16" s="1259"/>
      <c r="C16" s="1259"/>
    </row>
    <row r="17" spans="1:4" x14ac:dyDescent="0.2">
      <c r="A17" s="1258" t="s">
        <v>1600</v>
      </c>
      <c r="B17" s="1259" t="s">
        <v>1297</v>
      </c>
      <c r="C17" s="1259"/>
      <c r="D17" s="1261">
        <f>-SUM('Revenues 9-14'!C271:D271,'Revenues 9-14'!F271:G271)</f>
        <v>-149616</v>
      </c>
    </row>
    <row r="19" spans="1:4" ht="13.5" thickBot="1" x14ac:dyDescent="0.25">
      <c r="A19" s="1262" t="s">
        <v>1296</v>
      </c>
      <c r="D19" s="1263">
        <f>SUM(D10:D17)</f>
        <v>1189093</v>
      </c>
    </row>
    <row r="20" spans="1:4" ht="21.75" customHeight="1" thickTop="1" x14ac:dyDescent="0.2"/>
    <row r="21" spans="1:4" x14ac:dyDescent="0.2">
      <c r="A21" s="1257" t="s">
        <v>1295</v>
      </c>
    </row>
    <row r="22" spans="1:4" ht="8.25" customHeight="1" x14ac:dyDescent="0.2"/>
    <row r="23" spans="1:4" x14ac:dyDescent="0.2">
      <c r="A23" s="1264" t="s">
        <v>1289</v>
      </c>
    </row>
    <row r="24" spans="1:4" x14ac:dyDescent="0.2">
      <c r="A24" s="2549"/>
      <c r="B24" s="2549"/>
      <c r="D24" s="1265"/>
    </row>
    <row r="25" spans="1:4" x14ac:dyDescent="0.2">
      <c r="A25" s="2546" t="s">
        <v>2211</v>
      </c>
      <c r="B25" s="2546"/>
      <c r="D25" s="1265">
        <v>-125986</v>
      </c>
    </row>
    <row r="26" spans="1:4" x14ac:dyDescent="0.2">
      <c r="A26" s="2546"/>
      <c r="B26" s="2546"/>
      <c r="D26" s="1265"/>
    </row>
    <row r="27" spans="1:4" x14ac:dyDescent="0.2">
      <c r="A27" s="2546" t="s">
        <v>2212</v>
      </c>
      <c r="B27" s="2546"/>
      <c r="D27" s="1265">
        <v>-197371</v>
      </c>
    </row>
    <row r="28" spans="1:4" x14ac:dyDescent="0.2">
      <c r="A28" s="2546"/>
      <c r="B28" s="2546"/>
      <c r="D28" s="1265"/>
    </row>
    <row r="29" spans="1:4" x14ac:dyDescent="0.2">
      <c r="A29" s="2546"/>
      <c r="B29" s="2546"/>
      <c r="D29" s="1265"/>
    </row>
    <row r="30" spans="1:4" x14ac:dyDescent="0.2">
      <c r="A30" s="2546"/>
      <c r="B30" s="2546"/>
      <c r="D30" s="1265"/>
    </row>
    <row r="32" spans="1:4" x14ac:dyDescent="0.2">
      <c r="A32" s="1257" t="s">
        <v>1294</v>
      </c>
      <c r="D32" s="1260">
        <f>SUM(D19:D30)</f>
        <v>865736</v>
      </c>
    </row>
    <row r="33" spans="1:4" x14ac:dyDescent="0.2">
      <c r="D33" s="1266"/>
    </row>
    <row r="34" spans="1:4" x14ac:dyDescent="0.2">
      <c r="A34" s="317" t="s">
        <v>1293</v>
      </c>
    </row>
    <row r="35" spans="1:4" x14ac:dyDescent="0.2">
      <c r="A35" s="317" t="s">
        <v>1292</v>
      </c>
      <c r="B35" s="1255" t="s">
        <v>1291</v>
      </c>
      <c r="D35" s="1267">
        <v>865736</v>
      </c>
    </row>
    <row r="37" spans="1:4" x14ac:dyDescent="0.2">
      <c r="A37" s="1257" t="s">
        <v>1290</v>
      </c>
    </row>
    <row r="39" spans="1:4" ht="13.35" customHeight="1" x14ac:dyDescent="0.2">
      <c r="A39" s="1264" t="s">
        <v>1289</v>
      </c>
    </row>
    <row r="40" spans="1:4" x14ac:dyDescent="0.2">
      <c r="A40" s="2546"/>
      <c r="B40" s="2546"/>
      <c r="D40" s="1265"/>
    </row>
    <row r="41" spans="1:4" x14ac:dyDescent="0.2">
      <c r="A41" s="2546"/>
      <c r="B41" s="2546"/>
      <c r="D41" s="1268"/>
    </row>
    <row r="42" spans="1:4" x14ac:dyDescent="0.2">
      <c r="A42" s="2546"/>
      <c r="B42" s="2546"/>
      <c r="D42" s="1268"/>
    </row>
    <row r="43" spans="1:4" x14ac:dyDescent="0.2">
      <c r="A43" s="2546"/>
      <c r="B43" s="2546"/>
      <c r="D43" s="1268"/>
    </row>
    <row r="44" spans="1:4" x14ac:dyDescent="0.2">
      <c r="A44" s="2546"/>
      <c r="B44" s="2546"/>
      <c r="D44" s="1268"/>
    </row>
    <row r="45" spans="1:4" x14ac:dyDescent="0.2">
      <c r="A45" s="2546"/>
      <c r="B45" s="2546"/>
      <c r="D45" s="1268"/>
    </row>
    <row r="47" spans="1:4" x14ac:dyDescent="0.2">
      <c r="B47" s="1269" t="s">
        <v>1288</v>
      </c>
      <c r="C47" s="1269"/>
      <c r="D47" s="1270">
        <f>SUM(D35:D45)</f>
        <v>865736</v>
      </c>
    </row>
    <row r="49" spans="2:4" x14ac:dyDescent="0.2">
      <c r="B49" s="1269" t="s">
        <v>1287</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52" t="str">
        <f>'Single Audit Cover'!A7</f>
        <v>Dunlap CUSD 323</v>
      </c>
      <c r="B1" s="2552"/>
      <c r="C1" s="2552"/>
      <c r="D1" s="2552"/>
      <c r="E1" s="2552"/>
      <c r="F1" s="2552"/>
    </row>
    <row r="2" spans="1:7" ht="13.5" customHeight="1" x14ac:dyDescent="0.2">
      <c r="A2" s="2553">
        <f>'Single Audit Cover'!E7</f>
        <v>48072323026</v>
      </c>
      <c r="B2" s="2553"/>
      <c r="C2" s="2553"/>
      <c r="D2" s="2553"/>
      <c r="E2" s="2553"/>
      <c r="F2" s="2553"/>
      <c r="G2" s="1272"/>
    </row>
    <row r="3" spans="1:7" ht="15.75" customHeight="1" x14ac:dyDescent="0.2">
      <c r="A3" s="2554" t="s">
        <v>1332</v>
      </c>
      <c r="B3" s="2554"/>
      <c r="C3" s="2554"/>
      <c r="D3" s="2554"/>
      <c r="E3" s="2554"/>
      <c r="F3" s="2554"/>
    </row>
    <row r="4" spans="1:7" ht="13.5" customHeight="1" x14ac:dyDescent="0.2">
      <c r="A4" s="2555" t="str">
        <f>'Single Audit Cover'!A4</f>
        <v>Year Ending June 30, 2018</v>
      </c>
      <c r="B4" s="2555"/>
      <c r="C4" s="2555"/>
      <c r="D4" s="2555"/>
      <c r="E4" s="2555"/>
      <c r="F4" s="2555"/>
    </row>
    <row r="5" spans="1:7" ht="8.25" customHeight="1" x14ac:dyDescent="0.2">
      <c r="C5" s="317"/>
      <c r="D5" s="317"/>
    </row>
    <row r="6" spans="1:7" ht="13.5" customHeight="1" x14ac:dyDescent="0.2">
      <c r="A6" s="1273" t="s">
        <v>1830</v>
      </c>
      <c r="C6" s="317"/>
      <c r="D6" s="317"/>
    </row>
    <row r="7" spans="1:7" ht="60.95" customHeight="1" x14ac:dyDescent="0.2">
      <c r="A7" s="2551" t="s">
        <v>2231</v>
      </c>
      <c r="B7" s="2551"/>
      <c r="C7" s="2551"/>
      <c r="D7" s="2551"/>
      <c r="E7" s="2551"/>
      <c r="F7" s="2551"/>
    </row>
    <row r="8" spans="1:7" ht="12" customHeight="1" x14ac:dyDescent="0.2">
      <c r="A8" s="1273"/>
      <c r="B8" s="1279"/>
      <c r="C8" s="1279"/>
      <c r="D8" s="1279"/>
    </row>
    <row r="9" spans="1:7" ht="15" customHeight="1" x14ac:dyDescent="0.2">
      <c r="A9" s="1274" t="s">
        <v>1831</v>
      </c>
      <c r="B9" s="1277"/>
      <c r="C9" s="1277"/>
      <c r="D9" s="1277"/>
      <c r="E9" s="1275"/>
      <c r="F9" s="1275"/>
      <c r="G9" s="1275"/>
    </row>
    <row r="10" spans="1:7" ht="15" customHeight="1" x14ac:dyDescent="0.2">
      <c r="A10" s="1276" t="s">
        <v>1627</v>
      </c>
      <c r="B10" s="1277"/>
      <c r="C10" s="1278"/>
      <c r="D10" s="1277" t="s">
        <v>1628</v>
      </c>
      <c r="E10" s="1278" t="s">
        <v>2072</v>
      </c>
      <c r="F10" s="1277" t="s">
        <v>101</v>
      </c>
      <c r="G10" s="1275"/>
    </row>
    <row r="11" spans="1:7" ht="12" customHeight="1" x14ac:dyDescent="0.2">
      <c r="A11" s="1276"/>
      <c r="B11" s="1277"/>
      <c r="C11" s="1924"/>
      <c r="D11" s="1277"/>
      <c r="E11" s="1924"/>
      <c r="F11" s="1277"/>
      <c r="G11" s="1275"/>
    </row>
    <row r="12" spans="1:7" x14ac:dyDescent="0.2">
      <c r="A12" s="1273" t="s">
        <v>1668</v>
      </c>
      <c r="C12" s="1257"/>
      <c r="D12" s="1257"/>
    </row>
    <row r="13" spans="1:7" ht="15" customHeight="1" x14ac:dyDescent="0.2">
      <c r="A13" s="2551" t="s">
        <v>2196</v>
      </c>
      <c r="B13" s="2551"/>
      <c r="C13" s="2551"/>
      <c r="D13" s="2551"/>
      <c r="E13" s="2551"/>
      <c r="F13" s="2551"/>
    </row>
    <row r="14" spans="1:7" ht="9.75" customHeight="1" x14ac:dyDescent="0.2">
      <c r="C14" s="1257"/>
      <c r="D14" s="1257"/>
    </row>
    <row r="15" spans="1:7" ht="13.5" customHeight="1" x14ac:dyDescent="0.2">
      <c r="C15" s="1868" t="s">
        <v>1331</v>
      </c>
      <c r="D15" s="2557" t="s">
        <v>1330</v>
      </c>
      <c r="E15" s="2557"/>
      <c r="F15" s="2557"/>
    </row>
    <row r="16" spans="1:7" ht="13.5" customHeight="1" x14ac:dyDescent="0.2">
      <c r="A16" s="1279"/>
      <c r="B16" s="1273" t="s">
        <v>1329</v>
      </c>
      <c r="C16" s="1868" t="s">
        <v>1328</v>
      </c>
      <c r="D16" s="2558" t="s">
        <v>1669</v>
      </c>
      <c r="E16" s="2558"/>
      <c r="F16" s="2558"/>
    </row>
    <row r="17" spans="1:6" ht="20.45" customHeight="1" x14ac:dyDescent="0.2">
      <c r="A17" s="1280"/>
      <c r="B17" s="1281" t="s">
        <v>2195</v>
      </c>
      <c r="C17" s="1282"/>
      <c r="D17" s="2556"/>
      <c r="E17" s="2556"/>
      <c r="F17" s="2556"/>
    </row>
    <row r="18" spans="1:6" ht="20.65" hidden="1" customHeight="1" x14ac:dyDescent="0.2">
      <c r="A18" s="1280"/>
      <c r="B18" s="1281"/>
      <c r="C18" s="1282"/>
      <c r="D18" s="2556"/>
      <c r="E18" s="2556"/>
      <c r="F18" s="2556"/>
    </row>
    <row r="19" spans="1:6" ht="20.65" hidden="1" customHeight="1" x14ac:dyDescent="0.2">
      <c r="A19" s="1280"/>
      <c r="B19" s="1281"/>
      <c r="C19" s="1282"/>
      <c r="D19" s="2556"/>
      <c r="E19" s="2556"/>
      <c r="F19" s="2556"/>
    </row>
    <row r="20" spans="1:6" ht="20.65" hidden="1" customHeight="1" x14ac:dyDescent="0.2">
      <c r="A20" s="1280"/>
      <c r="B20" s="1281"/>
      <c r="C20" s="1282"/>
      <c r="D20" s="2556"/>
      <c r="E20" s="2556"/>
      <c r="F20" s="2556"/>
    </row>
    <row r="21" spans="1:6" ht="20.65" hidden="1" customHeight="1" x14ac:dyDescent="0.2">
      <c r="A21" s="1280"/>
      <c r="B21" s="1281"/>
      <c r="C21" s="1282"/>
      <c r="D21" s="2556"/>
      <c r="E21" s="2556"/>
      <c r="F21" s="2556"/>
    </row>
    <row r="22" spans="1:6" ht="20.65" hidden="1" customHeight="1" x14ac:dyDescent="0.2">
      <c r="A22" s="1280"/>
      <c r="B22" s="1281"/>
      <c r="C22" s="1282"/>
      <c r="D22" s="2556"/>
      <c r="E22" s="2556"/>
      <c r="F22" s="2556"/>
    </row>
    <row r="23" spans="1:6" ht="20.65" hidden="1" customHeight="1" x14ac:dyDescent="0.2">
      <c r="A23" s="1280"/>
      <c r="B23" s="1281"/>
      <c r="C23" s="1282"/>
      <c r="D23" s="2556"/>
      <c r="E23" s="2556"/>
      <c r="F23" s="2556"/>
    </row>
    <row r="24" spans="1:6" ht="20.65" hidden="1" customHeight="1" x14ac:dyDescent="0.2">
      <c r="A24" s="1280"/>
      <c r="B24" s="1281"/>
      <c r="C24" s="1282"/>
      <c r="D24" s="2556"/>
      <c r="E24" s="2556"/>
      <c r="F24" s="2556"/>
    </row>
    <row r="25" spans="1:6" ht="20.65" hidden="1" customHeight="1" x14ac:dyDescent="0.2">
      <c r="A25" s="1280"/>
      <c r="B25" s="1281"/>
      <c r="C25" s="1282"/>
      <c r="D25" s="2556"/>
      <c r="E25" s="2556"/>
      <c r="F25" s="2556"/>
    </row>
    <row r="26" spans="1:6" ht="20.65" hidden="1" customHeight="1" x14ac:dyDescent="0.2">
      <c r="A26" s="1280"/>
      <c r="B26" s="1281"/>
      <c r="C26" s="1282"/>
      <c r="D26" s="2556"/>
      <c r="E26" s="2556"/>
      <c r="F26" s="2556"/>
    </row>
    <row r="27" spans="1:6" ht="20.65" hidden="1" customHeight="1" x14ac:dyDescent="0.2">
      <c r="A27" s="1280"/>
      <c r="B27" s="1281"/>
      <c r="C27" s="1282"/>
      <c r="D27" s="2556"/>
      <c r="E27" s="2556"/>
      <c r="F27" s="2556"/>
    </row>
    <row r="28" spans="1:6" ht="20.65" hidden="1" customHeight="1" x14ac:dyDescent="0.2">
      <c r="A28" s="1280"/>
      <c r="B28" s="1281"/>
      <c r="C28" s="1282"/>
      <c r="D28" s="2556"/>
      <c r="E28" s="2556"/>
      <c r="F28" s="2556"/>
    </row>
    <row r="29" spans="1:6" ht="20.65" hidden="1" customHeight="1" x14ac:dyDescent="0.2">
      <c r="A29" s="1280"/>
      <c r="B29" s="1281"/>
      <c r="C29" s="1282"/>
      <c r="D29" s="2556"/>
      <c r="E29" s="2556"/>
      <c r="F29" s="2556"/>
    </row>
    <row r="30" spans="1:6" ht="12" customHeight="1" x14ac:dyDescent="0.2">
      <c r="A30" s="328"/>
      <c r="B30" s="328"/>
      <c r="C30" s="1475"/>
      <c r="D30" s="1925"/>
      <c r="E30" s="1283"/>
    </row>
    <row r="31" spans="1:6" ht="12" customHeight="1" x14ac:dyDescent="0.2">
      <c r="A31" s="1284" t="s">
        <v>1629</v>
      </c>
      <c r="B31" s="328"/>
      <c r="C31" s="1475"/>
      <c r="D31" s="1925"/>
      <c r="E31" s="1283"/>
    </row>
    <row r="32" spans="1:6" ht="30" customHeight="1" x14ac:dyDescent="0.2">
      <c r="A32" s="2560" t="s">
        <v>2197</v>
      </c>
      <c r="B32" s="2560"/>
      <c r="C32" s="2560"/>
      <c r="D32" s="2560"/>
      <c r="E32" s="2560"/>
      <c r="F32" s="2560"/>
    </row>
    <row r="33" spans="1:6" ht="13.5" customHeight="1" x14ac:dyDescent="0.2">
      <c r="A33" s="328" t="s">
        <v>1508</v>
      </c>
      <c r="B33" s="328"/>
      <c r="C33" s="1285">
        <v>125987</v>
      </c>
      <c r="D33" s="1925"/>
      <c r="E33" s="1283"/>
    </row>
    <row r="34" spans="1:6" ht="13.5" customHeight="1" x14ac:dyDescent="0.2">
      <c r="A34" s="328" t="s">
        <v>1944</v>
      </c>
      <c r="B34" s="328"/>
      <c r="C34" s="1286">
        <v>0</v>
      </c>
      <c r="D34" s="1925" t="s">
        <v>1670</v>
      </c>
      <c r="E34" s="2561">
        <f>+C33+C34</f>
        <v>125987</v>
      </c>
      <c r="F34" s="2562"/>
    </row>
    <row r="35" spans="1:6" ht="12" customHeight="1" x14ac:dyDescent="0.2">
      <c r="A35" s="328"/>
      <c r="B35" s="328"/>
      <c r="C35" s="1926"/>
      <c r="D35" s="1925"/>
      <c r="E35" s="1287"/>
      <c r="F35" s="1288"/>
    </row>
    <row r="36" spans="1:6" ht="13.5" customHeight="1" x14ac:dyDescent="0.2">
      <c r="A36" s="1284" t="s">
        <v>1630</v>
      </c>
      <c r="B36" s="328"/>
      <c r="C36" s="1475"/>
      <c r="D36" s="1925"/>
      <c r="E36" s="1283"/>
    </row>
    <row r="37" spans="1:6" ht="14.25" customHeight="1" x14ac:dyDescent="0.2">
      <c r="A37" s="328" t="s">
        <v>1562</v>
      </c>
      <c r="B37" s="328"/>
      <c r="C37" s="1927"/>
      <c r="D37" s="1925"/>
      <c r="E37" s="1283"/>
    </row>
    <row r="38" spans="1:6" ht="14.25" customHeight="1" x14ac:dyDescent="0.2">
      <c r="A38" s="328"/>
      <c r="B38" s="328" t="s">
        <v>1509</v>
      </c>
      <c r="C38" s="1289" t="s">
        <v>400</v>
      </c>
      <c r="D38" s="1925"/>
      <c r="E38" s="1283"/>
    </row>
    <row r="39" spans="1:6" ht="14.25" customHeight="1" x14ac:dyDescent="0.2">
      <c r="A39" s="328"/>
      <c r="B39" s="328" t="s">
        <v>1510</v>
      </c>
      <c r="C39" s="1289" t="s">
        <v>400</v>
      </c>
      <c r="D39" s="1925"/>
      <c r="E39" s="1283"/>
    </row>
    <row r="40" spans="1:6" ht="14.25" customHeight="1" x14ac:dyDescent="0.2">
      <c r="A40" s="328"/>
      <c r="B40" s="328" t="s">
        <v>1511</v>
      </c>
      <c r="C40" s="1289" t="s">
        <v>400</v>
      </c>
      <c r="D40" s="1925"/>
      <c r="E40" s="1283"/>
    </row>
    <row r="41" spans="1:6" ht="14.25" customHeight="1" x14ac:dyDescent="0.2">
      <c r="A41" s="328"/>
      <c r="B41" s="328" t="s">
        <v>1512</v>
      </c>
      <c r="C41" s="1289" t="s">
        <v>400</v>
      </c>
      <c r="D41" s="1925"/>
      <c r="E41" s="1283"/>
    </row>
    <row r="42" spans="1:6" ht="14.25" customHeight="1" x14ac:dyDescent="0.2">
      <c r="A42" s="328" t="s">
        <v>1513</v>
      </c>
      <c r="B42" s="328"/>
      <c r="C42" s="1923" t="s">
        <v>400</v>
      </c>
      <c r="D42" s="1925"/>
      <c r="E42" s="1283"/>
    </row>
    <row r="43" spans="1:6" ht="14.25" customHeight="1" x14ac:dyDescent="0.2">
      <c r="A43" s="328" t="s">
        <v>1514</v>
      </c>
      <c r="B43" s="328"/>
      <c r="C43" s="1290" t="s">
        <v>400</v>
      </c>
      <c r="D43" s="1925"/>
      <c r="E43" s="1283"/>
    </row>
    <row r="44" spans="1:6" ht="14.25" customHeight="1" x14ac:dyDescent="0.2">
      <c r="A44" s="328"/>
      <c r="B44" s="328"/>
      <c r="C44" s="1927" t="s">
        <v>1515</v>
      </c>
      <c r="D44" s="1925"/>
      <c r="E44" s="1283"/>
    </row>
    <row r="45" spans="1:6" ht="14.25" customHeight="1" x14ac:dyDescent="0.2">
      <c r="A45" s="328"/>
      <c r="B45" s="328"/>
      <c r="C45" s="1927"/>
      <c r="D45" s="1925"/>
      <c r="E45" s="1283"/>
    </row>
    <row r="46" spans="1:6" ht="14.25" customHeight="1" x14ac:dyDescent="0.2">
      <c r="A46" s="1284" t="s">
        <v>2198</v>
      </c>
      <c r="B46" s="328"/>
      <c r="C46" s="1927"/>
      <c r="D46" s="1925"/>
      <c r="E46" s="1283"/>
    </row>
    <row r="47" spans="1:6" ht="14.25" customHeight="1" x14ac:dyDescent="0.2">
      <c r="A47" s="2564" t="s">
        <v>2203</v>
      </c>
      <c r="B47" s="2564"/>
      <c r="C47" s="2564"/>
      <c r="D47" s="2564"/>
      <c r="E47" s="2564"/>
    </row>
    <row r="48" spans="1:6" ht="14.25" customHeight="1" x14ac:dyDescent="0.2">
      <c r="A48" s="2564"/>
      <c r="B48" s="2564"/>
      <c r="C48" s="2564"/>
      <c r="D48" s="2564"/>
      <c r="E48" s="2564"/>
    </row>
    <row r="49" spans="1:6" x14ac:dyDescent="0.2">
      <c r="A49" s="2564"/>
      <c r="B49" s="2564"/>
      <c r="C49" s="2564"/>
      <c r="D49" s="2564"/>
      <c r="E49" s="2564"/>
    </row>
    <row r="50" spans="1:6" x14ac:dyDescent="0.2">
      <c r="A50" s="2055"/>
      <c r="B50" s="2055"/>
      <c r="C50" s="2055"/>
      <c r="D50" s="2055"/>
      <c r="E50" s="2055"/>
    </row>
    <row r="51" spans="1:6" x14ac:dyDescent="0.2">
      <c r="A51" s="1292" t="s">
        <v>1832</v>
      </c>
      <c r="C51" s="317"/>
      <c r="D51" s="317"/>
    </row>
    <row r="52" spans="1:6" s="322" customFormat="1" ht="11.25" customHeight="1" x14ac:dyDescent="0.2">
      <c r="A52" s="1293"/>
      <c r="B52" s="1294"/>
      <c r="C52" s="1294"/>
      <c r="D52" s="1294"/>
      <c r="E52" s="1294"/>
      <c r="F52" s="1294"/>
    </row>
    <row r="53" spans="1:6" s="322" customFormat="1" ht="6" customHeight="1" x14ac:dyDescent="0.2">
      <c r="A53" s="1295"/>
    </row>
    <row r="54" spans="1:6" s="1297" customFormat="1" ht="23.25" customHeight="1" x14ac:dyDescent="0.2">
      <c r="A54" s="1296">
        <v>5</v>
      </c>
      <c r="B54" s="2563" t="s">
        <v>1671</v>
      </c>
      <c r="C54" s="2563"/>
      <c r="D54" s="2563"/>
      <c r="E54" s="1396"/>
    </row>
    <row r="55" spans="1:6" s="1297" customFormat="1" ht="3.75" customHeight="1" x14ac:dyDescent="0.2">
      <c r="A55" s="1296"/>
      <c r="B55" s="1867"/>
      <c r="C55" s="1867"/>
      <c r="D55" s="1867"/>
      <c r="E55" s="1396"/>
    </row>
    <row r="56" spans="1:6" s="1297" customFormat="1" ht="20.25" customHeight="1" x14ac:dyDescent="0.2">
      <c r="A56" s="1298">
        <v>6</v>
      </c>
      <c r="B56" s="2559" t="s">
        <v>1631</v>
      </c>
      <c r="C56" s="2559"/>
      <c r="D56" s="2559"/>
    </row>
    <row r="57" spans="1:6" ht="14.25" customHeight="1" x14ac:dyDescent="0.2">
      <c r="A57" s="1298"/>
      <c r="B57" s="2559"/>
      <c r="C57" s="2559"/>
      <c r="D57" s="2559"/>
    </row>
  </sheetData>
  <mergeCells count="27">
    <mergeCell ref="B56:D56"/>
    <mergeCell ref="B57:D57"/>
    <mergeCell ref="D27:F27"/>
    <mergeCell ref="D28:F28"/>
    <mergeCell ref="D29:F29"/>
    <mergeCell ref="A32:F32"/>
    <mergeCell ref="E34:F34"/>
    <mergeCell ref="B54:D54"/>
    <mergeCell ref="A47:E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08" t="str">
        <f>'Single Audit Cover'!A7</f>
        <v>Dunlap CUSD 323</v>
      </c>
      <c r="C1" s="2565"/>
      <c r="D1" s="2565"/>
      <c r="E1" s="2565"/>
      <c r="F1" s="2565"/>
      <c r="G1" s="2565"/>
      <c r="H1" s="2565"/>
      <c r="I1" s="2565"/>
      <c r="J1" s="2565"/>
      <c r="K1" s="2565"/>
      <c r="L1" s="2565"/>
      <c r="M1" s="2565"/>
    </row>
    <row r="2" spans="2:14" ht="15" x14ac:dyDescent="0.2">
      <c r="B2" s="2553">
        <f>'Single Audit Cover'!E7</f>
        <v>48072323026</v>
      </c>
      <c r="C2" s="2553"/>
      <c r="D2" s="2553"/>
      <c r="E2" s="2553"/>
      <c r="F2" s="2553"/>
      <c r="G2" s="2553"/>
      <c r="H2" s="2553"/>
      <c r="I2" s="2553"/>
      <c r="J2" s="2553"/>
      <c r="K2" s="2553"/>
      <c r="L2" s="2553"/>
      <c r="M2" s="2553"/>
      <c r="N2" s="1299"/>
    </row>
    <row r="3" spans="2:14" ht="15" x14ac:dyDescent="0.2">
      <c r="B3" s="2566" t="s">
        <v>1280</v>
      </c>
      <c r="C3" s="2566"/>
      <c r="D3" s="2566"/>
      <c r="E3" s="2566"/>
      <c r="F3" s="2566"/>
      <c r="G3" s="2566"/>
      <c r="H3" s="2566"/>
      <c r="I3" s="2566"/>
      <c r="J3" s="2566"/>
      <c r="K3" s="2566"/>
      <c r="L3" s="2566"/>
      <c r="M3" s="2566"/>
      <c r="N3" s="1299"/>
    </row>
    <row r="4" spans="2:14" ht="15" x14ac:dyDescent="0.2">
      <c r="B4" s="2567" t="str">
        <f>'Single Audit Cover'!A4</f>
        <v>Year Ending June 30, 2018</v>
      </c>
      <c r="C4" s="2567"/>
      <c r="D4" s="2567"/>
      <c r="E4" s="2567"/>
      <c r="F4" s="2567"/>
      <c r="G4" s="2567"/>
      <c r="H4" s="2567"/>
      <c r="I4" s="2567"/>
      <c r="J4" s="2567"/>
      <c r="K4" s="2567"/>
      <c r="L4" s="2567"/>
      <c r="M4" s="2567"/>
      <c r="N4" s="1299"/>
    </row>
    <row r="6" spans="2:14" x14ac:dyDescent="0.2">
      <c r="B6" s="1300"/>
      <c r="C6" s="1301"/>
      <c r="D6" s="1302" t="s">
        <v>1326</v>
      </c>
      <c r="E6" s="1303" t="s">
        <v>547</v>
      </c>
      <c r="F6" s="1304"/>
      <c r="G6" s="1305" t="s">
        <v>1833</v>
      </c>
      <c r="H6" s="1303"/>
      <c r="I6" s="1303"/>
      <c r="J6" s="1303"/>
      <c r="K6" s="1306"/>
      <c r="L6" s="1307"/>
      <c r="M6" s="1308"/>
    </row>
    <row r="7" spans="2:14" x14ac:dyDescent="0.2">
      <c r="B7" s="1309" t="s">
        <v>1661</v>
      </c>
      <c r="C7" s="1310"/>
      <c r="D7" s="1311"/>
      <c r="E7" s="1312"/>
      <c r="F7" s="1313"/>
      <c r="G7" s="1312"/>
      <c r="H7" s="1314" t="s">
        <v>1323</v>
      </c>
      <c r="I7" s="1312"/>
      <c r="J7" s="1315" t="s">
        <v>1323</v>
      </c>
      <c r="K7" s="1316"/>
      <c r="L7" s="1317" t="s">
        <v>1321</v>
      </c>
      <c r="M7" s="1318"/>
    </row>
    <row r="8" spans="2:14" x14ac:dyDescent="0.2">
      <c r="B8" s="1684"/>
      <c r="C8" s="1310" t="s">
        <v>1325</v>
      </c>
      <c r="D8" s="1311" t="s">
        <v>1324</v>
      </c>
      <c r="E8" s="1319" t="s">
        <v>1323</v>
      </c>
      <c r="F8" s="1320" t="s">
        <v>1323</v>
      </c>
      <c r="G8" s="1321" t="s">
        <v>1323</v>
      </c>
      <c r="H8" s="1314" t="s">
        <v>1662</v>
      </c>
      <c r="I8" s="1316" t="s">
        <v>1323</v>
      </c>
      <c r="J8" s="1315" t="s">
        <v>1945</v>
      </c>
      <c r="K8" s="1316" t="s">
        <v>1322</v>
      </c>
      <c r="L8" s="1317" t="s">
        <v>1318</v>
      </c>
      <c r="M8" s="1318" t="s">
        <v>30</v>
      </c>
    </row>
    <row r="9" spans="2:14" ht="14.25" x14ac:dyDescent="0.2">
      <c r="B9" s="1322" t="s">
        <v>1320</v>
      </c>
      <c r="C9" s="1310" t="s">
        <v>1834</v>
      </c>
      <c r="D9" s="1311" t="s">
        <v>1835</v>
      </c>
      <c r="E9" s="1319" t="s">
        <v>1662</v>
      </c>
      <c r="F9" s="1320" t="s">
        <v>1945</v>
      </c>
      <c r="G9" s="1321" t="s">
        <v>1662</v>
      </c>
      <c r="H9" s="1314" t="s">
        <v>1663</v>
      </c>
      <c r="I9" s="1316" t="s">
        <v>1945</v>
      </c>
      <c r="J9" s="1315" t="s">
        <v>1663</v>
      </c>
      <c r="K9" s="1316" t="s">
        <v>1319</v>
      </c>
      <c r="L9" s="1323" t="s">
        <v>1664</v>
      </c>
      <c r="M9" s="1318"/>
    </row>
    <row r="10" spans="2:14"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2080</v>
      </c>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1230</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1307</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1837</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1838</v>
      </c>
      <c r="C40" s="1363"/>
      <c r="D40" s="1363"/>
      <c r="E40" s="1363"/>
      <c r="F40" s="1363"/>
      <c r="G40" s="1363"/>
      <c r="H40" s="1363"/>
      <c r="I40" s="1363"/>
      <c r="J40" s="1363"/>
      <c r="K40" s="1363"/>
      <c r="L40" s="1363"/>
      <c r="M40" s="1363"/>
    </row>
    <row r="41" spans="2:13" ht="11.25" customHeight="1" x14ac:dyDescent="0.2">
      <c r="B41" s="1297" t="s">
        <v>1666</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1840</v>
      </c>
      <c r="C45" s="1365"/>
      <c r="D45" s="1366"/>
      <c r="E45" s="1297"/>
      <c r="F45" s="1297"/>
      <c r="G45" s="1297"/>
      <c r="H45" s="1297"/>
      <c r="I45" s="1297"/>
      <c r="J45" s="1297"/>
      <c r="K45" s="1367"/>
      <c r="L45" s="1367"/>
      <c r="M45" s="1297"/>
    </row>
    <row r="46" spans="2:13" ht="11.25" customHeight="1" x14ac:dyDescent="0.2">
      <c r="B46" s="1297" t="s">
        <v>1667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104"/>
  <sheetViews>
    <sheetView showGridLines="0" zoomScaleNormal="100" zoomScaleSheetLayoutView="75" workbookViewId="0">
      <pane ySplit="10" topLeftCell="A11" activePane="bottomLeft" state="frozen"/>
      <selection activeCell="E21" sqref="E21"/>
      <selection pane="bottomLeft" activeCell="A11" sqref="A11"/>
    </sheetView>
  </sheetViews>
  <sheetFormatPr defaultColWidth="16.7109375" defaultRowHeight="12" x14ac:dyDescent="0.2"/>
  <cols>
    <col min="1" max="1" width="50.140625" style="1953" customWidth="1"/>
    <col min="2" max="2" width="9.85546875" style="1953" customWidth="1"/>
    <col min="3" max="3" width="13" style="1953" customWidth="1"/>
    <col min="4" max="4" width="4.28515625" style="1953" customWidth="1"/>
    <col min="5" max="5" width="12.85546875" style="1953" customWidth="1"/>
    <col min="6" max="6" width="13.85546875" style="1953" customWidth="1"/>
    <col min="7" max="7" width="13.140625" style="1953" bestFit="1" customWidth="1"/>
    <col min="8" max="8" width="12.28515625" style="1953" customWidth="1"/>
    <col min="9" max="9" width="13.42578125" style="1953" customWidth="1"/>
    <col min="10" max="10" width="3.85546875" style="2054" customWidth="1"/>
    <col min="11" max="11" width="13.28515625" style="1953" bestFit="1" customWidth="1"/>
    <col min="12" max="12" width="12.42578125" style="1953" bestFit="1" customWidth="1"/>
    <col min="13" max="242" width="16.7109375" style="1953"/>
    <col min="243" max="243" width="50.140625" style="1953" customWidth="1"/>
    <col min="244" max="244" width="9.85546875" style="1953" customWidth="1"/>
    <col min="245" max="245" width="13" style="1953" customWidth="1"/>
    <col min="246" max="246" width="4.28515625" style="1953" customWidth="1"/>
    <col min="247" max="247" width="12.85546875" style="1953" customWidth="1"/>
    <col min="248" max="248" width="13.85546875" style="1953" customWidth="1"/>
    <col min="249" max="249" width="13.140625" style="1953" bestFit="1" customWidth="1"/>
    <col min="250" max="250" width="12.28515625" style="1953" customWidth="1"/>
    <col min="251" max="251" width="13.42578125" style="1953" customWidth="1"/>
    <col min="252" max="252" width="3.85546875" style="1953" customWidth="1"/>
    <col min="253" max="253" width="13.28515625" style="1953" bestFit="1" customWidth="1"/>
    <col min="254" max="254" width="12.42578125" style="1953" bestFit="1" customWidth="1"/>
    <col min="255" max="498" width="16.7109375" style="1953"/>
    <col min="499" max="499" width="50.140625" style="1953" customWidth="1"/>
    <col min="500" max="500" width="9.85546875" style="1953" customWidth="1"/>
    <col min="501" max="501" width="13" style="1953" customWidth="1"/>
    <col min="502" max="502" width="4.28515625" style="1953" customWidth="1"/>
    <col min="503" max="503" width="12.85546875" style="1953" customWidth="1"/>
    <col min="504" max="504" width="13.85546875" style="1953" customWidth="1"/>
    <col min="505" max="505" width="13.140625" style="1953" bestFit="1" customWidth="1"/>
    <col min="506" max="506" width="12.28515625" style="1953" customWidth="1"/>
    <col min="507" max="507" width="13.42578125" style="1953" customWidth="1"/>
    <col min="508" max="508" width="3.85546875" style="1953" customWidth="1"/>
    <col min="509" max="509" width="13.28515625" style="1953" bestFit="1" customWidth="1"/>
    <col min="510" max="510" width="12.42578125" style="1953" bestFit="1" customWidth="1"/>
    <col min="511" max="754" width="16.7109375" style="1953"/>
    <col min="755" max="755" width="50.140625" style="1953" customWidth="1"/>
    <col min="756" max="756" width="9.85546875" style="1953" customWidth="1"/>
    <col min="757" max="757" width="13" style="1953" customWidth="1"/>
    <col min="758" max="758" width="4.28515625" style="1953" customWidth="1"/>
    <col min="759" max="759" width="12.85546875" style="1953" customWidth="1"/>
    <col min="760" max="760" width="13.85546875" style="1953" customWidth="1"/>
    <col min="761" max="761" width="13.140625" style="1953" bestFit="1" customWidth="1"/>
    <col min="762" max="762" width="12.28515625" style="1953" customWidth="1"/>
    <col min="763" max="763" width="13.42578125" style="1953" customWidth="1"/>
    <col min="764" max="764" width="3.85546875" style="1953" customWidth="1"/>
    <col min="765" max="765" width="13.28515625" style="1953" bestFit="1" customWidth="1"/>
    <col min="766" max="766" width="12.42578125" style="1953" bestFit="1" customWidth="1"/>
    <col min="767" max="1010" width="16.7109375" style="1953"/>
    <col min="1011" max="1011" width="50.140625" style="1953" customWidth="1"/>
    <col min="1012" max="1012" width="9.85546875" style="1953" customWidth="1"/>
    <col min="1013" max="1013" width="13" style="1953" customWidth="1"/>
    <col min="1014" max="1014" width="4.28515625" style="1953" customWidth="1"/>
    <col min="1015" max="1015" width="12.85546875" style="1953" customWidth="1"/>
    <col min="1016" max="1016" width="13.85546875" style="1953" customWidth="1"/>
    <col min="1017" max="1017" width="13.140625" style="1953" bestFit="1" customWidth="1"/>
    <col min="1018" max="1018" width="12.28515625" style="1953" customWidth="1"/>
    <col min="1019" max="1019" width="13.42578125" style="1953" customWidth="1"/>
    <col min="1020" max="1020" width="3.85546875" style="1953" customWidth="1"/>
    <col min="1021" max="1021" width="13.28515625" style="1953" bestFit="1" customWidth="1"/>
    <col min="1022" max="1022" width="12.42578125" style="1953" bestFit="1" customWidth="1"/>
    <col min="1023" max="1266" width="16.7109375" style="1953"/>
    <col min="1267" max="1267" width="50.140625" style="1953" customWidth="1"/>
    <col min="1268" max="1268" width="9.85546875" style="1953" customWidth="1"/>
    <col min="1269" max="1269" width="13" style="1953" customWidth="1"/>
    <col min="1270" max="1270" width="4.28515625" style="1953" customWidth="1"/>
    <col min="1271" max="1271" width="12.85546875" style="1953" customWidth="1"/>
    <col min="1272" max="1272" width="13.85546875" style="1953" customWidth="1"/>
    <col min="1273" max="1273" width="13.140625" style="1953" bestFit="1" customWidth="1"/>
    <col min="1274" max="1274" width="12.28515625" style="1953" customWidth="1"/>
    <col min="1275" max="1275" width="13.42578125" style="1953" customWidth="1"/>
    <col min="1276" max="1276" width="3.85546875" style="1953" customWidth="1"/>
    <col min="1277" max="1277" width="13.28515625" style="1953" bestFit="1" customWidth="1"/>
    <col min="1278" max="1278" width="12.42578125" style="1953" bestFit="1" customWidth="1"/>
    <col min="1279" max="1522" width="16.7109375" style="1953"/>
    <col min="1523" max="1523" width="50.140625" style="1953" customWidth="1"/>
    <col min="1524" max="1524" width="9.85546875" style="1953" customWidth="1"/>
    <col min="1525" max="1525" width="13" style="1953" customWidth="1"/>
    <col min="1526" max="1526" width="4.28515625" style="1953" customWidth="1"/>
    <col min="1527" max="1527" width="12.85546875" style="1953" customWidth="1"/>
    <col min="1528" max="1528" width="13.85546875" style="1953" customWidth="1"/>
    <col min="1529" max="1529" width="13.140625" style="1953" bestFit="1" customWidth="1"/>
    <col min="1530" max="1530" width="12.28515625" style="1953" customWidth="1"/>
    <col min="1531" max="1531" width="13.42578125" style="1953" customWidth="1"/>
    <col min="1532" max="1532" width="3.85546875" style="1953" customWidth="1"/>
    <col min="1533" max="1533" width="13.28515625" style="1953" bestFit="1" customWidth="1"/>
    <col min="1534" max="1534" width="12.42578125" style="1953" bestFit="1" customWidth="1"/>
    <col min="1535" max="1778" width="16.7109375" style="1953"/>
    <col min="1779" max="1779" width="50.140625" style="1953" customWidth="1"/>
    <col min="1780" max="1780" width="9.85546875" style="1953" customWidth="1"/>
    <col min="1781" max="1781" width="13" style="1953" customWidth="1"/>
    <col min="1782" max="1782" width="4.28515625" style="1953" customWidth="1"/>
    <col min="1783" max="1783" width="12.85546875" style="1953" customWidth="1"/>
    <col min="1784" max="1784" width="13.85546875" style="1953" customWidth="1"/>
    <col min="1785" max="1785" width="13.140625" style="1953" bestFit="1" customWidth="1"/>
    <col min="1786" max="1786" width="12.28515625" style="1953" customWidth="1"/>
    <col min="1787" max="1787" width="13.42578125" style="1953" customWidth="1"/>
    <col min="1788" max="1788" width="3.85546875" style="1953" customWidth="1"/>
    <col min="1789" max="1789" width="13.28515625" style="1953" bestFit="1" customWidth="1"/>
    <col min="1790" max="1790" width="12.42578125" style="1953" bestFit="1" customWidth="1"/>
    <col min="1791" max="2034" width="16.7109375" style="1953"/>
    <col min="2035" max="2035" width="50.140625" style="1953" customWidth="1"/>
    <col min="2036" max="2036" width="9.85546875" style="1953" customWidth="1"/>
    <col min="2037" max="2037" width="13" style="1953" customWidth="1"/>
    <col min="2038" max="2038" width="4.28515625" style="1953" customWidth="1"/>
    <col min="2039" max="2039" width="12.85546875" style="1953" customWidth="1"/>
    <col min="2040" max="2040" width="13.85546875" style="1953" customWidth="1"/>
    <col min="2041" max="2041" width="13.140625" style="1953" bestFit="1" customWidth="1"/>
    <col min="2042" max="2042" width="12.28515625" style="1953" customWidth="1"/>
    <col min="2043" max="2043" width="13.42578125" style="1953" customWidth="1"/>
    <col min="2044" max="2044" width="3.85546875" style="1953" customWidth="1"/>
    <col min="2045" max="2045" width="13.28515625" style="1953" bestFit="1" customWidth="1"/>
    <col min="2046" max="2046" width="12.42578125" style="1953" bestFit="1" customWidth="1"/>
    <col min="2047" max="2290" width="16.7109375" style="1953"/>
    <col min="2291" max="2291" width="50.140625" style="1953" customWidth="1"/>
    <col min="2292" max="2292" width="9.85546875" style="1953" customWidth="1"/>
    <col min="2293" max="2293" width="13" style="1953" customWidth="1"/>
    <col min="2294" max="2294" width="4.28515625" style="1953" customWidth="1"/>
    <col min="2295" max="2295" width="12.85546875" style="1953" customWidth="1"/>
    <col min="2296" max="2296" width="13.85546875" style="1953" customWidth="1"/>
    <col min="2297" max="2297" width="13.140625" style="1953" bestFit="1" customWidth="1"/>
    <col min="2298" max="2298" width="12.28515625" style="1953" customWidth="1"/>
    <col min="2299" max="2299" width="13.42578125" style="1953" customWidth="1"/>
    <col min="2300" max="2300" width="3.85546875" style="1953" customWidth="1"/>
    <col min="2301" max="2301" width="13.28515625" style="1953" bestFit="1" customWidth="1"/>
    <col min="2302" max="2302" width="12.42578125" style="1953" bestFit="1" customWidth="1"/>
    <col min="2303" max="2546" width="16.7109375" style="1953"/>
    <col min="2547" max="2547" width="50.140625" style="1953" customWidth="1"/>
    <col min="2548" max="2548" width="9.85546875" style="1953" customWidth="1"/>
    <col min="2549" max="2549" width="13" style="1953" customWidth="1"/>
    <col min="2550" max="2550" width="4.28515625" style="1953" customWidth="1"/>
    <col min="2551" max="2551" width="12.85546875" style="1953" customWidth="1"/>
    <col min="2552" max="2552" width="13.85546875" style="1953" customWidth="1"/>
    <col min="2553" max="2553" width="13.140625" style="1953" bestFit="1" customWidth="1"/>
    <col min="2554" max="2554" width="12.28515625" style="1953" customWidth="1"/>
    <col min="2555" max="2555" width="13.42578125" style="1953" customWidth="1"/>
    <col min="2556" max="2556" width="3.85546875" style="1953" customWidth="1"/>
    <col min="2557" max="2557" width="13.28515625" style="1953" bestFit="1" customWidth="1"/>
    <col min="2558" max="2558" width="12.42578125" style="1953" bestFit="1" customWidth="1"/>
    <col min="2559" max="2802" width="16.7109375" style="1953"/>
    <col min="2803" max="2803" width="50.140625" style="1953" customWidth="1"/>
    <col min="2804" max="2804" width="9.85546875" style="1953" customWidth="1"/>
    <col min="2805" max="2805" width="13" style="1953" customWidth="1"/>
    <col min="2806" max="2806" width="4.28515625" style="1953" customWidth="1"/>
    <col min="2807" max="2807" width="12.85546875" style="1953" customWidth="1"/>
    <col min="2808" max="2808" width="13.85546875" style="1953" customWidth="1"/>
    <col min="2809" max="2809" width="13.140625" style="1953" bestFit="1" customWidth="1"/>
    <col min="2810" max="2810" width="12.28515625" style="1953" customWidth="1"/>
    <col min="2811" max="2811" width="13.42578125" style="1953" customWidth="1"/>
    <col min="2812" max="2812" width="3.85546875" style="1953" customWidth="1"/>
    <col min="2813" max="2813" width="13.28515625" style="1953" bestFit="1" customWidth="1"/>
    <col min="2814" max="2814" width="12.42578125" style="1953" bestFit="1" customWidth="1"/>
    <col min="2815" max="3058" width="16.7109375" style="1953"/>
    <col min="3059" max="3059" width="50.140625" style="1953" customWidth="1"/>
    <col min="3060" max="3060" width="9.85546875" style="1953" customWidth="1"/>
    <col min="3061" max="3061" width="13" style="1953" customWidth="1"/>
    <col min="3062" max="3062" width="4.28515625" style="1953" customWidth="1"/>
    <col min="3063" max="3063" width="12.85546875" style="1953" customWidth="1"/>
    <col min="3064" max="3064" width="13.85546875" style="1953" customWidth="1"/>
    <col min="3065" max="3065" width="13.140625" style="1953" bestFit="1" customWidth="1"/>
    <col min="3066" max="3066" width="12.28515625" style="1953" customWidth="1"/>
    <col min="3067" max="3067" width="13.42578125" style="1953" customWidth="1"/>
    <col min="3068" max="3068" width="3.85546875" style="1953" customWidth="1"/>
    <col min="3069" max="3069" width="13.28515625" style="1953" bestFit="1" customWidth="1"/>
    <col min="3070" max="3070" width="12.42578125" style="1953" bestFit="1" customWidth="1"/>
    <col min="3071" max="3314" width="16.7109375" style="1953"/>
    <col min="3315" max="3315" width="50.140625" style="1953" customWidth="1"/>
    <col min="3316" max="3316" width="9.85546875" style="1953" customWidth="1"/>
    <col min="3317" max="3317" width="13" style="1953" customWidth="1"/>
    <col min="3318" max="3318" width="4.28515625" style="1953" customWidth="1"/>
    <col min="3319" max="3319" width="12.85546875" style="1953" customWidth="1"/>
    <col min="3320" max="3320" width="13.85546875" style="1953" customWidth="1"/>
    <col min="3321" max="3321" width="13.140625" style="1953" bestFit="1" customWidth="1"/>
    <col min="3322" max="3322" width="12.28515625" style="1953" customWidth="1"/>
    <col min="3323" max="3323" width="13.42578125" style="1953" customWidth="1"/>
    <col min="3324" max="3324" width="3.85546875" style="1953" customWidth="1"/>
    <col min="3325" max="3325" width="13.28515625" style="1953" bestFit="1" customWidth="1"/>
    <col min="3326" max="3326" width="12.42578125" style="1953" bestFit="1" customWidth="1"/>
    <col min="3327" max="3570" width="16.7109375" style="1953"/>
    <col min="3571" max="3571" width="50.140625" style="1953" customWidth="1"/>
    <col min="3572" max="3572" width="9.85546875" style="1953" customWidth="1"/>
    <col min="3573" max="3573" width="13" style="1953" customWidth="1"/>
    <col min="3574" max="3574" width="4.28515625" style="1953" customWidth="1"/>
    <col min="3575" max="3575" width="12.85546875" style="1953" customWidth="1"/>
    <col min="3576" max="3576" width="13.85546875" style="1953" customWidth="1"/>
    <col min="3577" max="3577" width="13.140625" style="1953" bestFit="1" customWidth="1"/>
    <col min="3578" max="3578" width="12.28515625" style="1953" customWidth="1"/>
    <col min="3579" max="3579" width="13.42578125" style="1953" customWidth="1"/>
    <col min="3580" max="3580" width="3.85546875" style="1953" customWidth="1"/>
    <col min="3581" max="3581" width="13.28515625" style="1953" bestFit="1" customWidth="1"/>
    <col min="3582" max="3582" width="12.42578125" style="1953" bestFit="1" customWidth="1"/>
    <col min="3583" max="3826" width="16.7109375" style="1953"/>
    <col min="3827" max="3827" width="50.140625" style="1953" customWidth="1"/>
    <col min="3828" max="3828" width="9.85546875" style="1953" customWidth="1"/>
    <col min="3829" max="3829" width="13" style="1953" customWidth="1"/>
    <col min="3830" max="3830" width="4.28515625" style="1953" customWidth="1"/>
    <col min="3831" max="3831" width="12.85546875" style="1953" customWidth="1"/>
    <col min="3832" max="3832" width="13.85546875" style="1953" customWidth="1"/>
    <col min="3833" max="3833" width="13.140625" style="1953" bestFit="1" customWidth="1"/>
    <col min="3834" max="3834" width="12.28515625" style="1953" customWidth="1"/>
    <col min="3835" max="3835" width="13.42578125" style="1953" customWidth="1"/>
    <col min="3836" max="3836" width="3.85546875" style="1953" customWidth="1"/>
    <col min="3837" max="3837" width="13.28515625" style="1953" bestFit="1" customWidth="1"/>
    <col min="3838" max="3838" width="12.42578125" style="1953" bestFit="1" customWidth="1"/>
    <col min="3839" max="4082" width="16.7109375" style="1953"/>
    <col min="4083" max="4083" width="50.140625" style="1953" customWidth="1"/>
    <col min="4084" max="4084" width="9.85546875" style="1953" customWidth="1"/>
    <col min="4085" max="4085" width="13" style="1953" customWidth="1"/>
    <col min="4086" max="4086" width="4.28515625" style="1953" customWidth="1"/>
    <col min="4087" max="4087" width="12.85546875" style="1953" customWidth="1"/>
    <col min="4088" max="4088" width="13.85546875" style="1953" customWidth="1"/>
    <col min="4089" max="4089" width="13.140625" style="1953" bestFit="1" customWidth="1"/>
    <col min="4090" max="4090" width="12.28515625" style="1953" customWidth="1"/>
    <col min="4091" max="4091" width="13.42578125" style="1953" customWidth="1"/>
    <col min="4092" max="4092" width="3.85546875" style="1953" customWidth="1"/>
    <col min="4093" max="4093" width="13.28515625" style="1953" bestFit="1" customWidth="1"/>
    <col min="4094" max="4094" width="12.42578125" style="1953" bestFit="1" customWidth="1"/>
    <col min="4095" max="4338" width="16.7109375" style="1953"/>
    <col min="4339" max="4339" width="50.140625" style="1953" customWidth="1"/>
    <col min="4340" max="4340" width="9.85546875" style="1953" customWidth="1"/>
    <col min="4341" max="4341" width="13" style="1953" customWidth="1"/>
    <col min="4342" max="4342" width="4.28515625" style="1953" customWidth="1"/>
    <col min="4343" max="4343" width="12.85546875" style="1953" customWidth="1"/>
    <col min="4344" max="4344" width="13.85546875" style="1953" customWidth="1"/>
    <col min="4345" max="4345" width="13.140625" style="1953" bestFit="1" customWidth="1"/>
    <col min="4346" max="4346" width="12.28515625" style="1953" customWidth="1"/>
    <col min="4347" max="4347" width="13.42578125" style="1953" customWidth="1"/>
    <col min="4348" max="4348" width="3.85546875" style="1953" customWidth="1"/>
    <col min="4349" max="4349" width="13.28515625" style="1953" bestFit="1" customWidth="1"/>
    <col min="4350" max="4350" width="12.42578125" style="1953" bestFit="1" customWidth="1"/>
    <col min="4351" max="4594" width="16.7109375" style="1953"/>
    <col min="4595" max="4595" width="50.140625" style="1953" customWidth="1"/>
    <col min="4596" max="4596" width="9.85546875" style="1953" customWidth="1"/>
    <col min="4597" max="4597" width="13" style="1953" customWidth="1"/>
    <col min="4598" max="4598" width="4.28515625" style="1953" customWidth="1"/>
    <col min="4599" max="4599" width="12.85546875" style="1953" customWidth="1"/>
    <col min="4600" max="4600" width="13.85546875" style="1953" customWidth="1"/>
    <col min="4601" max="4601" width="13.140625" style="1953" bestFit="1" customWidth="1"/>
    <col min="4602" max="4602" width="12.28515625" style="1953" customWidth="1"/>
    <col min="4603" max="4603" width="13.42578125" style="1953" customWidth="1"/>
    <col min="4604" max="4604" width="3.85546875" style="1953" customWidth="1"/>
    <col min="4605" max="4605" width="13.28515625" style="1953" bestFit="1" customWidth="1"/>
    <col min="4606" max="4606" width="12.42578125" style="1953" bestFit="1" customWidth="1"/>
    <col min="4607" max="4850" width="16.7109375" style="1953"/>
    <col min="4851" max="4851" width="50.140625" style="1953" customWidth="1"/>
    <col min="4852" max="4852" width="9.85546875" style="1953" customWidth="1"/>
    <col min="4853" max="4853" width="13" style="1953" customWidth="1"/>
    <col min="4854" max="4854" width="4.28515625" style="1953" customWidth="1"/>
    <col min="4855" max="4855" width="12.85546875" style="1953" customWidth="1"/>
    <col min="4856" max="4856" width="13.85546875" style="1953" customWidth="1"/>
    <col min="4857" max="4857" width="13.140625" style="1953" bestFit="1" customWidth="1"/>
    <col min="4858" max="4858" width="12.28515625" style="1953" customWidth="1"/>
    <col min="4859" max="4859" width="13.42578125" style="1953" customWidth="1"/>
    <col min="4860" max="4860" width="3.85546875" style="1953" customWidth="1"/>
    <col min="4861" max="4861" width="13.28515625" style="1953" bestFit="1" customWidth="1"/>
    <col min="4862" max="4862" width="12.42578125" style="1953" bestFit="1" customWidth="1"/>
    <col min="4863" max="5106" width="16.7109375" style="1953"/>
    <col min="5107" max="5107" width="50.140625" style="1953" customWidth="1"/>
    <col min="5108" max="5108" width="9.85546875" style="1953" customWidth="1"/>
    <col min="5109" max="5109" width="13" style="1953" customWidth="1"/>
    <col min="5110" max="5110" width="4.28515625" style="1953" customWidth="1"/>
    <col min="5111" max="5111" width="12.85546875" style="1953" customWidth="1"/>
    <col min="5112" max="5112" width="13.85546875" style="1953" customWidth="1"/>
    <col min="5113" max="5113" width="13.140625" style="1953" bestFit="1" customWidth="1"/>
    <col min="5114" max="5114" width="12.28515625" style="1953" customWidth="1"/>
    <col min="5115" max="5115" width="13.42578125" style="1953" customWidth="1"/>
    <col min="5116" max="5116" width="3.85546875" style="1953" customWidth="1"/>
    <col min="5117" max="5117" width="13.28515625" style="1953" bestFit="1" customWidth="1"/>
    <col min="5118" max="5118" width="12.42578125" style="1953" bestFit="1" customWidth="1"/>
    <col min="5119" max="5362" width="16.7109375" style="1953"/>
    <col min="5363" max="5363" width="50.140625" style="1953" customWidth="1"/>
    <col min="5364" max="5364" width="9.85546875" style="1953" customWidth="1"/>
    <col min="5365" max="5365" width="13" style="1953" customWidth="1"/>
    <col min="5366" max="5366" width="4.28515625" style="1953" customWidth="1"/>
    <col min="5367" max="5367" width="12.85546875" style="1953" customWidth="1"/>
    <col min="5368" max="5368" width="13.85546875" style="1953" customWidth="1"/>
    <col min="5369" max="5369" width="13.140625" style="1953" bestFit="1" customWidth="1"/>
    <col min="5370" max="5370" width="12.28515625" style="1953" customWidth="1"/>
    <col min="5371" max="5371" width="13.42578125" style="1953" customWidth="1"/>
    <col min="5372" max="5372" width="3.85546875" style="1953" customWidth="1"/>
    <col min="5373" max="5373" width="13.28515625" style="1953" bestFit="1" customWidth="1"/>
    <col min="5374" max="5374" width="12.42578125" style="1953" bestFit="1" customWidth="1"/>
    <col min="5375" max="5618" width="16.7109375" style="1953"/>
    <col min="5619" max="5619" width="50.140625" style="1953" customWidth="1"/>
    <col min="5620" max="5620" width="9.85546875" style="1953" customWidth="1"/>
    <col min="5621" max="5621" width="13" style="1953" customWidth="1"/>
    <col min="5622" max="5622" width="4.28515625" style="1953" customWidth="1"/>
    <col min="5623" max="5623" width="12.85546875" style="1953" customWidth="1"/>
    <col min="5624" max="5624" width="13.85546875" style="1953" customWidth="1"/>
    <col min="5625" max="5625" width="13.140625" style="1953" bestFit="1" customWidth="1"/>
    <col min="5626" max="5626" width="12.28515625" style="1953" customWidth="1"/>
    <col min="5627" max="5627" width="13.42578125" style="1953" customWidth="1"/>
    <col min="5628" max="5628" width="3.85546875" style="1953" customWidth="1"/>
    <col min="5629" max="5629" width="13.28515625" style="1953" bestFit="1" customWidth="1"/>
    <col min="5630" max="5630" width="12.42578125" style="1953" bestFit="1" customWidth="1"/>
    <col min="5631" max="5874" width="16.7109375" style="1953"/>
    <col min="5875" max="5875" width="50.140625" style="1953" customWidth="1"/>
    <col min="5876" max="5876" width="9.85546875" style="1953" customWidth="1"/>
    <col min="5877" max="5877" width="13" style="1953" customWidth="1"/>
    <col min="5878" max="5878" width="4.28515625" style="1953" customWidth="1"/>
    <col min="5879" max="5879" width="12.85546875" style="1953" customWidth="1"/>
    <col min="5880" max="5880" width="13.85546875" style="1953" customWidth="1"/>
    <col min="5881" max="5881" width="13.140625" style="1953" bestFit="1" customWidth="1"/>
    <col min="5882" max="5882" width="12.28515625" style="1953" customWidth="1"/>
    <col min="5883" max="5883" width="13.42578125" style="1953" customWidth="1"/>
    <col min="5884" max="5884" width="3.85546875" style="1953" customWidth="1"/>
    <col min="5885" max="5885" width="13.28515625" style="1953" bestFit="1" customWidth="1"/>
    <col min="5886" max="5886" width="12.42578125" style="1953" bestFit="1" customWidth="1"/>
    <col min="5887" max="6130" width="16.7109375" style="1953"/>
    <col min="6131" max="6131" width="50.140625" style="1953" customWidth="1"/>
    <col min="6132" max="6132" width="9.85546875" style="1953" customWidth="1"/>
    <col min="6133" max="6133" width="13" style="1953" customWidth="1"/>
    <col min="6134" max="6134" width="4.28515625" style="1953" customWidth="1"/>
    <col min="6135" max="6135" width="12.85546875" style="1953" customWidth="1"/>
    <col min="6136" max="6136" width="13.85546875" style="1953" customWidth="1"/>
    <col min="6137" max="6137" width="13.140625" style="1953" bestFit="1" customWidth="1"/>
    <col min="6138" max="6138" width="12.28515625" style="1953" customWidth="1"/>
    <col min="6139" max="6139" width="13.42578125" style="1953" customWidth="1"/>
    <col min="6140" max="6140" width="3.85546875" style="1953" customWidth="1"/>
    <col min="6141" max="6141" width="13.28515625" style="1953" bestFit="1" customWidth="1"/>
    <col min="6142" max="6142" width="12.42578125" style="1953" bestFit="1" customWidth="1"/>
    <col min="6143" max="6386" width="16.7109375" style="1953"/>
    <col min="6387" max="6387" width="50.140625" style="1953" customWidth="1"/>
    <col min="6388" max="6388" width="9.85546875" style="1953" customWidth="1"/>
    <col min="6389" max="6389" width="13" style="1953" customWidth="1"/>
    <col min="6390" max="6390" width="4.28515625" style="1953" customWidth="1"/>
    <col min="6391" max="6391" width="12.85546875" style="1953" customWidth="1"/>
    <col min="6392" max="6392" width="13.85546875" style="1953" customWidth="1"/>
    <col min="6393" max="6393" width="13.140625" style="1953" bestFit="1" customWidth="1"/>
    <col min="6394" max="6394" width="12.28515625" style="1953" customWidth="1"/>
    <col min="6395" max="6395" width="13.42578125" style="1953" customWidth="1"/>
    <col min="6396" max="6396" width="3.85546875" style="1953" customWidth="1"/>
    <col min="6397" max="6397" width="13.28515625" style="1953" bestFit="1" customWidth="1"/>
    <col min="6398" max="6398" width="12.42578125" style="1953" bestFit="1" customWidth="1"/>
    <col min="6399" max="6642" width="16.7109375" style="1953"/>
    <col min="6643" max="6643" width="50.140625" style="1953" customWidth="1"/>
    <col min="6644" max="6644" width="9.85546875" style="1953" customWidth="1"/>
    <col min="6645" max="6645" width="13" style="1953" customWidth="1"/>
    <col min="6646" max="6646" width="4.28515625" style="1953" customWidth="1"/>
    <col min="6647" max="6647" width="12.85546875" style="1953" customWidth="1"/>
    <col min="6648" max="6648" width="13.85546875" style="1953" customWidth="1"/>
    <col min="6649" max="6649" width="13.140625" style="1953" bestFit="1" customWidth="1"/>
    <col min="6650" max="6650" width="12.28515625" style="1953" customWidth="1"/>
    <col min="6651" max="6651" width="13.42578125" style="1953" customWidth="1"/>
    <col min="6652" max="6652" width="3.85546875" style="1953" customWidth="1"/>
    <col min="6653" max="6653" width="13.28515625" style="1953" bestFit="1" customWidth="1"/>
    <col min="6654" max="6654" width="12.42578125" style="1953" bestFit="1" customWidth="1"/>
    <col min="6655" max="6898" width="16.7109375" style="1953"/>
    <col min="6899" max="6899" width="50.140625" style="1953" customWidth="1"/>
    <col min="6900" max="6900" width="9.85546875" style="1953" customWidth="1"/>
    <col min="6901" max="6901" width="13" style="1953" customWidth="1"/>
    <col min="6902" max="6902" width="4.28515625" style="1953" customWidth="1"/>
    <col min="6903" max="6903" width="12.85546875" style="1953" customWidth="1"/>
    <col min="6904" max="6904" width="13.85546875" style="1953" customWidth="1"/>
    <col min="6905" max="6905" width="13.140625" style="1953" bestFit="1" customWidth="1"/>
    <col min="6906" max="6906" width="12.28515625" style="1953" customWidth="1"/>
    <col min="6907" max="6907" width="13.42578125" style="1953" customWidth="1"/>
    <col min="6908" max="6908" width="3.85546875" style="1953" customWidth="1"/>
    <col min="6909" max="6909" width="13.28515625" style="1953" bestFit="1" customWidth="1"/>
    <col min="6910" max="6910" width="12.42578125" style="1953" bestFit="1" customWidth="1"/>
    <col min="6911" max="7154" width="16.7109375" style="1953"/>
    <col min="7155" max="7155" width="50.140625" style="1953" customWidth="1"/>
    <col min="7156" max="7156" width="9.85546875" style="1953" customWidth="1"/>
    <col min="7157" max="7157" width="13" style="1953" customWidth="1"/>
    <col min="7158" max="7158" width="4.28515625" style="1953" customWidth="1"/>
    <col min="7159" max="7159" width="12.85546875" style="1953" customWidth="1"/>
    <col min="7160" max="7160" width="13.85546875" style="1953" customWidth="1"/>
    <col min="7161" max="7161" width="13.140625" style="1953" bestFit="1" customWidth="1"/>
    <col min="7162" max="7162" width="12.28515625" style="1953" customWidth="1"/>
    <col min="7163" max="7163" width="13.42578125" style="1953" customWidth="1"/>
    <col min="7164" max="7164" width="3.85546875" style="1953" customWidth="1"/>
    <col min="7165" max="7165" width="13.28515625" style="1953" bestFit="1" customWidth="1"/>
    <col min="7166" max="7166" width="12.42578125" style="1953" bestFit="1" customWidth="1"/>
    <col min="7167" max="7410" width="16.7109375" style="1953"/>
    <col min="7411" max="7411" width="50.140625" style="1953" customWidth="1"/>
    <col min="7412" max="7412" width="9.85546875" style="1953" customWidth="1"/>
    <col min="7413" max="7413" width="13" style="1953" customWidth="1"/>
    <col min="7414" max="7414" width="4.28515625" style="1953" customWidth="1"/>
    <col min="7415" max="7415" width="12.85546875" style="1953" customWidth="1"/>
    <col min="7416" max="7416" width="13.85546875" style="1953" customWidth="1"/>
    <col min="7417" max="7417" width="13.140625" style="1953" bestFit="1" customWidth="1"/>
    <col min="7418" max="7418" width="12.28515625" style="1953" customWidth="1"/>
    <col min="7419" max="7419" width="13.42578125" style="1953" customWidth="1"/>
    <col min="7420" max="7420" width="3.85546875" style="1953" customWidth="1"/>
    <col min="7421" max="7421" width="13.28515625" style="1953" bestFit="1" customWidth="1"/>
    <col min="7422" max="7422" width="12.42578125" style="1953" bestFit="1" customWidth="1"/>
    <col min="7423" max="7666" width="16.7109375" style="1953"/>
    <col min="7667" max="7667" width="50.140625" style="1953" customWidth="1"/>
    <col min="7668" max="7668" width="9.85546875" style="1953" customWidth="1"/>
    <col min="7669" max="7669" width="13" style="1953" customWidth="1"/>
    <col min="7670" max="7670" width="4.28515625" style="1953" customWidth="1"/>
    <col min="7671" max="7671" width="12.85546875" style="1953" customWidth="1"/>
    <col min="7672" max="7672" width="13.85546875" style="1953" customWidth="1"/>
    <col min="7673" max="7673" width="13.140625" style="1953" bestFit="1" customWidth="1"/>
    <col min="7674" max="7674" width="12.28515625" style="1953" customWidth="1"/>
    <col min="7675" max="7675" width="13.42578125" style="1953" customWidth="1"/>
    <col min="7676" max="7676" width="3.85546875" style="1953" customWidth="1"/>
    <col min="7677" max="7677" width="13.28515625" style="1953" bestFit="1" customWidth="1"/>
    <col min="7678" max="7678" width="12.42578125" style="1953" bestFit="1" customWidth="1"/>
    <col min="7679" max="7922" width="16.7109375" style="1953"/>
    <col min="7923" max="7923" width="50.140625" style="1953" customWidth="1"/>
    <col min="7924" max="7924" width="9.85546875" style="1953" customWidth="1"/>
    <col min="7925" max="7925" width="13" style="1953" customWidth="1"/>
    <col min="7926" max="7926" width="4.28515625" style="1953" customWidth="1"/>
    <col min="7927" max="7927" width="12.85546875" style="1953" customWidth="1"/>
    <col min="7928" max="7928" width="13.85546875" style="1953" customWidth="1"/>
    <col min="7929" max="7929" width="13.140625" style="1953" bestFit="1" customWidth="1"/>
    <col min="7930" max="7930" width="12.28515625" style="1953" customWidth="1"/>
    <col min="7931" max="7931" width="13.42578125" style="1953" customWidth="1"/>
    <col min="7932" max="7932" width="3.85546875" style="1953" customWidth="1"/>
    <col min="7933" max="7933" width="13.28515625" style="1953" bestFit="1" customWidth="1"/>
    <col min="7934" max="7934" width="12.42578125" style="1953" bestFit="1" customWidth="1"/>
    <col min="7935" max="8178" width="16.7109375" style="1953"/>
    <col min="8179" max="8179" width="50.140625" style="1953" customWidth="1"/>
    <col min="8180" max="8180" width="9.85546875" style="1953" customWidth="1"/>
    <col min="8181" max="8181" width="13" style="1953" customWidth="1"/>
    <col min="8182" max="8182" width="4.28515625" style="1953" customWidth="1"/>
    <col min="8183" max="8183" width="12.85546875" style="1953" customWidth="1"/>
    <col min="8184" max="8184" width="13.85546875" style="1953" customWidth="1"/>
    <col min="8185" max="8185" width="13.140625" style="1953" bestFit="1" customWidth="1"/>
    <col min="8186" max="8186" width="12.28515625" style="1953" customWidth="1"/>
    <col min="8187" max="8187" width="13.42578125" style="1953" customWidth="1"/>
    <col min="8188" max="8188" width="3.85546875" style="1953" customWidth="1"/>
    <col min="8189" max="8189" width="13.28515625" style="1953" bestFit="1" customWidth="1"/>
    <col min="8190" max="8190" width="12.42578125" style="1953" bestFit="1" customWidth="1"/>
    <col min="8191" max="8434" width="16.7109375" style="1953"/>
    <col min="8435" max="8435" width="50.140625" style="1953" customWidth="1"/>
    <col min="8436" max="8436" width="9.85546875" style="1953" customWidth="1"/>
    <col min="8437" max="8437" width="13" style="1953" customWidth="1"/>
    <col min="8438" max="8438" width="4.28515625" style="1953" customWidth="1"/>
    <col min="8439" max="8439" width="12.85546875" style="1953" customWidth="1"/>
    <col min="8440" max="8440" width="13.85546875" style="1953" customWidth="1"/>
    <col min="8441" max="8441" width="13.140625" style="1953" bestFit="1" customWidth="1"/>
    <col min="8442" max="8442" width="12.28515625" style="1953" customWidth="1"/>
    <col min="8443" max="8443" width="13.42578125" style="1953" customWidth="1"/>
    <col min="8444" max="8444" width="3.85546875" style="1953" customWidth="1"/>
    <col min="8445" max="8445" width="13.28515625" style="1953" bestFit="1" customWidth="1"/>
    <col min="8446" max="8446" width="12.42578125" style="1953" bestFit="1" customWidth="1"/>
    <col min="8447" max="8690" width="16.7109375" style="1953"/>
    <col min="8691" max="8691" width="50.140625" style="1953" customWidth="1"/>
    <col min="8692" max="8692" width="9.85546875" style="1953" customWidth="1"/>
    <col min="8693" max="8693" width="13" style="1953" customWidth="1"/>
    <col min="8694" max="8694" width="4.28515625" style="1953" customWidth="1"/>
    <col min="8695" max="8695" width="12.85546875" style="1953" customWidth="1"/>
    <col min="8696" max="8696" width="13.85546875" style="1953" customWidth="1"/>
    <col min="8697" max="8697" width="13.140625" style="1953" bestFit="1" customWidth="1"/>
    <col min="8698" max="8698" width="12.28515625" style="1953" customWidth="1"/>
    <col min="8699" max="8699" width="13.42578125" style="1953" customWidth="1"/>
    <col min="8700" max="8700" width="3.85546875" style="1953" customWidth="1"/>
    <col min="8701" max="8701" width="13.28515625" style="1953" bestFit="1" customWidth="1"/>
    <col min="8702" max="8702" width="12.42578125" style="1953" bestFit="1" customWidth="1"/>
    <col min="8703" max="8946" width="16.7109375" style="1953"/>
    <col min="8947" max="8947" width="50.140625" style="1953" customWidth="1"/>
    <col min="8948" max="8948" width="9.85546875" style="1953" customWidth="1"/>
    <col min="8949" max="8949" width="13" style="1953" customWidth="1"/>
    <col min="8950" max="8950" width="4.28515625" style="1953" customWidth="1"/>
    <col min="8951" max="8951" width="12.85546875" style="1953" customWidth="1"/>
    <col min="8952" max="8952" width="13.85546875" style="1953" customWidth="1"/>
    <col min="8953" max="8953" width="13.140625" style="1953" bestFit="1" customWidth="1"/>
    <col min="8954" max="8954" width="12.28515625" style="1953" customWidth="1"/>
    <col min="8955" max="8955" width="13.42578125" style="1953" customWidth="1"/>
    <col min="8956" max="8956" width="3.85546875" style="1953" customWidth="1"/>
    <col min="8957" max="8957" width="13.28515625" style="1953" bestFit="1" customWidth="1"/>
    <col min="8958" max="8958" width="12.42578125" style="1953" bestFit="1" customWidth="1"/>
    <col min="8959" max="9202" width="16.7109375" style="1953"/>
    <col min="9203" max="9203" width="50.140625" style="1953" customWidth="1"/>
    <col min="9204" max="9204" width="9.85546875" style="1953" customWidth="1"/>
    <col min="9205" max="9205" width="13" style="1953" customWidth="1"/>
    <col min="9206" max="9206" width="4.28515625" style="1953" customWidth="1"/>
    <col min="9207" max="9207" width="12.85546875" style="1953" customWidth="1"/>
    <col min="9208" max="9208" width="13.85546875" style="1953" customWidth="1"/>
    <col min="9209" max="9209" width="13.140625" style="1953" bestFit="1" customWidth="1"/>
    <col min="9210" max="9210" width="12.28515625" style="1953" customWidth="1"/>
    <col min="9211" max="9211" width="13.42578125" style="1953" customWidth="1"/>
    <col min="9212" max="9212" width="3.85546875" style="1953" customWidth="1"/>
    <col min="9213" max="9213" width="13.28515625" style="1953" bestFit="1" customWidth="1"/>
    <col min="9214" max="9214" width="12.42578125" style="1953" bestFit="1" customWidth="1"/>
    <col min="9215" max="9458" width="16.7109375" style="1953"/>
    <col min="9459" max="9459" width="50.140625" style="1953" customWidth="1"/>
    <col min="9460" max="9460" width="9.85546875" style="1953" customWidth="1"/>
    <col min="9461" max="9461" width="13" style="1953" customWidth="1"/>
    <col min="9462" max="9462" width="4.28515625" style="1953" customWidth="1"/>
    <col min="9463" max="9463" width="12.85546875" style="1953" customWidth="1"/>
    <col min="9464" max="9464" width="13.85546875" style="1953" customWidth="1"/>
    <col min="9465" max="9465" width="13.140625" style="1953" bestFit="1" customWidth="1"/>
    <col min="9466" max="9466" width="12.28515625" style="1953" customWidth="1"/>
    <col min="9467" max="9467" width="13.42578125" style="1953" customWidth="1"/>
    <col min="9468" max="9468" width="3.85546875" style="1953" customWidth="1"/>
    <col min="9469" max="9469" width="13.28515625" style="1953" bestFit="1" customWidth="1"/>
    <col min="9470" max="9470" width="12.42578125" style="1953" bestFit="1" customWidth="1"/>
    <col min="9471" max="9714" width="16.7109375" style="1953"/>
    <col min="9715" max="9715" width="50.140625" style="1953" customWidth="1"/>
    <col min="9716" max="9716" width="9.85546875" style="1953" customWidth="1"/>
    <col min="9717" max="9717" width="13" style="1953" customWidth="1"/>
    <col min="9718" max="9718" width="4.28515625" style="1953" customWidth="1"/>
    <col min="9719" max="9719" width="12.85546875" style="1953" customWidth="1"/>
    <col min="9720" max="9720" width="13.85546875" style="1953" customWidth="1"/>
    <col min="9721" max="9721" width="13.140625" style="1953" bestFit="1" customWidth="1"/>
    <col min="9722" max="9722" width="12.28515625" style="1953" customWidth="1"/>
    <col min="9723" max="9723" width="13.42578125" style="1953" customWidth="1"/>
    <col min="9724" max="9724" width="3.85546875" style="1953" customWidth="1"/>
    <col min="9725" max="9725" width="13.28515625" style="1953" bestFit="1" customWidth="1"/>
    <col min="9726" max="9726" width="12.42578125" style="1953" bestFit="1" customWidth="1"/>
    <col min="9727" max="9970" width="16.7109375" style="1953"/>
    <col min="9971" max="9971" width="50.140625" style="1953" customWidth="1"/>
    <col min="9972" max="9972" width="9.85546875" style="1953" customWidth="1"/>
    <col min="9973" max="9973" width="13" style="1953" customWidth="1"/>
    <col min="9974" max="9974" width="4.28515625" style="1953" customWidth="1"/>
    <col min="9975" max="9975" width="12.85546875" style="1953" customWidth="1"/>
    <col min="9976" max="9976" width="13.85546875" style="1953" customWidth="1"/>
    <col min="9977" max="9977" width="13.140625" style="1953" bestFit="1" customWidth="1"/>
    <col min="9978" max="9978" width="12.28515625" style="1953" customWidth="1"/>
    <col min="9979" max="9979" width="13.42578125" style="1953" customWidth="1"/>
    <col min="9980" max="9980" width="3.85546875" style="1953" customWidth="1"/>
    <col min="9981" max="9981" width="13.28515625" style="1953" bestFit="1" customWidth="1"/>
    <col min="9982" max="9982" width="12.42578125" style="1953" bestFit="1" customWidth="1"/>
    <col min="9983" max="10226" width="16.7109375" style="1953"/>
    <col min="10227" max="10227" width="50.140625" style="1953" customWidth="1"/>
    <col min="10228" max="10228" width="9.85546875" style="1953" customWidth="1"/>
    <col min="10229" max="10229" width="13" style="1953" customWidth="1"/>
    <col min="10230" max="10230" width="4.28515625" style="1953" customWidth="1"/>
    <col min="10231" max="10231" width="12.85546875" style="1953" customWidth="1"/>
    <col min="10232" max="10232" width="13.85546875" style="1953" customWidth="1"/>
    <col min="10233" max="10233" width="13.140625" style="1953" bestFit="1" customWidth="1"/>
    <col min="10234" max="10234" width="12.28515625" style="1953" customWidth="1"/>
    <col min="10235" max="10235" width="13.42578125" style="1953" customWidth="1"/>
    <col min="10236" max="10236" width="3.85546875" style="1953" customWidth="1"/>
    <col min="10237" max="10237" width="13.28515625" style="1953" bestFit="1" customWidth="1"/>
    <col min="10238" max="10238" width="12.42578125" style="1953" bestFit="1" customWidth="1"/>
    <col min="10239" max="10482" width="16.7109375" style="1953"/>
    <col min="10483" max="10483" width="50.140625" style="1953" customWidth="1"/>
    <col min="10484" max="10484" width="9.85546875" style="1953" customWidth="1"/>
    <col min="10485" max="10485" width="13" style="1953" customWidth="1"/>
    <col min="10486" max="10486" width="4.28515625" style="1953" customWidth="1"/>
    <col min="10487" max="10487" width="12.85546875" style="1953" customWidth="1"/>
    <col min="10488" max="10488" width="13.85546875" style="1953" customWidth="1"/>
    <col min="10489" max="10489" width="13.140625" style="1953" bestFit="1" customWidth="1"/>
    <col min="10490" max="10490" width="12.28515625" style="1953" customWidth="1"/>
    <col min="10491" max="10491" width="13.42578125" style="1953" customWidth="1"/>
    <col min="10492" max="10492" width="3.85546875" style="1953" customWidth="1"/>
    <col min="10493" max="10493" width="13.28515625" style="1953" bestFit="1" customWidth="1"/>
    <col min="10494" max="10494" width="12.42578125" style="1953" bestFit="1" customWidth="1"/>
    <col min="10495" max="10738" width="16.7109375" style="1953"/>
    <col min="10739" max="10739" width="50.140625" style="1953" customWidth="1"/>
    <col min="10740" max="10740" width="9.85546875" style="1953" customWidth="1"/>
    <col min="10741" max="10741" width="13" style="1953" customWidth="1"/>
    <col min="10742" max="10742" width="4.28515625" style="1953" customWidth="1"/>
    <col min="10743" max="10743" width="12.85546875" style="1953" customWidth="1"/>
    <col min="10744" max="10744" width="13.85546875" style="1953" customWidth="1"/>
    <col min="10745" max="10745" width="13.140625" style="1953" bestFit="1" customWidth="1"/>
    <col min="10746" max="10746" width="12.28515625" style="1953" customWidth="1"/>
    <col min="10747" max="10747" width="13.42578125" style="1953" customWidth="1"/>
    <col min="10748" max="10748" width="3.85546875" style="1953" customWidth="1"/>
    <col min="10749" max="10749" width="13.28515625" style="1953" bestFit="1" customWidth="1"/>
    <col min="10750" max="10750" width="12.42578125" style="1953" bestFit="1" customWidth="1"/>
    <col min="10751" max="10994" width="16.7109375" style="1953"/>
    <col min="10995" max="10995" width="50.140625" style="1953" customWidth="1"/>
    <col min="10996" max="10996" width="9.85546875" style="1953" customWidth="1"/>
    <col min="10997" max="10997" width="13" style="1953" customWidth="1"/>
    <col min="10998" max="10998" width="4.28515625" style="1953" customWidth="1"/>
    <col min="10999" max="10999" width="12.85546875" style="1953" customWidth="1"/>
    <col min="11000" max="11000" width="13.85546875" style="1953" customWidth="1"/>
    <col min="11001" max="11001" width="13.140625" style="1953" bestFit="1" customWidth="1"/>
    <col min="11002" max="11002" width="12.28515625" style="1953" customWidth="1"/>
    <col min="11003" max="11003" width="13.42578125" style="1953" customWidth="1"/>
    <col min="11004" max="11004" width="3.85546875" style="1953" customWidth="1"/>
    <col min="11005" max="11005" width="13.28515625" style="1953" bestFit="1" customWidth="1"/>
    <col min="11006" max="11006" width="12.42578125" style="1953" bestFit="1" customWidth="1"/>
    <col min="11007" max="11250" width="16.7109375" style="1953"/>
    <col min="11251" max="11251" width="50.140625" style="1953" customWidth="1"/>
    <col min="11252" max="11252" width="9.85546875" style="1953" customWidth="1"/>
    <col min="11253" max="11253" width="13" style="1953" customWidth="1"/>
    <col min="11254" max="11254" width="4.28515625" style="1953" customWidth="1"/>
    <col min="11255" max="11255" width="12.85546875" style="1953" customWidth="1"/>
    <col min="11256" max="11256" width="13.85546875" style="1953" customWidth="1"/>
    <col min="11257" max="11257" width="13.140625" style="1953" bestFit="1" customWidth="1"/>
    <col min="11258" max="11258" width="12.28515625" style="1953" customWidth="1"/>
    <col min="11259" max="11259" width="13.42578125" style="1953" customWidth="1"/>
    <col min="11260" max="11260" width="3.85546875" style="1953" customWidth="1"/>
    <col min="11261" max="11261" width="13.28515625" style="1953" bestFit="1" customWidth="1"/>
    <col min="11262" max="11262" width="12.42578125" style="1953" bestFit="1" customWidth="1"/>
    <col min="11263" max="11506" width="16.7109375" style="1953"/>
    <col min="11507" max="11507" width="50.140625" style="1953" customWidth="1"/>
    <col min="11508" max="11508" width="9.85546875" style="1953" customWidth="1"/>
    <col min="11509" max="11509" width="13" style="1953" customWidth="1"/>
    <col min="11510" max="11510" width="4.28515625" style="1953" customWidth="1"/>
    <col min="11511" max="11511" width="12.85546875" style="1953" customWidth="1"/>
    <col min="11512" max="11512" width="13.85546875" style="1953" customWidth="1"/>
    <col min="11513" max="11513" width="13.140625" style="1953" bestFit="1" customWidth="1"/>
    <col min="11514" max="11514" width="12.28515625" style="1953" customWidth="1"/>
    <col min="11515" max="11515" width="13.42578125" style="1953" customWidth="1"/>
    <col min="11516" max="11516" width="3.85546875" style="1953" customWidth="1"/>
    <col min="11517" max="11517" width="13.28515625" style="1953" bestFit="1" customWidth="1"/>
    <col min="11518" max="11518" width="12.42578125" style="1953" bestFit="1" customWidth="1"/>
    <col min="11519" max="11762" width="16.7109375" style="1953"/>
    <col min="11763" max="11763" width="50.140625" style="1953" customWidth="1"/>
    <col min="11764" max="11764" width="9.85546875" style="1953" customWidth="1"/>
    <col min="11765" max="11765" width="13" style="1953" customWidth="1"/>
    <col min="11766" max="11766" width="4.28515625" style="1953" customWidth="1"/>
    <col min="11767" max="11767" width="12.85546875" style="1953" customWidth="1"/>
    <col min="11768" max="11768" width="13.85546875" style="1953" customWidth="1"/>
    <col min="11769" max="11769" width="13.140625" style="1953" bestFit="1" customWidth="1"/>
    <col min="11770" max="11770" width="12.28515625" style="1953" customWidth="1"/>
    <col min="11771" max="11771" width="13.42578125" style="1953" customWidth="1"/>
    <col min="11772" max="11772" width="3.85546875" style="1953" customWidth="1"/>
    <col min="11773" max="11773" width="13.28515625" style="1953" bestFit="1" customWidth="1"/>
    <col min="11774" max="11774" width="12.42578125" style="1953" bestFit="1" customWidth="1"/>
    <col min="11775" max="12018" width="16.7109375" style="1953"/>
    <col min="12019" max="12019" width="50.140625" style="1953" customWidth="1"/>
    <col min="12020" max="12020" width="9.85546875" style="1953" customWidth="1"/>
    <col min="12021" max="12021" width="13" style="1953" customWidth="1"/>
    <col min="12022" max="12022" width="4.28515625" style="1953" customWidth="1"/>
    <col min="12023" max="12023" width="12.85546875" style="1953" customWidth="1"/>
    <col min="12024" max="12024" width="13.85546875" style="1953" customWidth="1"/>
    <col min="12025" max="12025" width="13.140625" style="1953" bestFit="1" customWidth="1"/>
    <col min="12026" max="12026" width="12.28515625" style="1953" customWidth="1"/>
    <col min="12027" max="12027" width="13.42578125" style="1953" customWidth="1"/>
    <col min="12028" max="12028" width="3.85546875" style="1953" customWidth="1"/>
    <col min="12029" max="12029" width="13.28515625" style="1953" bestFit="1" customWidth="1"/>
    <col min="12030" max="12030" width="12.42578125" style="1953" bestFit="1" customWidth="1"/>
    <col min="12031" max="12274" width="16.7109375" style="1953"/>
    <col min="12275" max="12275" width="50.140625" style="1953" customWidth="1"/>
    <col min="12276" max="12276" width="9.85546875" style="1953" customWidth="1"/>
    <col min="12277" max="12277" width="13" style="1953" customWidth="1"/>
    <col min="12278" max="12278" width="4.28515625" style="1953" customWidth="1"/>
    <col min="12279" max="12279" width="12.85546875" style="1953" customWidth="1"/>
    <col min="12280" max="12280" width="13.85546875" style="1953" customWidth="1"/>
    <col min="12281" max="12281" width="13.140625" style="1953" bestFit="1" customWidth="1"/>
    <col min="12282" max="12282" width="12.28515625" style="1953" customWidth="1"/>
    <col min="12283" max="12283" width="13.42578125" style="1953" customWidth="1"/>
    <col min="12284" max="12284" width="3.85546875" style="1953" customWidth="1"/>
    <col min="12285" max="12285" width="13.28515625" style="1953" bestFit="1" customWidth="1"/>
    <col min="12286" max="12286" width="12.42578125" style="1953" bestFit="1" customWidth="1"/>
    <col min="12287" max="12530" width="16.7109375" style="1953"/>
    <col min="12531" max="12531" width="50.140625" style="1953" customWidth="1"/>
    <col min="12532" max="12532" width="9.85546875" style="1953" customWidth="1"/>
    <col min="12533" max="12533" width="13" style="1953" customWidth="1"/>
    <col min="12534" max="12534" width="4.28515625" style="1953" customWidth="1"/>
    <col min="12535" max="12535" width="12.85546875" style="1953" customWidth="1"/>
    <col min="12536" max="12536" width="13.85546875" style="1953" customWidth="1"/>
    <col min="12537" max="12537" width="13.140625" style="1953" bestFit="1" customWidth="1"/>
    <col min="12538" max="12538" width="12.28515625" style="1953" customWidth="1"/>
    <col min="12539" max="12539" width="13.42578125" style="1953" customWidth="1"/>
    <col min="12540" max="12540" width="3.85546875" style="1953" customWidth="1"/>
    <col min="12541" max="12541" width="13.28515625" style="1953" bestFit="1" customWidth="1"/>
    <col min="12542" max="12542" width="12.42578125" style="1953" bestFit="1" customWidth="1"/>
    <col min="12543" max="12786" width="16.7109375" style="1953"/>
    <col min="12787" max="12787" width="50.140625" style="1953" customWidth="1"/>
    <col min="12788" max="12788" width="9.85546875" style="1953" customWidth="1"/>
    <col min="12789" max="12789" width="13" style="1953" customWidth="1"/>
    <col min="12790" max="12790" width="4.28515625" style="1953" customWidth="1"/>
    <col min="12791" max="12791" width="12.85546875" style="1953" customWidth="1"/>
    <col min="12792" max="12792" width="13.85546875" style="1953" customWidth="1"/>
    <col min="12793" max="12793" width="13.140625" style="1953" bestFit="1" customWidth="1"/>
    <col min="12794" max="12794" width="12.28515625" style="1953" customWidth="1"/>
    <col min="12795" max="12795" width="13.42578125" style="1953" customWidth="1"/>
    <col min="12796" max="12796" width="3.85546875" style="1953" customWidth="1"/>
    <col min="12797" max="12797" width="13.28515625" style="1953" bestFit="1" customWidth="1"/>
    <col min="12798" max="12798" width="12.42578125" style="1953" bestFit="1" customWidth="1"/>
    <col min="12799" max="13042" width="16.7109375" style="1953"/>
    <col min="13043" max="13043" width="50.140625" style="1953" customWidth="1"/>
    <col min="13044" max="13044" width="9.85546875" style="1953" customWidth="1"/>
    <col min="13045" max="13045" width="13" style="1953" customWidth="1"/>
    <col min="13046" max="13046" width="4.28515625" style="1953" customWidth="1"/>
    <col min="13047" max="13047" width="12.85546875" style="1953" customWidth="1"/>
    <col min="13048" max="13048" width="13.85546875" style="1953" customWidth="1"/>
    <col min="13049" max="13049" width="13.140625" style="1953" bestFit="1" customWidth="1"/>
    <col min="13050" max="13050" width="12.28515625" style="1953" customWidth="1"/>
    <col min="13051" max="13051" width="13.42578125" style="1953" customWidth="1"/>
    <col min="13052" max="13052" width="3.85546875" style="1953" customWidth="1"/>
    <col min="13053" max="13053" width="13.28515625" style="1953" bestFit="1" customWidth="1"/>
    <col min="13054" max="13054" width="12.42578125" style="1953" bestFit="1" customWidth="1"/>
    <col min="13055" max="13298" width="16.7109375" style="1953"/>
    <col min="13299" max="13299" width="50.140625" style="1953" customWidth="1"/>
    <col min="13300" max="13300" width="9.85546875" style="1953" customWidth="1"/>
    <col min="13301" max="13301" width="13" style="1953" customWidth="1"/>
    <col min="13302" max="13302" width="4.28515625" style="1953" customWidth="1"/>
    <col min="13303" max="13303" width="12.85546875" style="1953" customWidth="1"/>
    <col min="13304" max="13304" width="13.85546875" style="1953" customWidth="1"/>
    <col min="13305" max="13305" width="13.140625" style="1953" bestFit="1" customWidth="1"/>
    <col min="13306" max="13306" width="12.28515625" style="1953" customWidth="1"/>
    <col min="13307" max="13307" width="13.42578125" style="1953" customWidth="1"/>
    <col min="13308" max="13308" width="3.85546875" style="1953" customWidth="1"/>
    <col min="13309" max="13309" width="13.28515625" style="1953" bestFit="1" customWidth="1"/>
    <col min="13310" max="13310" width="12.42578125" style="1953" bestFit="1" customWidth="1"/>
    <col min="13311" max="13554" width="16.7109375" style="1953"/>
    <col min="13555" max="13555" width="50.140625" style="1953" customWidth="1"/>
    <col min="13556" max="13556" width="9.85546875" style="1953" customWidth="1"/>
    <col min="13557" max="13557" width="13" style="1953" customWidth="1"/>
    <col min="13558" max="13558" width="4.28515625" style="1953" customWidth="1"/>
    <col min="13559" max="13559" width="12.85546875" style="1953" customWidth="1"/>
    <col min="13560" max="13560" width="13.85546875" style="1953" customWidth="1"/>
    <col min="13561" max="13561" width="13.140625" style="1953" bestFit="1" customWidth="1"/>
    <col min="13562" max="13562" width="12.28515625" style="1953" customWidth="1"/>
    <col min="13563" max="13563" width="13.42578125" style="1953" customWidth="1"/>
    <col min="13564" max="13564" width="3.85546875" style="1953" customWidth="1"/>
    <col min="13565" max="13565" width="13.28515625" style="1953" bestFit="1" customWidth="1"/>
    <col min="13566" max="13566" width="12.42578125" style="1953" bestFit="1" customWidth="1"/>
    <col min="13567" max="13810" width="16.7109375" style="1953"/>
    <col min="13811" max="13811" width="50.140625" style="1953" customWidth="1"/>
    <col min="13812" max="13812" width="9.85546875" style="1953" customWidth="1"/>
    <col min="13813" max="13813" width="13" style="1953" customWidth="1"/>
    <col min="13814" max="13814" width="4.28515625" style="1953" customWidth="1"/>
    <col min="13815" max="13815" width="12.85546875" style="1953" customWidth="1"/>
    <col min="13816" max="13816" width="13.85546875" style="1953" customWidth="1"/>
    <col min="13817" max="13817" width="13.140625" style="1953" bestFit="1" customWidth="1"/>
    <col min="13818" max="13818" width="12.28515625" style="1953" customWidth="1"/>
    <col min="13819" max="13819" width="13.42578125" style="1953" customWidth="1"/>
    <col min="13820" max="13820" width="3.85546875" style="1953" customWidth="1"/>
    <col min="13821" max="13821" width="13.28515625" style="1953" bestFit="1" customWidth="1"/>
    <col min="13822" max="13822" width="12.42578125" style="1953" bestFit="1" customWidth="1"/>
    <col min="13823" max="14066" width="16.7109375" style="1953"/>
    <col min="14067" max="14067" width="50.140625" style="1953" customWidth="1"/>
    <col min="14068" max="14068" width="9.85546875" style="1953" customWidth="1"/>
    <col min="14069" max="14069" width="13" style="1953" customWidth="1"/>
    <col min="14070" max="14070" width="4.28515625" style="1953" customWidth="1"/>
    <col min="14071" max="14071" width="12.85546875" style="1953" customWidth="1"/>
    <col min="14072" max="14072" width="13.85546875" style="1953" customWidth="1"/>
    <col min="14073" max="14073" width="13.140625" style="1953" bestFit="1" customWidth="1"/>
    <col min="14074" max="14074" width="12.28515625" style="1953" customWidth="1"/>
    <col min="14075" max="14075" width="13.42578125" style="1953" customWidth="1"/>
    <col min="14076" max="14076" width="3.85546875" style="1953" customWidth="1"/>
    <col min="14077" max="14077" width="13.28515625" style="1953" bestFit="1" customWidth="1"/>
    <col min="14078" max="14078" width="12.42578125" style="1953" bestFit="1" customWidth="1"/>
    <col min="14079" max="14322" width="16.7109375" style="1953"/>
    <col min="14323" max="14323" width="50.140625" style="1953" customWidth="1"/>
    <col min="14324" max="14324" width="9.85546875" style="1953" customWidth="1"/>
    <col min="14325" max="14325" width="13" style="1953" customWidth="1"/>
    <col min="14326" max="14326" width="4.28515625" style="1953" customWidth="1"/>
    <col min="14327" max="14327" width="12.85546875" style="1953" customWidth="1"/>
    <col min="14328" max="14328" width="13.85546875" style="1953" customWidth="1"/>
    <col min="14329" max="14329" width="13.140625" style="1953" bestFit="1" customWidth="1"/>
    <col min="14330" max="14330" width="12.28515625" style="1953" customWidth="1"/>
    <col min="14331" max="14331" width="13.42578125" style="1953" customWidth="1"/>
    <col min="14332" max="14332" width="3.85546875" style="1953" customWidth="1"/>
    <col min="14333" max="14333" width="13.28515625" style="1953" bestFit="1" customWidth="1"/>
    <col min="14334" max="14334" width="12.42578125" style="1953" bestFit="1" customWidth="1"/>
    <col min="14335" max="14578" width="16.7109375" style="1953"/>
    <col min="14579" max="14579" width="50.140625" style="1953" customWidth="1"/>
    <col min="14580" max="14580" width="9.85546875" style="1953" customWidth="1"/>
    <col min="14581" max="14581" width="13" style="1953" customWidth="1"/>
    <col min="14582" max="14582" width="4.28515625" style="1953" customWidth="1"/>
    <col min="14583" max="14583" width="12.85546875" style="1953" customWidth="1"/>
    <col min="14584" max="14584" width="13.85546875" style="1953" customWidth="1"/>
    <col min="14585" max="14585" width="13.140625" style="1953" bestFit="1" customWidth="1"/>
    <col min="14586" max="14586" width="12.28515625" style="1953" customWidth="1"/>
    <col min="14587" max="14587" width="13.42578125" style="1953" customWidth="1"/>
    <col min="14588" max="14588" width="3.85546875" style="1953" customWidth="1"/>
    <col min="14589" max="14589" width="13.28515625" style="1953" bestFit="1" customWidth="1"/>
    <col min="14590" max="14590" width="12.42578125" style="1953" bestFit="1" customWidth="1"/>
    <col min="14591" max="14834" width="16.7109375" style="1953"/>
    <col min="14835" max="14835" width="50.140625" style="1953" customWidth="1"/>
    <col min="14836" max="14836" width="9.85546875" style="1953" customWidth="1"/>
    <col min="14837" max="14837" width="13" style="1953" customWidth="1"/>
    <col min="14838" max="14838" width="4.28515625" style="1953" customWidth="1"/>
    <col min="14839" max="14839" width="12.85546875" style="1953" customWidth="1"/>
    <col min="14840" max="14840" width="13.85546875" style="1953" customWidth="1"/>
    <col min="14841" max="14841" width="13.140625" style="1953" bestFit="1" customWidth="1"/>
    <col min="14842" max="14842" width="12.28515625" style="1953" customWidth="1"/>
    <col min="14843" max="14843" width="13.42578125" style="1953" customWidth="1"/>
    <col min="14844" max="14844" width="3.85546875" style="1953" customWidth="1"/>
    <col min="14845" max="14845" width="13.28515625" style="1953" bestFit="1" customWidth="1"/>
    <col min="14846" max="14846" width="12.42578125" style="1953" bestFit="1" customWidth="1"/>
    <col min="14847" max="15090" width="16.7109375" style="1953"/>
    <col min="15091" max="15091" width="50.140625" style="1953" customWidth="1"/>
    <col min="15092" max="15092" width="9.85546875" style="1953" customWidth="1"/>
    <col min="15093" max="15093" width="13" style="1953" customWidth="1"/>
    <col min="15094" max="15094" width="4.28515625" style="1953" customWidth="1"/>
    <col min="15095" max="15095" width="12.85546875" style="1953" customWidth="1"/>
    <col min="15096" max="15096" width="13.85546875" style="1953" customWidth="1"/>
    <col min="15097" max="15097" width="13.140625" style="1953" bestFit="1" customWidth="1"/>
    <col min="15098" max="15098" width="12.28515625" style="1953" customWidth="1"/>
    <col min="15099" max="15099" width="13.42578125" style="1953" customWidth="1"/>
    <col min="15100" max="15100" width="3.85546875" style="1953" customWidth="1"/>
    <col min="15101" max="15101" width="13.28515625" style="1953" bestFit="1" customWidth="1"/>
    <col min="15102" max="15102" width="12.42578125" style="1953" bestFit="1" customWidth="1"/>
    <col min="15103" max="15346" width="16.7109375" style="1953"/>
    <col min="15347" max="15347" width="50.140625" style="1953" customWidth="1"/>
    <col min="15348" max="15348" width="9.85546875" style="1953" customWidth="1"/>
    <col min="15349" max="15349" width="13" style="1953" customWidth="1"/>
    <col min="15350" max="15350" width="4.28515625" style="1953" customWidth="1"/>
    <col min="15351" max="15351" width="12.85546875" style="1953" customWidth="1"/>
    <col min="15352" max="15352" width="13.85546875" style="1953" customWidth="1"/>
    <col min="15353" max="15353" width="13.140625" style="1953" bestFit="1" customWidth="1"/>
    <col min="15354" max="15354" width="12.28515625" style="1953" customWidth="1"/>
    <col min="15355" max="15355" width="13.42578125" style="1953" customWidth="1"/>
    <col min="15356" max="15356" width="3.85546875" style="1953" customWidth="1"/>
    <col min="15357" max="15357" width="13.28515625" style="1953" bestFit="1" customWidth="1"/>
    <col min="15358" max="15358" width="12.42578125" style="1953" bestFit="1" customWidth="1"/>
    <col min="15359" max="15602" width="16.7109375" style="1953"/>
    <col min="15603" max="15603" width="50.140625" style="1953" customWidth="1"/>
    <col min="15604" max="15604" width="9.85546875" style="1953" customWidth="1"/>
    <col min="15605" max="15605" width="13" style="1953" customWidth="1"/>
    <col min="15606" max="15606" width="4.28515625" style="1953" customWidth="1"/>
    <col min="15607" max="15607" width="12.85546875" style="1953" customWidth="1"/>
    <col min="15608" max="15608" width="13.85546875" style="1953" customWidth="1"/>
    <col min="15609" max="15609" width="13.140625" style="1953" bestFit="1" customWidth="1"/>
    <col min="15610" max="15610" width="12.28515625" style="1953" customWidth="1"/>
    <col min="15611" max="15611" width="13.42578125" style="1953" customWidth="1"/>
    <col min="15612" max="15612" width="3.85546875" style="1953" customWidth="1"/>
    <col min="15613" max="15613" width="13.28515625" style="1953" bestFit="1" customWidth="1"/>
    <col min="15614" max="15614" width="12.42578125" style="1953" bestFit="1" customWidth="1"/>
    <col min="15615" max="15858" width="16.7109375" style="1953"/>
    <col min="15859" max="15859" width="50.140625" style="1953" customWidth="1"/>
    <col min="15860" max="15860" width="9.85546875" style="1953" customWidth="1"/>
    <col min="15861" max="15861" width="13" style="1953" customWidth="1"/>
    <col min="15862" max="15862" width="4.28515625" style="1953" customWidth="1"/>
    <col min="15863" max="15863" width="12.85546875" style="1953" customWidth="1"/>
    <col min="15864" max="15864" width="13.85546875" style="1953" customWidth="1"/>
    <col min="15865" max="15865" width="13.140625" style="1953" bestFit="1" customWidth="1"/>
    <col min="15866" max="15866" width="12.28515625" style="1953" customWidth="1"/>
    <col min="15867" max="15867" width="13.42578125" style="1953" customWidth="1"/>
    <col min="15868" max="15868" width="3.85546875" style="1953" customWidth="1"/>
    <col min="15869" max="15869" width="13.28515625" style="1953" bestFit="1" customWidth="1"/>
    <col min="15870" max="15870" width="12.42578125" style="1953" bestFit="1" customWidth="1"/>
    <col min="15871" max="16114" width="16.7109375" style="1953"/>
    <col min="16115" max="16115" width="50.140625" style="1953" customWidth="1"/>
    <col min="16116" max="16116" width="9.85546875" style="1953" customWidth="1"/>
    <col min="16117" max="16117" width="13" style="1953" customWidth="1"/>
    <col min="16118" max="16118" width="4.28515625" style="1953" customWidth="1"/>
    <col min="16119" max="16119" width="12.85546875" style="1953" customWidth="1"/>
    <col min="16120" max="16120" width="13.85546875" style="1953" customWidth="1"/>
    <col min="16121" max="16121" width="13.140625" style="1953" bestFit="1" customWidth="1"/>
    <col min="16122" max="16122" width="12.28515625" style="1953" customWidth="1"/>
    <col min="16123" max="16123" width="13.42578125" style="1953" customWidth="1"/>
    <col min="16124" max="16124" width="3.85546875" style="1953" customWidth="1"/>
    <col min="16125" max="16125" width="13.28515625" style="1953" bestFit="1" customWidth="1"/>
    <col min="16126" max="16126" width="12.42578125" style="1953" bestFit="1" customWidth="1"/>
    <col min="16127" max="16384" width="16.7109375" style="1953"/>
  </cols>
  <sheetData>
    <row r="1" spans="1:12" ht="15.75" x14ac:dyDescent="0.2">
      <c r="A1" s="2568" t="s">
        <v>2107</v>
      </c>
      <c r="B1" s="2568"/>
      <c r="C1" s="2568"/>
      <c r="D1" s="2568"/>
      <c r="E1" s="2568"/>
      <c r="F1" s="2568"/>
      <c r="G1" s="2568"/>
      <c r="H1" s="2568"/>
      <c r="I1" s="2568"/>
      <c r="J1" s="2568"/>
      <c r="K1" s="2568"/>
      <c r="L1" s="2568"/>
    </row>
    <row r="2" spans="1:12" ht="17.25" customHeight="1" x14ac:dyDescent="0.2">
      <c r="A2" s="2569" t="s">
        <v>2081</v>
      </c>
      <c r="B2" s="2569"/>
      <c r="C2" s="2569"/>
      <c r="D2" s="2569"/>
      <c r="E2" s="2569"/>
      <c r="F2" s="2569"/>
      <c r="G2" s="2569"/>
      <c r="H2" s="2569"/>
      <c r="I2" s="2569"/>
      <c r="J2" s="2569"/>
      <c r="K2" s="2569"/>
      <c r="L2" s="2569"/>
    </row>
    <row r="3" spans="1:12" ht="17.25" customHeight="1" x14ac:dyDescent="0.2">
      <c r="A3" s="2569" t="s">
        <v>2108</v>
      </c>
      <c r="B3" s="2569"/>
      <c r="C3" s="2569"/>
      <c r="D3" s="2569"/>
      <c r="E3" s="2569"/>
      <c r="F3" s="2569"/>
      <c r="G3" s="2569"/>
      <c r="H3" s="2569"/>
      <c r="I3" s="2569"/>
      <c r="J3" s="2569"/>
      <c r="K3" s="2569"/>
      <c r="L3" s="2569"/>
    </row>
    <row r="4" spans="1:12" ht="14.25" x14ac:dyDescent="0.2">
      <c r="A4" s="2570" t="s">
        <v>2109</v>
      </c>
      <c r="B4" s="2570"/>
      <c r="C4" s="2570"/>
      <c r="D4" s="2570"/>
      <c r="E4" s="2570"/>
      <c r="F4" s="2570"/>
      <c r="G4" s="2570"/>
      <c r="H4" s="2570"/>
      <c r="I4" s="2570"/>
      <c r="J4" s="2570"/>
      <c r="K4" s="2570"/>
      <c r="L4" s="2570"/>
    </row>
    <row r="5" spans="1:12" ht="12.75" x14ac:dyDescent="0.2">
      <c r="A5" s="1954"/>
      <c r="B5" s="1954"/>
      <c r="C5" s="1954"/>
      <c r="D5" s="1954"/>
      <c r="E5" s="1955"/>
      <c r="F5" s="1956"/>
      <c r="G5" s="1955"/>
      <c r="H5" s="1957"/>
      <c r="I5" s="1957"/>
      <c r="J5" s="1958"/>
      <c r="K5" s="1957"/>
      <c r="L5" s="1957"/>
    </row>
    <row r="6" spans="1:12" s="1965" customFormat="1" ht="15" x14ac:dyDescent="0.2">
      <c r="A6" s="1959"/>
      <c r="B6" s="1960"/>
      <c r="C6" s="1960"/>
      <c r="D6" s="1960"/>
      <c r="E6" s="1961"/>
      <c r="F6" s="1961"/>
      <c r="G6" s="1961"/>
      <c r="H6" s="1962"/>
      <c r="I6" s="1962"/>
      <c r="J6" s="1963"/>
      <c r="K6" s="1962"/>
      <c r="L6" s="1962"/>
    </row>
    <row r="7" spans="1:12" s="1965" customFormat="1" ht="17.25" x14ac:dyDescent="0.2">
      <c r="A7" s="1959"/>
      <c r="B7" s="1962"/>
      <c r="C7" s="1963" t="s">
        <v>2110</v>
      </c>
      <c r="D7" s="1963"/>
      <c r="E7" s="2571" t="s">
        <v>547</v>
      </c>
      <c r="F7" s="2571"/>
      <c r="G7" s="2571" t="s">
        <v>2111</v>
      </c>
      <c r="H7" s="2571"/>
      <c r="I7" s="1962"/>
      <c r="J7" s="1963"/>
      <c r="K7" s="1962"/>
      <c r="L7" s="1962"/>
    </row>
    <row r="8" spans="1:12" s="1965" customFormat="1" ht="15" x14ac:dyDescent="0.2">
      <c r="A8" s="1966"/>
      <c r="B8" s="1967" t="s">
        <v>1325</v>
      </c>
      <c r="C8" s="1967" t="s">
        <v>2112</v>
      </c>
      <c r="D8" s="1967"/>
      <c r="E8" s="1967" t="s">
        <v>2113</v>
      </c>
      <c r="F8" s="1968" t="s">
        <v>2114</v>
      </c>
      <c r="G8" s="1967" t="s">
        <v>2115</v>
      </c>
      <c r="H8" s="1968" t="str">
        <f>+F8</f>
        <v>7/01/17</v>
      </c>
      <c r="I8" s="1967" t="s">
        <v>1322</v>
      </c>
      <c r="J8" s="1967"/>
      <c r="K8" s="1967" t="s">
        <v>2116</v>
      </c>
      <c r="L8" s="1966" t="s">
        <v>1230</v>
      </c>
    </row>
    <row r="9" spans="1:12" s="1965" customFormat="1" ht="15" x14ac:dyDescent="0.2">
      <c r="A9" s="1966" t="s">
        <v>2117</v>
      </c>
      <c r="B9" s="1967" t="s">
        <v>2118</v>
      </c>
      <c r="C9" s="1967" t="s">
        <v>2118</v>
      </c>
      <c r="D9" s="1967"/>
      <c r="E9" s="1969">
        <v>42916</v>
      </c>
      <c r="F9" s="1969">
        <v>43281</v>
      </c>
      <c r="G9" s="1969">
        <f>+E9</f>
        <v>42916</v>
      </c>
      <c r="H9" s="1969">
        <f>+F9</f>
        <v>43281</v>
      </c>
      <c r="I9" s="1967" t="s">
        <v>2119</v>
      </c>
      <c r="J9" s="1967"/>
      <c r="K9" s="1967" t="s">
        <v>1318</v>
      </c>
      <c r="L9" s="1967" t="s">
        <v>30</v>
      </c>
    </row>
    <row r="10" spans="1:12" s="1965" customFormat="1" ht="17.25" x14ac:dyDescent="0.2">
      <c r="A10" s="1970" t="s">
        <v>2120</v>
      </c>
      <c r="B10" s="1971" t="s">
        <v>1316</v>
      </c>
      <c r="C10" s="1971" t="s">
        <v>1315</v>
      </c>
      <c r="D10" s="1971"/>
      <c r="E10" s="1971" t="s">
        <v>1314</v>
      </c>
      <c r="F10" s="1971" t="s">
        <v>1313</v>
      </c>
      <c r="G10" s="1971" t="s">
        <v>1312</v>
      </c>
      <c r="H10" s="1971" t="s">
        <v>1311</v>
      </c>
      <c r="I10" s="1971" t="s">
        <v>1310</v>
      </c>
      <c r="J10" s="1972"/>
      <c r="K10" s="1971" t="s">
        <v>1309</v>
      </c>
      <c r="L10" s="1971" t="s">
        <v>1308</v>
      </c>
    </row>
    <row r="11" spans="1:12" s="1965" customFormat="1" ht="15" x14ac:dyDescent="0.25">
      <c r="A11" s="1973"/>
      <c r="B11" s="1974"/>
      <c r="C11" s="1974"/>
      <c r="D11" s="1974"/>
      <c r="E11" s="1975"/>
      <c r="F11" s="1975"/>
      <c r="G11" s="1975"/>
      <c r="H11" s="1976"/>
      <c r="I11" s="1975"/>
      <c r="J11" s="1977"/>
      <c r="K11" s="1975"/>
      <c r="L11" s="1975"/>
    </row>
    <row r="12" spans="1:12" s="1965" customFormat="1" ht="15" x14ac:dyDescent="0.25">
      <c r="A12" s="1979" t="s">
        <v>2121</v>
      </c>
      <c r="B12" s="1974"/>
      <c r="C12" s="1974"/>
      <c r="D12" s="1974"/>
      <c r="E12" s="1975"/>
      <c r="F12" s="1975"/>
      <c r="G12" s="1975"/>
      <c r="H12" s="1975"/>
      <c r="I12" s="1975"/>
      <c r="J12" s="1977"/>
      <c r="K12" s="1975"/>
      <c r="L12" s="1975"/>
    </row>
    <row r="13" spans="1:12" s="1965" customFormat="1" ht="15" x14ac:dyDescent="0.25">
      <c r="A13" s="1980" t="s">
        <v>2122</v>
      </c>
      <c r="B13" s="1974"/>
      <c r="C13" s="1974"/>
      <c r="D13" s="1974"/>
      <c r="E13" s="1975"/>
      <c r="F13" s="1975"/>
      <c r="G13" s="1975"/>
      <c r="H13" s="1975"/>
      <c r="I13" s="1975"/>
      <c r="J13" s="1977"/>
      <c r="K13" s="1975"/>
      <c r="L13" s="1975"/>
    </row>
    <row r="14" spans="1:12" s="1965" customFormat="1" ht="15" x14ac:dyDescent="0.25">
      <c r="A14" s="1980" t="s">
        <v>2123</v>
      </c>
      <c r="B14" s="1974"/>
      <c r="C14" s="1974"/>
      <c r="D14" s="1974"/>
      <c r="E14" s="1975"/>
      <c r="F14" s="1975"/>
      <c r="G14" s="1975"/>
      <c r="H14" s="1975"/>
      <c r="I14" s="1975"/>
      <c r="J14" s="1977"/>
      <c r="K14" s="1975"/>
      <c r="L14" s="1975"/>
    </row>
    <row r="15" spans="1:12" s="1965" customFormat="1" ht="15" x14ac:dyDescent="0.25">
      <c r="A15" s="1973"/>
      <c r="B15" s="1973"/>
      <c r="C15" s="1973"/>
      <c r="D15" s="1973"/>
      <c r="E15" s="1978"/>
      <c r="F15" s="1978"/>
      <c r="G15" s="1978"/>
      <c r="H15" s="1978"/>
      <c r="I15" s="1973"/>
      <c r="J15" s="1981"/>
      <c r="K15" s="1973"/>
      <c r="L15" s="1982"/>
    </row>
    <row r="16" spans="1:12" s="1965" customFormat="1" ht="15" x14ac:dyDescent="0.25">
      <c r="A16" s="1983" t="s">
        <v>2124</v>
      </c>
      <c r="B16" s="1984">
        <v>10.555</v>
      </c>
      <c r="C16" s="1985" t="s">
        <v>2125</v>
      </c>
      <c r="D16" s="1985"/>
      <c r="E16" s="1986">
        <v>253415</v>
      </c>
      <c r="F16" s="1986">
        <v>59350</v>
      </c>
      <c r="G16" s="1986">
        <v>253415</v>
      </c>
      <c r="H16" s="1986">
        <v>59350</v>
      </c>
      <c r="I16" s="1986"/>
      <c r="J16" s="1985"/>
      <c r="K16" s="1987">
        <f>G16+H16+I16</f>
        <v>312765</v>
      </c>
      <c r="L16" s="1988" t="s">
        <v>2126</v>
      </c>
    </row>
    <row r="17" spans="1:12" s="1965" customFormat="1" ht="15" x14ac:dyDescent="0.25">
      <c r="A17" s="1983" t="s">
        <v>2127</v>
      </c>
      <c r="B17" s="1984">
        <v>10.555</v>
      </c>
      <c r="C17" s="1985" t="s">
        <v>2128</v>
      </c>
      <c r="D17" s="1985"/>
      <c r="E17" s="1986"/>
      <c r="F17" s="1986">
        <v>278393</v>
      </c>
      <c r="G17" s="1986"/>
      <c r="H17" s="1986">
        <v>278393</v>
      </c>
      <c r="I17" s="1986"/>
      <c r="J17" s="1985">
        <v>-3</v>
      </c>
      <c r="K17" s="1987">
        <f>G17+H17+I17</f>
        <v>278393</v>
      </c>
      <c r="L17" s="1988" t="s">
        <v>2126</v>
      </c>
    </row>
    <row r="18" spans="1:12" s="1965" customFormat="1" ht="15" x14ac:dyDescent="0.25">
      <c r="A18" s="1983"/>
      <c r="B18" s="1984"/>
      <c r="C18" s="1985"/>
      <c r="D18" s="1985"/>
      <c r="E18" s="1986"/>
      <c r="F18" s="1986"/>
      <c r="G18" s="1986"/>
      <c r="H18" s="1986"/>
      <c r="I18" s="1978"/>
      <c r="J18" s="1989"/>
      <c r="K18" s="1987"/>
      <c r="L18" s="1988"/>
    </row>
    <row r="19" spans="1:12" s="1965" customFormat="1" ht="15" hidden="1" x14ac:dyDescent="0.25">
      <c r="A19" s="1983" t="s">
        <v>1118</v>
      </c>
      <c r="B19" s="1984">
        <v>10.553000000000001</v>
      </c>
      <c r="C19" s="1985" t="s">
        <v>2129</v>
      </c>
      <c r="D19" s="1985"/>
      <c r="E19" s="1986"/>
      <c r="F19" s="1990"/>
      <c r="G19" s="1986"/>
      <c r="H19" s="1986"/>
      <c r="I19" s="1986"/>
      <c r="J19" s="1985"/>
      <c r="K19" s="1987">
        <f>G19+H19+I19</f>
        <v>0</v>
      </c>
      <c r="L19" s="1988" t="s">
        <v>2126</v>
      </c>
    </row>
    <row r="20" spans="1:12" s="1965" customFormat="1" ht="15" hidden="1" x14ac:dyDescent="0.25">
      <c r="A20" s="1983" t="s">
        <v>1118</v>
      </c>
      <c r="B20" s="1984">
        <v>10.553000000000001</v>
      </c>
      <c r="C20" s="1985" t="s">
        <v>2130</v>
      </c>
      <c r="D20" s="1985"/>
      <c r="E20" s="1986"/>
      <c r="F20" s="1990"/>
      <c r="G20" s="1986"/>
      <c r="H20" s="1986"/>
      <c r="I20" s="1986"/>
      <c r="J20" s="1985">
        <v>-3</v>
      </c>
      <c r="K20" s="1987">
        <f>G20+H20+I20</f>
        <v>0</v>
      </c>
      <c r="L20" s="1988" t="s">
        <v>2126</v>
      </c>
    </row>
    <row r="21" spans="1:12" s="1965" customFormat="1" ht="15" hidden="1" x14ac:dyDescent="0.25">
      <c r="A21" s="1983"/>
      <c r="B21" s="1984"/>
      <c r="C21" s="1985"/>
      <c r="D21" s="1985"/>
      <c r="E21" s="1986"/>
      <c r="F21" s="1986"/>
      <c r="G21" s="1986"/>
      <c r="H21" s="1986"/>
      <c r="I21" s="1986"/>
      <c r="J21" s="1989"/>
      <c r="K21" s="1987"/>
      <c r="L21" s="1988"/>
    </row>
    <row r="22" spans="1:12" s="1965" customFormat="1" ht="15" hidden="1" x14ac:dyDescent="0.25">
      <c r="A22" s="1983" t="s">
        <v>2131</v>
      </c>
      <c r="B22" s="1984">
        <v>10.55</v>
      </c>
      <c r="C22" s="1985" t="s">
        <v>2132</v>
      </c>
      <c r="D22" s="1985"/>
      <c r="E22" s="1986">
        <v>0</v>
      </c>
      <c r="F22" s="1991">
        <v>0</v>
      </c>
      <c r="G22" s="1986"/>
      <c r="H22" s="1986"/>
      <c r="I22" s="1986"/>
      <c r="J22" s="1985"/>
      <c r="K22" s="1987">
        <f>G22+H22+I22</f>
        <v>0</v>
      </c>
      <c r="L22" s="1988" t="s">
        <v>2126</v>
      </c>
    </row>
    <row r="23" spans="1:12" s="1965" customFormat="1" ht="15" hidden="1" x14ac:dyDescent="0.25">
      <c r="A23" s="1983" t="s">
        <v>2131</v>
      </c>
      <c r="B23" s="1984">
        <v>10.55</v>
      </c>
      <c r="C23" s="1985" t="s">
        <v>2132</v>
      </c>
      <c r="D23" s="1985"/>
      <c r="E23" s="1991"/>
      <c r="F23" s="1991">
        <v>0</v>
      </c>
      <c r="G23" s="1986"/>
      <c r="H23" s="1986">
        <v>0</v>
      </c>
      <c r="I23" s="1986"/>
      <c r="J23" s="1985"/>
      <c r="K23" s="1987">
        <f>G23+H23+I23</f>
        <v>0</v>
      </c>
      <c r="L23" s="1988"/>
    </row>
    <row r="24" spans="1:12" s="1965" customFormat="1" ht="15" hidden="1" x14ac:dyDescent="0.25">
      <c r="A24" s="1992"/>
      <c r="B24" s="1984"/>
      <c r="C24" s="1985"/>
      <c r="D24" s="1985"/>
      <c r="E24" s="1986"/>
      <c r="F24" s="1986"/>
      <c r="G24" s="1986"/>
      <c r="H24" s="1986"/>
      <c r="I24" s="1986"/>
      <c r="J24" s="1989"/>
      <c r="K24" s="1987"/>
      <c r="L24" s="1988"/>
    </row>
    <row r="25" spans="1:12" s="1965" customFormat="1" ht="15" x14ac:dyDescent="0.25">
      <c r="A25" s="1983" t="s">
        <v>2133</v>
      </c>
      <c r="B25" s="1984"/>
      <c r="C25" s="1985"/>
      <c r="D25" s="1985"/>
      <c r="E25" s="1986"/>
      <c r="F25" s="1986"/>
      <c r="G25" s="1986"/>
      <c r="H25" s="1986"/>
      <c r="I25" s="1986"/>
      <c r="J25" s="1989"/>
      <c r="K25" s="1987"/>
      <c r="L25" s="1988"/>
    </row>
    <row r="26" spans="1:12" s="1965" customFormat="1" ht="15" x14ac:dyDescent="0.25">
      <c r="A26" s="1993" t="s">
        <v>2134</v>
      </c>
      <c r="B26" s="1984">
        <v>10.555</v>
      </c>
      <c r="C26" s="1985" t="s">
        <v>2135</v>
      </c>
      <c r="D26" s="1985"/>
      <c r="E26" s="1986"/>
      <c r="F26" s="1986"/>
      <c r="G26" s="1986">
        <v>41964</v>
      </c>
      <c r="H26" s="1986"/>
      <c r="I26" s="1986"/>
      <c r="J26" s="1994" t="s">
        <v>2136</v>
      </c>
      <c r="K26" s="1987">
        <f>G26+H26+I26</f>
        <v>41964</v>
      </c>
      <c r="L26" s="1988" t="s">
        <v>2126</v>
      </c>
    </row>
    <row r="27" spans="1:12" s="1965" customFormat="1" ht="15" x14ac:dyDescent="0.25">
      <c r="A27" s="1993" t="s">
        <v>2137</v>
      </c>
      <c r="B27" s="1984">
        <v>10.555</v>
      </c>
      <c r="C27" s="1985" t="s">
        <v>2138</v>
      </c>
      <c r="D27" s="1985"/>
      <c r="E27" s="1986">
        <v>0</v>
      </c>
      <c r="F27" s="1986">
        <v>0</v>
      </c>
      <c r="G27" s="1995"/>
      <c r="H27" s="1986">
        <v>42000</v>
      </c>
      <c r="I27" s="1986">
        <v>0</v>
      </c>
      <c r="J27" s="1994" t="s">
        <v>2136</v>
      </c>
      <c r="K27" s="1987">
        <f>G27+H27+I27</f>
        <v>42000</v>
      </c>
      <c r="L27" s="1988" t="s">
        <v>2126</v>
      </c>
    </row>
    <row r="28" spans="1:12" s="1965" customFormat="1" ht="15" x14ac:dyDescent="0.25">
      <c r="A28" s="1983"/>
      <c r="B28" s="1984"/>
      <c r="C28" s="1985"/>
      <c r="D28" s="1985"/>
      <c r="E28" s="1986"/>
      <c r="F28" s="1986"/>
      <c r="G28" s="1986"/>
      <c r="H28" s="1986"/>
      <c r="I28" s="1986"/>
      <c r="J28" s="1989"/>
      <c r="K28" s="1987"/>
      <c r="L28" s="1988"/>
    </row>
    <row r="29" spans="1:12" s="1965" customFormat="1" ht="15" x14ac:dyDescent="0.25">
      <c r="A29" s="1996" t="s">
        <v>2139</v>
      </c>
      <c r="B29" s="1997">
        <v>10.555</v>
      </c>
      <c r="C29" s="1985" t="s">
        <v>2135</v>
      </c>
      <c r="D29" s="1998"/>
      <c r="E29" s="1999">
        <v>0</v>
      </c>
      <c r="F29" s="1999">
        <v>0</v>
      </c>
      <c r="G29" s="1999">
        <v>108544</v>
      </c>
      <c r="H29" s="1999"/>
      <c r="I29" s="1999">
        <v>0</v>
      </c>
      <c r="J29" s="1994" t="s">
        <v>2136</v>
      </c>
      <c r="K29" s="1999">
        <f>G29+H29+I29</f>
        <v>108544</v>
      </c>
      <c r="L29" s="2000" t="s">
        <v>2126</v>
      </c>
    </row>
    <row r="30" spans="1:12" s="1965" customFormat="1" ht="17.25" x14ac:dyDescent="0.25">
      <c r="A30" s="1996" t="s">
        <v>2140</v>
      </c>
      <c r="B30" s="1997">
        <v>10.555</v>
      </c>
      <c r="C30" s="1998" t="s">
        <v>2138</v>
      </c>
      <c r="D30" s="1998"/>
      <c r="E30" s="2001">
        <v>0</v>
      </c>
      <c r="F30" s="2001">
        <v>0</v>
      </c>
      <c r="G30" s="2002">
        <v>0</v>
      </c>
      <c r="H30" s="2001">
        <v>83987</v>
      </c>
      <c r="I30" s="2001">
        <v>0</v>
      </c>
      <c r="J30" s="1994" t="s">
        <v>2136</v>
      </c>
      <c r="K30" s="2001">
        <f>G30+H30+I30</f>
        <v>83987</v>
      </c>
      <c r="L30" s="2000" t="s">
        <v>2126</v>
      </c>
    </row>
    <row r="31" spans="1:12" s="1965" customFormat="1" ht="17.25" x14ac:dyDescent="0.2">
      <c r="A31" s="2003" t="s">
        <v>2141</v>
      </c>
      <c r="B31" s="1997"/>
      <c r="C31" s="1967"/>
      <c r="D31" s="1967"/>
      <c r="E31" s="2001">
        <f>SUM(E16:E30)</f>
        <v>253415</v>
      </c>
      <c r="F31" s="2001">
        <f>SUM(F16:F30)</f>
        <v>337743</v>
      </c>
      <c r="G31" s="2001">
        <f>SUM(G16:G30)</f>
        <v>403923</v>
      </c>
      <c r="H31" s="2001">
        <f>SUM(H16:H30)</f>
        <v>463730</v>
      </c>
      <c r="I31" s="2004">
        <f>SUM(I16:I30)</f>
        <v>0</v>
      </c>
      <c r="J31" s="2004"/>
      <c r="K31" s="2004">
        <f>SUM(K16:K29)</f>
        <v>783666</v>
      </c>
      <c r="L31" s="2005"/>
    </row>
    <row r="32" spans="1:12" s="1965" customFormat="1" ht="15" x14ac:dyDescent="0.25">
      <c r="A32" s="1992"/>
      <c r="B32" s="1984"/>
      <c r="C32" s="1981"/>
      <c r="D32" s="1981"/>
      <c r="E32" s="1986"/>
      <c r="F32" s="1986"/>
      <c r="G32" s="1986"/>
      <c r="H32" s="1986"/>
      <c r="I32" s="2006"/>
      <c r="J32" s="2007"/>
      <c r="K32" s="2008"/>
      <c r="L32" s="2009"/>
    </row>
    <row r="33" spans="1:12" s="1965" customFormat="1" ht="15" x14ac:dyDescent="0.25">
      <c r="A33" s="1979" t="s">
        <v>2142</v>
      </c>
      <c r="B33" s="2010"/>
      <c r="C33" s="1981"/>
      <c r="D33" s="1981"/>
      <c r="E33" s="1986"/>
      <c r="F33" s="1986"/>
      <c r="G33" s="1986"/>
      <c r="H33" s="1986"/>
      <c r="I33" s="2006"/>
      <c r="J33" s="2007"/>
      <c r="K33" s="2008"/>
      <c r="L33" s="2009"/>
    </row>
    <row r="34" spans="1:12" s="1965" customFormat="1" ht="15" x14ac:dyDescent="0.25">
      <c r="A34" s="1980" t="s">
        <v>2122</v>
      </c>
      <c r="B34" s="1984"/>
      <c r="C34" s="1981"/>
      <c r="D34" s="1981"/>
      <c r="E34" s="1986"/>
      <c r="F34" s="1986"/>
      <c r="G34" s="1986"/>
      <c r="H34" s="1986"/>
      <c r="I34" s="2006"/>
      <c r="J34" s="2007"/>
      <c r="K34" s="2008"/>
      <c r="L34" s="2009"/>
    </row>
    <row r="35" spans="1:12" s="1965" customFormat="1" ht="15" x14ac:dyDescent="0.25">
      <c r="A35" s="1980" t="s">
        <v>2123</v>
      </c>
      <c r="B35" s="1984"/>
      <c r="C35" s="1981"/>
      <c r="D35" s="1981"/>
      <c r="E35" s="1986"/>
      <c r="F35" s="1986"/>
      <c r="G35" s="1986"/>
      <c r="H35" s="1986"/>
      <c r="I35" s="2006"/>
      <c r="J35" s="2007"/>
      <c r="K35" s="2008"/>
      <c r="L35" s="2009"/>
    </row>
    <row r="36" spans="1:12" s="1965" customFormat="1" ht="15" hidden="1" x14ac:dyDescent="0.25">
      <c r="A36" s="1992"/>
      <c r="B36" s="1984"/>
      <c r="C36" s="1981"/>
      <c r="D36" s="1981"/>
      <c r="E36" s="1986"/>
      <c r="F36" s="1986"/>
      <c r="G36" s="1986"/>
      <c r="H36" s="1986"/>
      <c r="I36" s="2006"/>
      <c r="J36" s="2007"/>
      <c r="K36" s="2008"/>
      <c r="L36" s="2009"/>
    </row>
    <row r="37" spans="1:12" s="1965" customFormat="1" ht="15" hidden="1" x14ac:dyDescent="0.25">
      <c r="A37" s="2011" t="s">
        <v>2143</v>
      </c>
      <c r="B37" s="2010">
        <v>84.298000000000002</v>
      </c>
      <c r="C37" s="1985" t="s">
        <v>2144</v>
      </c>
      <c r="D37" s="1985"/>
      <c r="E37" s="1986"/>
      <c r="F37" s="1986"/>
      <c r="G37" s="1986"/>
      <c r="H37" s="1978"/>
      <c r="I37" s="1986"/>
      <c r="J37" s="1989"/>
      <c r="K37" s="1987">
        <f>H37+G37+I37</f>
        <v>0</v>
      </c>
      <c r="L37" s="1986">
        <v>0</v>
      </c>
    </row>
    <row r="38" spans="1:12" s="1965" customFormat="1" ht="15" x14ac:dyDescent="0.25">
      <c r="A38" s="2011"/>
      <c r="B38" s="2012" t="s">
        <v>1230</v>
      </c>
      <c r="C38" s="2013" t="s">
        <v>1230</v>
      </c>
      <c r="D38" s="2013"/>
      <c r="E38" s="1986"/>
      <c r="F38" s="1986"/>
      <c r="G38" s="1986"/>
      <c r="H38" s="1986"/>
      <c r="I38" s="1986" t="s">
        <v>1230</v>
      </c>
      <c r="J38" s="1989"/>
      <c r="K38" s="1987"/>
      <c r="L38" s="1986"/>
    </row>
    <row r="39" spans="1:12" s="1965" customFormat="1" ht="15" x14ac:dyDescent="0.25">
      <c r="A39" s="2014" t="s">
        <v>973</v>
      </c>
      <c r="B39" s="2010" t="s">
        <v>2145</v>
      </c>
      <c r="C39" s="1985" t="s">
        <v>2146</v>
      </c>
      <c r="D39" s="1985"/>
      <c r="E39" s="1986">
        <v>172318</v>
      </c>
      <c r="F39" s="1986">
        <v>127096</v>
      </c>
      <c r="G39" s="1986">
        <v>262298</v>
      </c>
      <c r="H39" s="1986">
        <f>299414-262298</f>
        <v>37116</v>
      </c>
      <c r="I39" s="1986"/>
      <c r="J39" s="1989"/>
      <c r="K39" s="1987">
        <f>I39+H39+G39</f>
        <v>299414</v>
      </c>
      <c r="L39" s="1986">
        <v>465012</v>
      </c>
    </row>
    <row r="40" spans="1:12" s="1965" customFormat="1" ht="15" x14ac:dyDescent="0.25">
      <c r="A40" s="2014" t="s">
        <v>973</v>
      </c>
      <c r="B40" s="2010" t="s">
        <v>2145</v>
      </c>
      <c r="C40" s="1985" t="s">
        <v>2147</v>
      </c>
      <c r="D40" s="1985"/>
      <c r="E40" s="1986"/>
      <c r="F40" s="1986">
        <v>152936</v>
      </c>
      <c r="G40" s="1986"/>
      <c r="H40" s="1986">
        <v>333789</v>
      </c>
      <c r="I40" s="1986"/>
      <c r="J40" s="1985">
        <v>-3</v>
      </c>
      <c r="K40" s="1987">
        <f>I40+H40+G40</f>
        <v>333789</v>
      </c>
      <c r="L40" s="1986">
        <v>441698</v>
      </c>
    </row>
    <row r="41" spans="1:12" s="1965" customFormat="1" ht="15" x14ac:dyDescent="0.25">
      <c r="A41" s="2014"/>
      <c r="B41" s="2010"/>
      <c r="C41" s="1985"/>
      <c r="D41" s="1985"/>
      <c r="E41" s="1986"/>
      <c r="F41" s="1986"/>
      <c r="G41" s="1986"/>
      <c r="H41" s="1986"/>
      <c r="I41" s="1986"/>
      <c r="J41" s="1989"/>
      <c r="K41" s="1987"/>
      <c r="L41" s="1986"/>
    </row>
    <row r="42" spans="1:12" s="1965" customFormat="1" ht="15" x14ac:dyDescent="0.25">
      <c r="A42" s="2011" t="s">
        <v>2148</v>
      </c>
      <c r="B42" s="2010">
        <v>84.027000000000001</v>
      </c>
      <c r="C42" s="1985" t="s">
        <v>2149</v>
      </c>
      <c r="D42" s="1985"/>
      <c r="E42" s="1986"/>
      <c r="F42" s="1986">
        <v>643</v>
      </c>
      <c r="G42" s="1986">
        <v>643</v>
      </c>
      <c r="H42" s="1986"/>
      <c r="I42" s="1986"/>
      <c r="J42" s="1989"/>
      <c r="K42" s="1987">
        <f>I42+H42+G42</f>
        <v>643</v>
      </c>
      <c r="L42" s="1988" t="s">
        <v>2126</v>
      </c>
    </row>
    <row r="43" spans="1:12" s="1965" customFormat="1" ht="15" x14ac:dyDescent="0.25">
      <c r="A43" s="2011" t="s">
        <v>2150</v>
      </c>
      <c r="B43" s="2010">
        <v>84.027000000000001</v>
      </c>
      <c r="C43" s="1985" t="s">
        <v>2151</v>
      </c>
      <c r="D43" s="1985"/>
      <c r="E43" s="1986"/>
      <c r="F43" s="1986">
        <v>0</v>
      </c>
      <c r="G43" s="1986"/>
      <c r="H43" s="1986">
        <v>7523</v>
      </c>
      <c r="I43" s="1986"/>
      <c r="J43" s="1989"/>
      <c r="K43" s="1987">
        <f>I43+H43+G43</f>
        <v>7523</v>
      </c>
      <c r="L43" s="1988" t="s">
        <v>2126</v>
      </c>
    </row>
    <row r="44" spans="1:12" s="1965" customFormat="1" ht="15" x14ac:dyDescent="0.25">
      <c r="A44" s="2011"/>
      <c r="B44" s="2010"/>
      <c r="C44" s="1985"/>
      <c r="D44" s="1985"/>
      <c r="E44" s="1986"/>
      <c r="F44" s="1986"/>
      <c r="G44" s="1986"/>
      <c r="H44" s="1986"/>
      <c r="I44" s="1986"/>
      <c r="J44" s="1989"/>
      <c r="K44" s="1987">
        <f>I44+H44+G44</f>
        <v>0</v>
      </c>
      <c r="L44" s="1988"/>
    </row>
    <row r="45" spans="1:12" s="1965" customFormat="1" ht="15" x14ac:dyDescent="0.25">
      <c r="A45" s="2014" t="s">
        <v>2152</v>
      </c>
      <c r="B45" s="2010">
        <v>84.027000000000001</v>
      </c>
      <c r="C45" s="1985" t="s">
        <v>2153</v>
      </c>
      <c r="D45" s="1985"/>
      <c r="E45" s="1986">
        <v>90855</v>
      </c>
      <c r="F45" s="1986">
        <v>34131</v>
      </c>
      <c r="G45" s="1986">
        <v>112043</v>
      </c>
      <c r="H45" s="1986">
        <f>124986-112043</f>
        <v>12943</v>
      </c>
      <c r="I45" s="1986"/>
      <c r="J45" s="1989"/>
      <c r="K45" s="1987">
        <f>I45+H45+G45</f>
        <v>124986</v>
      </c>
      <c r="L45" s="1988" t="s">
        <v>2126</v>
      </c>
    </row>
    <row r="46" spans="1:12" s="1965" customFormat="1" ht="15" hidden="1" x14ac:dyDescent="0.25">
      <c r="A46" s="2014" t="s">
        <v>2154</v>
      </c>
      <c r="B46" s="2010">
        <v>84.027000000000001</v>
      </c>
      <c r="C46" s="1985" t="s">
        <v>2155</v>
      </c>
      <c r="D46" s="1985"/>
      <c r="E46" s="1986"/>
      <c r="F46" s="1986"/>
      <c r="G46" s="1986"/>
      <c r="H46" s="1986"/>
      <c r="I46" s="1986"/>
      <c r="J46" s="1985">
        <v>-3</v>
      </c>
      <c r="K46" s="1987">
        <f>I46+H46+G46</f>
        <v>0</v>
      </c>
      <c r="L46" s="1988" t="s">
        <v>2126</v>
      </c>
    </row>
    <row r="47" spans="1:12" s="1965" customFormat="1" ht="15" x14ac:dyDescent="0.25">
      <c r="A47" s="2011"/>
      <c r="B47" s="2010"/>
      <c r="C47" s="1985"/>
      <c r="D47" s="1985"/>
      <c r="E47" s="1986"/>
      <c r="F47" s="1986"/>
      <c r="G47" s="1986"/>
      <c r="H47" s="1986"/>
      <c r="I47" s="1986"/>
      <c r="J47" s="1985"/>
      <c r="K47" s="1987"/>
      <c r="L47" s="1988"/>
    </row>
    <row r="48" spans="1:12" s="1965" customFormat="1" ht="15" x14ac:dyDescent="0.25">
      <c r="A48" s="2011" t="s">
        <v>1530</v>
      </c>
      <c r="B48" s="2010">
        <v>84.364999999999995</v>
      </c>
      <c r="C48" s="1985" t="s">
        <v>2156</v>
      </c>
      <c r="D48" s="1985"/>
      <c r="E48" s="1986">
        <v>0</v>
      </c>
      <c r="F48" s="1986">
        <v>19570</v>
      </c>
      <c r="G48" s="1986">
        <v>11524</v>
      </c>
      <c r="H48" s="1986">
        <f>19570-11524</f>
        <v>8046</v>
      </c>
      <c r="I48" s="1986"/>
      <c r="J48" s="1985"/>
      <c r="K48" s="1987">
        <f>I48+H48+G48</f>
        <v>19570</v>
      </c>
      <c r="L48" s="1988">
        <v>20381</v>
      </c>
    </row>
    <row r="49" spans="1:12" s="1965" customFormat="1" ht="15" x14ac:dyDescent="0.25">
      <c r="A49" s="2011" t="s">
        <v>1530</v>
      </c>
      <c r="B49" s="2010">
        <v>84.364999999999995</v>
      </c>
      <c r="C49" s="1985" t="s">
        <v>2157</v>
      </c>
      <c r="D49" s="1985"/>
      <c r="E49" s="1986"/>
      <c r="F49" s="1986">
        <v>0</v>
      </c>
      <c r="G49" s="1986"/>
      <c r="H49" s="1986"/>
      <c r="I49" s="1986"/>
      <c r="J49" s="1985">
        <v>-3</v>
      </c>
      <c r="K49" s="1987">
        <f>I49+H49+G49</f>
        <v>0</v>
      </c>
      <c r="L49" s="1988">
        <v>811</v>
      </c>
    </row>
    <row r="50" spans="1:12" s="1965" customFormat="1" ht="15" x14ac:dyDescent="0.25">
      <c r="A50" s="2011"/>
      <c r="B50" s="2010"/>
      <c r="C50" s="1985"/>
      <c r="D50" s="1985"/>
      <c r="E50" s="1986"/>
      <c r="F50" s="1986"/>
      <c r="G50" s="1986"/>
      <c r="H50" s="1986"/>
      <c r="I50" s="1986"/>
      <c r="J50" s="1985"/>
      <c r="K50" s="1987"/>
      <c r="L50" s="1988"/>
    </row>
    <row r="51" spans="1:12" s="1965" customFormat="1" ht="15" x14ac:dyDescent="0.25">
      <c r="A51" s="2011" t="s">
        <v>2158</v>
      </c>
      <c r="B51" s="2010" t="s">
        <v>2159</v>
      </c>
      <c r="C51" s="1985" t="s">
        <v>2160</v>
      </c>
      <c r="D51" s="1985"/>
      <c r="E51" s="1986">
        <v>6965</v>
      </c>
      <c r="F51" s="1986">
        <v>19921</v>
      </c>
      <c r="G51" s="1986">
        <v>26886</v>
      </c>
      <c r="H51" s="1986"/>
      <c r="I51" s="1986"/>
      <c r="J51" s="1989"/>
      <c r="K51" s="1987">
        <f>I51+H51+G51</f>
        <v>26886</v>
      </c>
      <c r="L51" s="1988">
        <v>27299</v>
      </c>
    </row>
    <row r="52" spans="1:12" s="1965" customFormat="1" ht="15" x14ac:dyDescent="0.25">
      <c r="A52" s="2011" t="s">
        <v>2158</v>
      </c>
      <c r="B52" s="2010" t="s">
        <v>2159</v>
      </c>
      <c r="C52" s="1985" t="s">
        <v>2161</v>
      </c>
      <c r="D52" s="2015"/>
      <c r="E52" s="1986"/>
      <c r="F52" s="1986">
        <v>4610</v>
      </c>
      <c r="G52" s="1986"/>
      <c r="H52" s="1986">
        <v>11721</v>
      </c>
      <c r="I52" s="1986"/>
      <c r="J52" s="1985">
        <v>-3</v>
      </c>
      <c r="K52" s="1987">
        <f>I52+H52+G52</f>
        <v>11721</v>
      </c>
      <c r="L52" s="1988">
        <v>28503</v>
      </c>
    </row>
    <row r="53" spans="1:12" s="1965" customFormat="1" ht="15" x14ac:dyDescent="0.25">
      <c r="A53" s="2014"/>
      <c r="B53" s="2010"/>
      <c r="C53" s="1985"/>
      <c r="D53" s="1985"/>
      <c r="E53" s="1986"/>
      <c r="F53" s="1986"/>
      <c r="G53" s="1986"/>
      <c r="H53" s="1986"/>
      <c r="I53" s="1986"/>
      <c r="J53" s="1989"/>
      <c r="K53" s="1987"/>
      <c r="L53" s="1986"/>
    </row>
    <row r="54" spans="1:12" s="1965" customFormat="1" ht="15" x14ac:dyDescent="0.25">
      <c r="A54" s="2014" t="s">
        <v>781</v>
      </c>
      <c r="B54" s="2010">
        <v>84.367000000000004</v>
      </c>
      <c r="C54" s="1985" t="s">
        <v>2162</v>
      </c>
      <c r="D54" s="1985"/>
      <c r="E54" s="1986">
        <v>29143</v>
      </c>
      <c r="F54" s="1986">
        <v>22993</v>
      </c>
      <c r="G54" s="1986">
        <v>47636</v>
      </c>
      <c r="H54" s="1986">
        <f>52136-47636</f>
        <v>4500</v>
      </c>
      <c r="I54" s="1986"/>
      <c r="J54" s="1989"/>
      <c r="K54" s="1987">
        <f>I54+H54+G54</f>
        <v>52136</v>
      </c>
      <c r="L54" s="1986">
        <v>60279</v>
      </c>
    </row>
    <row r="55" spans="1:12" s="1965" customFormat="1" ht="15" x14ac:dyDescent="0.25">
      <c r="A55" s="2014" t="s">
        <v>781</v>
      </c>
      <c r="B55" s="2010">
        <v>84.367000000000004</v>
      </c>
      <c r="C55" s="1985" t="s">
        <v>2163</v>
      </c>
      <c r="D55" s="1985"/>
      <c r="E55" s="1986"/>
      <c r="F55" s="1986">
        <v>36234</v>
      </c>
      <c r="G55" s="1986"/>
      <c r="H55" s="1986">
        <v>63288</v>
      </c>
      <c r="I55" s="1986">
        <v>12856</v>
      </c>
      <c r="J55" s="1989"/>
      <c r="K55" s="1987">
        <f>I55+H55+G55</f>
        <v>76144</v>
      </c>
      <c r="L55" s="1986">
        <v>110207</v>
      </c>
    </row>
    <row r="56" spans="1:12" s="1965" customFormat="1" ht="15" x14ac:dyDescent="0.25">
      <c r="A56" s="2014"/>
      <c r="B56" s="2010"/>
      <c r="C56" s="1985"/>
      <c r="D56" s="1985"/>
      <c r="E56" s="1986"/>
      <c r="F56" s="1986"/>
      <c r="G56" s="1986"/>
      <c r="H56" s="1986"/>
      <c r="I56" s="1986"/>
      <c r="J56" s="1989"/>
      <c r="K56" s="1987"/>
      <c r="L56" s="1986"/>
    </row>
    <row r="57" spans="1:12" s="1965" customFormat="1" ht="15" x14ac:dyDescent="0.25">
      <c r="A57" s="2016" t="s">
        <v>2122</v>
      </c>
      <c r="B57" s="2010"/>
      <c r="C57" s="1985"/>
      <c r="D57" s="1985"/>
      <c r="E57" s="2017"/>
      <c r="F57" s="2017"/>
      <c r="G57" s="2017"/>
      <c r="H57" s="2017"/>
      <c r="I57" s="2017"/>
      <c r="J57" s="1989"/>
      <c r="K57" s="2017"/>
      <c r="L57" s="1988"/>
    </row>
    <row r="58" spans="1:12" s="1965" customFormat="1" ht="15" x14ac:dyDescent="0.25">
      <c r="A58" s="2018" t="s">
        <v>2098</v>
      </c>
      <c r="B58" s="2010"/>
      <c r="C58" s="1985"/>
      <c r="D58" s="1985"/>
      <c r="E58" s="2017"/>
      <c r="F58" s="2017"/>
      <c r="G58" s="2017"/>
      <c r="H58" s="2017"/>
      <c r="I58" s="2017"/>
      <c r="J58" s="1989"/>
      <c r="K58" s="2017"/>
      <c r="L58" s="1988"/>
    </row>
    <row r="59" spans="1:12" s="1965" customFormat="1" ht="15" x14ac:dyDescent="0.25">
      <c r="A59" s="2014"/>
      <c r="B59" s="2010"/>
      <c r="C59" s="1985"/>
      <c r="D59" s="1985"/>
      <c r="E59" s="2017"/>
      <c r="F59" s="2017"/>
      <c r="G59" s="2017"/>
      <c r="H59" s="2017"/>
      <c r="I59" s="2017"/>
      <c r="J59" s="1989"/>
      <c r="K59" s="2017"/>
      <c r="L59" s="1988"/>
    </row>
    <row r="60" spans="1:12" s="1965" customFormat="1" ht="15" x14ac:dyDescent="0.25">
      <c r="A60" s="2011" t="s">
        <v>2202</v>
      </c>
      <c r="B60" s="2010" t="s">
        <v>2200</v>
      </c>
      <c r="C60" s="1985" t="s">
        <v>2201</v>
      </c>
      <c r="D60" s="1985"/>
      <c r="E60" s="1986"/>
      <c r="F60" s="1986">
        <v>53</v>
      </c>
      <c r="G60" s="1986"/>
      <c r="H60" s="1986">
        <v>53</v>
      </c>
      <c r="I60" s="2017"/>
      <c r="J60" s="1989"/>
      <c r="K60" s="1986">
        <f>+G60+H60+I60</f>
        <v>53</v>
      </c>
      <c r="L60" s="1988">
        <v>53</v>
      </c>
    </row>
    <row r="61" spans="1:12" s="1965" customFormat="1" ht="15" x14ac:dyDescent="0.25">
      <c r="A61" s="2014"/>
      <c r="B61" s="2010"/>
      <c r="C61" s="1985"/>
      <c r="D61" s="1985"/>
      <c r="E61" s="2017"/>
      <c r="F61" s="2017"/>
      <c r="G61" s="2017"/>
      <c r="H61" s="2017"/>
      <c r="I61" s="2017"/>
      <c r="J61" s="1989"/>
      <c r="K61" s="2017"/>
      <c r="L61" s="1988"/>
    </row>
    <row r="62" spans="1:12" s="1965" customFormat="1" ht="15" x14ac:dyDescent="0.25">
      <c r="A62" s="2011" t="s">
        <v>2164</v>
      </c>
      <c r="B62" s="2010">
        <v>84.027000000000001</v>
      </c>
      <c r="C62" s="1985" t="s">
        <v>2165</v>
      </c>
      <c r="D62" s="1985"/>
      <c r="E62" s="1986">
        <v>57184</v>
      </c>
      <c r="F62" s="1986">
        <v>18577</v>
      </c>
      <c r="G62" s="1986">
        <v>75761</v>
      </c>
      <c r="H62" s="1986">
        <v>0</v>
      </c>
      <c r="I62" s="2017"/>
      <c r="J62" s="1989"/>
      <c r="K62" s="1986">
        <f>+G62+H62+I62</f>
        <v>75761</v>
      </c>
      <c r="L62" s="1988">
        <v>81610</v>
      </c>
    </row>
    <row r="63" spans="1:12" s="1965" customFormat="1" ht="17.25" x14ac:dyDescent="0.25">
      <c r="A63" s="2014" t="s">
        <v>2164</v>
      </c>
      <c r="B63" s="2010">
        <v>84.027000000000001</v>
      </c>
      <c r="C63" s="1985" t="s">
        <v>2166</v>
      </c>
      <c r="D63" s="1985"/>
      <c r="E63" s="2001">
        <v>0</v>
      </c>
      <c r="F63" s="2001">
        <f>ROUND(25319.07+12082.5+23041.58,0)</f>
        <v>60443</v>
      </c>
      <c r="G63" s="2001">
        <v>0</v>
      </c>
      <c r="H63" s="2001">
        <v>77816</v>
      </c>
      <c r="I63" s="2001">
        <v>0</v>
      </c>
      <c r="J63" s="1989"/>
      <c r="K63" s="2001">
        <f>+G63+H63+I63</f>
        <v>77816</v>
      </c>
      <c r="L63" s="1988">
        <v>77876</v>
      </c>
    </row>
    <row r="64" spans="1:12" s="1965" customFormat="1" ht="15" x14ac:dyDescent="0.25">
      <c r="A64" s="2014"/>
      <c r="B64" s="2010"/>
      <c r="C64" s="1985"/>
      <c r="D64" s="1985"/>
      <c r="E64" s="2017"/>
      <c r="F64" s="2017"/>
      <c r="G64" s="2017"/>
      <c r="H64" s="2017"/>
      <c r="I64" s="2017"/>
      <c r="J64" s="1989"/>
      <c r="K64" s="2017"/>
      <c r="L64" s="1988"/>
    </row>
    <row r="65" spans="1:12" s="1965" customFormat="1" ht="17.25" x14ac:dyDescent="0.2">
      <c r="A65" s="2019" t="s">
        <v>2167</v>
      </c>
      <c r="B65" s="2020"/>
      <c r="C65" s="1964"/>
      <c r="D65" s="1964"/>
      <c r="E65" s="2021">
        <f>SUM(E36:E64)</f>
        <v>356465</v>
      </c>
      <c r="F65" s="2021">
        <f>SUM(F36:F64)</f>
        <v>497207</v>
      </c>
      <c r="G65" s="2021">
        <f>SUM(G36:G64)</f>
        <v>536791</v>
      </c>
      <c r="H65" s="2021">
        <f>SUM(H36:H64)</f>
        <v>556795</v>
      </c>
      <c r="I65" s="2021">
        <f>SUM(I36:I64)</f>
        <v>12856</v>
      </c>
      <c r="J65" s="2021"/>
      <c r="K65" s="2021">
        <f>SUM(K36:K64)</f>
        <v>1106442</v>
      </c>
      <c r="L65" s="2022"/>
    </row>
    <row r="66" spans="1:12" s="1965" customFormat="1" ht="15" x14ac:dyDescent="0.2">
      <c r="A66" s="1964"/>
      <c r="B66" s="1997"/>
      <c r="C66" s="1968"/>
      <c r="D66" s="1968"/>
      <c r="E66" s="1999"/>
      <c r="F66" s="1999"/>
      <c r="G66" s="1999"/>
      <c r="H66" s="1999"/>
      <c r="I66" s="1999"/>
      <c r="J66" s="2023"/>
      <c r="K66" s="2024"/>
      <c r="L66" s="1999"/>
    </row>
    <row r="67" spans="1:12" s="1965" customFormat="1" ht="15" hidden="1" x14ac:dyDescent="0.2">
      <c r="A67" s="2025" t="s">
        <v>2168</v>
      </c>
      <c r="B67" s="1997"/>
      <c r="C67" s="1968"/>
      <c r="D67" s="1968"/>
      <c r="E67" s="1999"/>
      <c r="F67" s="1999"/>
      <c r="G67" s="1999"/>
      <c r="H67" s="1999"/>
      <c r="I67" s="1999"/>
      <c r="J67" s="2023"/>
      <c r="K67" s="2024"/>
      <c r="L67" s="1999"/>
    </row>
    <row r="68" spans="1:12" s="1965" customFormat="1" ht="15" hidden="1" x14ac:dyDescent="0.2">
      <c r="A68" s="2016" t="s">
        <v>2122</v>
      </c>
      <c r="B68" s="1997"/>
      <c r="C68" s="1968"/>
      <c r="D68" s="1968"/>
      <c r="E68" s="1999"/>
      <c r="F68" s="1999"/>
      <c r="G68" s="1999"/>
      <c r="H68" s="1999"/>
      <c r="I68" s="1999"/>
      <c r="J68" s="2023"/>
      <c r="K68" s="2024"/>
      <c r="L68" s="1999"/>
    </row>
    <row r="69" spans="1:12" s="1965" customFormat="1" ht="15" hidden="1" x14ac:dyDescent="0.2">
      <c r="A69" s="2016" t="s">
        <v>2169</v>
      </c>
      <c r="B69" s="1997"/>
      <c r="C69" s="1968"/>
      <c r="D69" s="1968"/>
      <c r="E69" s="1999"/>
      <c r="F69" s="1999"/>
      <c r="G69" s="1999"/>
      <c r="H69" s="1999"/>
      <c r="I69" s="1999"/>
      <c r="J69" s="2023"/>
      <c r="K69" s="2024"/>
      <c r="L69" s="1999"/>
    </row>
    <row r="70" spans="1:12" s="1965" customFormat="1" ht="15" hidden="1" x14ac:dyDescent="0.2">
      <c r="A70" s="1964"/>
      <c r="B70" s="1997"/>
      <c r="C70" s="1968"/>
      <c r="D70" s="1968"/>
      <c r="E70" s="1999"/>
      <c r="F70" s="1999"/>
      <c r="G70" s="1999"/>
      <c r="H70" s="1999"/>
      <c r="I70" s="1999"/>
      <c r="J70" s="2023"/>
      <c r="K70" s="2024"/>
      <c r="L70" s="1999"/>
    </row>
    <row r="71" spans="1:12" s="1965" customFormat="1" ht="16.5" hidden="1" customHeight="1" x14ac:dyDescent="0.2">
      <c r="A71" s="1996" t="s">
        <v>2170</v>
      </c>
      <c r="B71" s="1997">
        <v>93.778000000000006</v>
      </c>
      <c r="C71" s="1967" t="s">
        <v>2171</v>
      </c>
      <c r="D71" s="1967"/>
      <c r="E71" s="2021">
        <v>0</v>
      </c>
      <c r="F71" s="2021">
        <v>0</v>
      </c>
      <c r="G71" s="2021">
        <v>0</v>
      </c>
      <c r="H71" s="2021">
        <v>0</v>
      </c>
      <c r="I71" s="2021">
        <v>0</v>
      </c>
      <c r="J71" s="2026"/>
      <c r="K71" s="2021">
        <f>G71+I71+H71</f>
        <v>0</v>
      </c>
      <c r="L71" s="2023" t="s">
        <v>2126</v>
      </c>
    </row>
    <row r="72" spans="1:12" s="1965" customFormat="1" ht="17.25" hidden="1" x14ac:dyDescent="0.2">
      <c r="A72" s="2003" t="s">
        <v>2172</v>
      </c>
      <c r="B72" s="1997"/>
      <c r="C72" s="1964"/>
      <c r="D72" s="1964"/>
      <c r="E72" s="2021">
        <f>SUM(E70:E71)</f>
        <v>0</v>
      </c>
      <c r="F72" s="2021">
        <f>SUM(F68:F71)</f>
        <v>0</v>
      </c>
      <c r="G72" s="2021">
        <f>SUM(G71:G71)</f>
        <v>0</v>
      </c>
      <c r="H72" s="2021">
        <f>SUM(H68:H71)</f>
        <v>0</v>
      </c>
      <c r="I72" s="2021">
        <f>SUM(I68:I70)</f>
        <v>0</v>
      </c>
      <c r="J72" s="2021"/>
      <c r="K72" s="2021">
        <f>SUM(K68:K71)</f>
        <v>0</v>
      </c>
      <c r="L72" s="1999"/>
    </row>
    <row r="73" spans="1:12" s="1965" customFormat="1" ht="15" hidden="1" x14ac:dyDescent="0.2">
      <c r="A73" s="1964"/>
      <c r="B73" s="1997"/>
      <c r="C73" s="1968"/>
      <c r="D73" s="1968"/>
      <c r="E73" s="1999"/>
      <c r="F73" s="1999"/>
      <c r="G73" s="1999"/>
      <c r="H73" s="1999"/>
      <c r="I73" s="1999"/>
      <c r="J73" s="2023"/>
      <c r="K73" s="2024"/>
      <c r="L73" s="1999"/>
    </row>
    <row r="74" spans="1:12" s="1965" customFormat="1" ht="15" x14ac:dyDescent="0.2">
      <c r="A74" s="2025" t="s">
        <v>2173</v>
      </c>
      <c r="B74" s="1997"/>
      <c r="C74" s="1968"/>
      <c r="D74" s="1968"/>
      <c r="E74" s="1999"/>
      <c r="F74" s="1999"/>
      <c r="G74" s="1999"/>
      <c r="H74" s="1999"/>
      <c r="I74" s="1999"/>
      <c r="J74" s="2023"/>
      <c r="K74" s="2024"/>
      <c r="L74" s="1999"/>
    </row>
    <row r="75" spans="1:12" s="1965" customFormat="1" ht="15" x14ac:dyDescent="0.2">
      <c r="A75" s="2016" t="s">
        <v>2122</v>
      </c>
      <c r="B75" s="1997"/>
      <c r="C75" s="1968"/>
      <c r="D75" s="1968"/>
      <c r="E75" s="1999"/>
      <c r="F75" s="1999"/>
      <c r="G75" s="1999"/>
      <c r="H75" s="1999"/>
      <c r="I75" s="1999"/>
      <c r="J75" s="2023"/>
      <c r="K75" s="2024"/>
      <c r="L75" s="1999"/>
    </row>
    <row r="76" spans="1:12" s="1965" customFormat="1" ht="15" x14ac:dyDescent="0.2">
      <c r="A76" s="2016" t="s">
        <v>2174</v>
      </c>
      <c r="B76" s="1997"/>
      <c r="C76" s="1968"/>
      <c r="D76" s="1968"/>
      <c r="E76" s="1999"/>
      <c r="F76" s="1999"/>
      <c r="G76" s="1999"/>
      <c r="H76" s="1999"/>
      <c r="I76" s="1999"/>
      <c r="J76" s="2023"/>
      <c r="K76" s="2024"/>
      <c r="L76" s="1999"/>
    </row>
    <row r="77" spans="1:12" s="1965" customFormat="1" ht="15" x14ac:dyDescent="0.2">
      <c r="A77" s="1964"/>
      <c r="B77" s="1997"/>
      <c r="C77" s="1968"/>
      <c r="D77" s="1968"/>
      <c r="E77" s="1999"/>
      <c r="F77" s="1999"/>
      <c r="G77" s="1999"/>
      <c r="H77" s="1999"/>
      <c r="I77" s="1999"/>
      <c r="J77" s="2023"/>
      <c r="K77" s="2024"/>
      <c r="L77" s="1999"/>
    </row>
    <row r="78" spans="1:12" s="1965" customFormat="1" ht="16.5" customHeight="1" x14ac:dyDescent="0.2">
      <c r="A78" s="1996" t="s">
        <v>2175</v>
      </c>
      <c r="B78" s="1997">
        <v>93.778000000000006</v>
      </c>
      <c r="C78" s="1998" t="s">
        <v>2176</v>
      </c>
      <c r="D78" s="1998"/>
      <c r="E78" s="2024">
        <v>38788</v>
      </c>
      <c r="F78" s="2024">
        <v>11063</v>
      </c>
      <c r="G78" s="2024">
        <v>51928</v>
      </c>
      <c r="H78" s="2024"/>
      <c r="I78" s="2021"/>
      <c r="J78" s="2026"/>
      <c r="K78" s="2024">
        <f>G78+I78+H78</f>
        <v>51928</v>
      </c>
      <c r="L78" s="2023" t="s">
        <v>2126</v>
      </c>
    </row>
    <row r="79" spans="1:12" s="1965" customFormat="1" ht="16.5" customHeight="1" x14ac:dyDescent="0.25">
      <c r="A79" s="1996" t="s">
        <v>2175</v>
      </c>
      <c r="B79" s="1997">
        <v>93.778000000000006</v>
      </c>
      <c r="C79" s="1998" t="s">
        <v>2177</v>
      </c>
      <c r="D79" s="1998"/>
      <c r="E79" s="2021">
        <v>0</v>
      </c>
      <c r="F79" s="2021">
        <v>19723</v>
      </c>
      <c r="G79" s="2021">
        <v>0</v>
      </c>
      <c r="H79" s="2021">
        <v>53027</v>
      </c>
      <c r="I79" s="2021">
        <v>0</v>
      </c>
      <c r="J79" s="1985"/>
      <c r="K79" s="2021">
        <f>G79+I79+H79</f>
        <v>53027</v>
      </c>
      <c r="L79" s="2023" t="s">
        <v>2126</v>
      </c>
    </row>
    <row r="80" spans="1:12" s="1965" customFormat="1" ht="17.25" x14ac:dyDescent="0.2">
      <c r="A80" s="2003" t="s">
        <v>2178</v>
      </c>
      <c r="B80" s="1997"/>
      <c r="C80" s="1964"/>
      <c r="D80" s="1964"/>
      <c r="E80" s="2027">
        <f>SUM(E78:E79)</f>
        <v>38788</v>
      </c>
      <c r="F80" s="2021">
        <f>SUM(F78:F79)</f>
        <v>30786</v>
      </c>
      <c r="G80" s="2021">
        <f>SUM(G78:G79)</f>
        <v>51928</v>
      </c>
      <c r="H80" s="2021">
        <f>SUM(H78:H79)</f>
        <v>53027</v>
      </c>
      <c r="I80" s="2027">
        <f>SUM(I78:I79)</f>
        <v>0</v>
      </c>
      <c r="J80" s="2027"/>
      <c r="K80" s="2027">
        <f>SUM(K78:K79)</f>
        <v>104955</v>
      </c>
      <c r="L80" s="2028"/>
    </row>
    <row r="81" spans="1:12" s="1965" customFormat="1" ht="15" x14ac:dyDescent="0.25">
      <c r="A81" s="1973"/>
      <c r="B81" s="1973"/>
      <c r="C81" s="1973"/>
      <c r="D81" s="1973"/>
      <c r="E81" s="2006"/>
      <c r="F81" s="2006"/>
      <c r="G81" s="2006"/>
      <c r="H81" s="2006"/>
      <c r="I81" s="2006"/>
      <c r="J81" s="2007"/>
      <c r="K81" s="2006"/>
      <c r="L81" s="2006"/>
    </row>
    <row r="82" spans="1:12" s="1965" customFormat="1" ht="17.25" x14ac:dyDescent="0.2">
      <c r="A82" s="2003" t="s">
        <v>2179</v>
      </c>
      <c r="B82" s="1964"/>
      <c r="C82" s="1964"/>
      <c r="D82" s="1964"/>
      <c r="E82" s="2029">
        <f>+E80+E65+E31+E72</f>
        <v>648668</v>
      </c>
      <c r="F82" s="2029">
        <f>+F31+F65+F80</f>
        <v>865736</v>
      </c>
      <c r="G82" s="2029">
        <f>+G80+G65+G31+G72</f>
        <v>992642</v>
      </c>
      <c r="H82" s="2029">
        <f>+H80+H65+H31+H72</f>
        <v>1073552</v>
      </c>
      <c r="I82" s="2029">
        <f>+I80+I65+I31+I72</f>
        <v>12856</v>
      </c>
      <c r="J82" s="2029"/>
      <c r="K82" s="2029">
        <f>+K80+K65+K31+K72</f>
        <v>1995063</v>
      </c>
      <c r="L82" s="2028"/>
    </row>
    <row r="83" spans="1:12" s="1964" customFormat="1" ht="17.25" x14ac:dyDescent="0.4">
      <c r="A83" s="1973"/>
      <c r="B83" s="1973"/>
      <c r="C83" s="1973"/>
      <c r="D83" s="1973"/>
      <c r="E83" s="2030"/>
      <c r="F83" s="2030"/>
      <c r="G83" s="2030"/>
      <c r="H83" s="2030"/>
      <c r="I83" s="2030"/>
      <c r="J83" s="2030"/>
      <c r="K83" s="2030"/>
      <c r="L83" s="2006"/>
    </row>
    <row r="84" spans="1:12" s="1965" customFormat="1" ht="15" x14ac:dyDescent="0.25">
      <c r="A84" s="1979" t="s">
        <v>2180</v>
      </c>
      <c r="B84" s="1973"/>
      <c r="C84" s="1973"/>
      <c r="D84" s="1973"/>
      <c r="E84" s="2006">
        <f>+E31+E65-E62-E63</f>
        <v>552696</v>
      </c>
      <c r="F84" s="2006">
        <f>+F31+F65-F62-F63</f>
        <v>755930</v>
      </c>
      <c r="G84" s="2006">
        <f>+G31+G65-G62</f>
        <v>864953</v>
      </c>
      <c r="H84" s="2006">
        <f>+H31+H65-H62-H63</f>
        <v>942709</v>
      </c>
      <c r="I84" s="2006">
        <f>+I31+I65</f>
        <v>12856</v>
      </c>
      <c r="J84" s="2006"/>
      <c r="K84" s="2006">
        <f>+K31+K65-K62</f>
        <v>1814347</v>
      </c>
      <c r="L84" s="2006"/>
    </row>
    <row r="85" spans="1:12" s="1965" customFormat="1" ht="17.25" x14ac:dyDescent="0.4">
      <c r="A85" s="1979" t="s">
        <v>2181</v>
      </c>
      <c r="B85" s="1973"/>
      <c r="C85" s="1973"/>
      <c r="D85" s="1973"/>
      <c r="E85" s="2031">
        <f>+E80+E72+E62+E63</f>
        <v>95972</v>
      </c>
      <c r="F85" s="2031">
        <f>+F80+F72+F62+F63</f>
        <v>109806</v>
      </c>
      <c r="G85" s="2031">
        <f>+G80+G72+G62</f>
        <v>127689</v>
      </c>
      <c r="H85" s="2031">
        <f>+H80+H72+H62+H63</f>
        <v>130843</v>
      </c>
      <c r="I85" s="2031">
        <f>+I80</f>
        <v>0</v>
      </c>
      <c r="J85" s="2031"/>
      <c r="K85" s="2031">
        <f>+K80+K72+K62</f>
        <v>180716</v>
      </c>
      <c r="L85" s="2006"/>
    </row>
    <row r="86" spans="1:12" s="1965" customFormat="1" ht="17.25" x14ac:dyDescent="0.4">
      <c r="A86" s="1979"/>
      <c r="B86" s="1973"/>
      <c r="C86" s="1973"/>
      <c r="D86" s="1973"/>
      <c r="E86" s="2031"/>
      <c r="F86" s="2031"/>
      <c r="G86" s="2031"/>
      <c r="H86" s="2031"/>
      <c r="I86" s="2031"/>
      <c r="J86" s="2031"/>
      <c r="K86" s="2031"/>
      <c r="L86" s="2006"/>
    </row>
    <row r="87" spans="1:12" s="1965" customFormat="1" ht="17.25" x14ac:dyDescent="0.4">
      <c r="A87" s="1979" t="s">
        <v>2179</v>
      </c>
      <c r="B87" s="1973"/>
      <c r="C87" s="1973"/>
      <c r="D87" s="1973"/>
      <c r="E87" s="2030">
        <f>E84+E85</f>
        <v>648668</v>
      </c>
      <c r="F87" s="2030">
        <f>F84+F85</f>
        <v>865736</v>
      </c>
      <c r="G87" s="2030">
        <f>G84+G85</f>
        <v>992642</v>
      </c>
      <c r="H87" s="2030">
        <f>H84+H85</f>
        <v>1073552</v>
      </c>
      <c r="I87" s="2030">
        <f>I84+I85</f>
        <v>12856</v>
      </c>
      <c r="J87" s="2030"/>
      <c r="K87" s="2030">
        <f>K84+K85</f>
        <v>1995063</v>
      </c>
      <c r="L87" s="2006"/>
    </row>
    <row r="88" spans="1:12" s="1965" customFormat="1" ht="17.25" x14ac:dyDescent="0.4">
      <c r="A88" s="1979"/>
      <c r="B88" s="1973"/>
      <c r="C88" s="1973"/>
      <c r="D88" s="1973"/>
      <c r="E88" s="2030"/>
      <c r="F88" s="2030"/>
      <c r="G88" s="2030"/>
      <c r="H88" s="2030"/>
      <c r="I88" s="2030"/>
      <c r="J88" s="2030"/>
      <c r="K88" s="2030"/>
      <c r="L88" s="2006"/>
    </row>
    <row r="89" spans="1:12" s="1965" customFormat="1" ht="17.25" x14ac:dyDescent="0.4">
      <c r="A89" s="1979"/>
      <c r="B89" s="1973"/>
      <c r="C89" s="1973"/>
      <c r="D89" s="1973"/>
      <c r="E89" s="2030"/>
      <c r="F89" s="2030"/>
      <c r="G89" s="2030"/>
      <c r="H89" s="2030"/>
      <c r="I89" s="2030"/>
      <c r="J89" s="2030"/>
      <c r="K89" s="2030"/>
      <c r="L89" s="2006"/>
    </row>
    <row r="90" spans="1:12" s="1965" customFormat="1" ht="17.25" x14ac:dyDescent="0.4">
      <c r="A90" s="1979"/>
      <c r="B90" s="1973"/>
      <c r="C90" s="1973"/>
      <c r="D90" s="1973"/>
      <c r="E90" s="2030"/>
      <c r="F90" s="2030"/>
      <c r="G90" s="2030"/>
      <c r="H90" s="2030"/>
      <c r="I90" s="2030"/>
      <c r="J90" s="2030"/>
      <c r="K90" s="2030"/>
      <c r="L90" s="2006"/>
    </row>
    <row r="91" spans="1:12" s="1965" customFormat="1" ht="15" x14ac:dyDescent="0.25">
      <c r="A91" s="2032" t="s">
        <v>2182</v>
      </c>
      <c r="B91" s="2033"/>
      <c r="C91" s="1973"/>
      <c r="D91" s="1973"/>
      <c r="E91" s="2006"/>
      <c r="F91" s="2006" t="s">
        <v>1230</v>
      </c>
      <c r="G91" s="2006"/>
      <c r="H91" s="2006"/>
      <c r="I91" s="2006"/>
      <c r="J91" s="2007"/>
      <c r="K91" s="2006"/>
      <c r="L91" s="2006"/>
    </row>
    <row r="92" spans="1:12" s="1965" customFormat="1" ht="15" x14ac:dyDescent="0.25">
      <c r="A92" s="2034" t="s">
        <v>2183</v>
      </c>
      <c r="B92" s="1973"/>
      <c r="C92" s="1973"/>
      <c r="D92" s="1973"/>
      <c r="E92" s="2006"/>
      <c r="F92" s="2006"/>
      <c r="G92" s="2006"/>
      <c r="H92" s="2006"/>
      <c r="I92" s="2006"/>
      <c r="J92" s="2007"/>
      <c r="K92" s="2006"/>
      <c r="L92" s="2006"/>
    </row>
    <row r="93" spans="1:12" s="1965" customFormat="1" ht="15" x14ac:dyDescent="0.25">
      <c r="A93" s="1992" t="s">
        <v>2184</v>
      </c>
      <c r="B93" s="2035"/>
      <c r="C93" s="2035"/>
      <c r="D93" s="2035"/>
      <c r="E93" s="2036"/>
      <c r="F93" s="2036"/>
      <c r="G93" s="2036"/>
      <c r="H93" s="2036" t="s">
        <v>1230</v>
      </c>
      <c r="I93" s="2036" t="s">
        <v>1230</v>
      </c>
      <c r="J93" s="2037"/>
      <c r="K93" s="2036" t="s">
        <v>1230</v>
      </c>
      <c r="L93" s="2036" t="s">
        <v>1230</v>
      </c>
    </row>
    <row r="94" spans="1:12" s="1965" customFormat="1" ht="15" x14ac:dyDescent="0.2">
      <c r="A94" s="1966" t="s">
        <v>2185</v>
      </c>
      <c r="B94" s="2038"/>
      <c r="E94" s="2039"/>
      <c r="F94" s="2039"/>
      <c r="G94" s="2039"/>
      <c r="H94" s="2039"/>
      <c r="I94" s="2039"/>
      <c r="J94" s="2040"/>
      <c r="K94" s="2039"/>
      <c r="L94" s="2039"/>
    </row>
    <row r="95" spans="1:12" s="2043" customFormat="1" ht="13.5" customHeight="1" x14ac:dyDescent="0.2">
      <c r="A95" s="2041" t="s">
        <v>2186</v>
      </c>
      <c r="B95" s="2042"/>
      <c r="C95" s="2042"/>
      <c r="D95" s="2042"/>
      <c r="E95" s="2042"/>
      <c r="F95" s="2042"/>
      <c r="G95" s="2042"/>
      <c r="H95" s="2042"/>
    </row>
    <row r="96" spans="1:12" s="2043" customFormat="1" ht="13.5" customHeight="1" x14ac:dyDescent="0.2">
      <c r="A96" s="2044" t="s">
        <v>2187</v>
      </c>
      <c r="B96" s="2045"/>
      <c r="C96" s="2045"/>
      <c r="D96" s="2045"/>
      <c r="E96" s="2045"/>
      <c r="F96" s="2045"/>
      <c r="G96" s="2045"/>
      <c r="H96" s="2045"/>
    </row>
    <row r="97" spans="1:8" s="2043" customFormat="1" ht="13.5" customHeight="1" x14ac:dyDescent="0.2">
      <c r="A97" s="2041" t="s">
        <v>2188</v>
      </c>
      <c r="B97" s="2042"/>
      <c r="C97" s="2042"/>
      <c r="D97" s="2042"/>
      <c r="E97" s="2042"/>
      <c r="F97" s="2042"/>
      <c r="G97" s="2042"/>
      <c r="H97" s="2042"/>
    </row>
    <row r="98" spans="1:8" s="2043" customFormat="1" ht="13.5" customHeight="1" x14ac:dyDescent="0.2">
      <c r="A98" s="2044" t="s">
        <v>2189</v>
      </c>
      <c r="B98" s="2046"/>
      <c r="C98" s="2046"/>
      <c r="D98" s="2046"/>
      <c r="E98" s="2046"/>
      <c r="F98" s="2046"/>
      <c r="G98" s="2046"/>
      <c r="H98" s="2046"/>
    </row>
    <row r="99" spans="1:8" s="2043" customFormat="1" ht="13.5" customHeight="1" x14ac:dyDescent="0.2">
      <c r="A99" s="2041" t="s">
        <v>2190</v>
      </c>
      <c r="B99" s="2047"/>
      <c r="C99" s="2048"/>
      <c r="D99" s="2048"/>
      <c r="E99" s="2048"/>
      <c r="F99" s="2048"/>
    </row>
    <row r="100" spans="1:8" s="2043" customFormat="1" ht="13.5" customHeight="1" x14ac:dyDescent="0.2">
      <c r="A100" s="2041" t="s">
        <v>2191</v>
      </c>
      <c r="B100" s="2047"/>
      <c r="C100" s="2048"/>
      <c r="D100" s="2048"/>
      <c r="E100" s="2048"/>
      <c r="F100" s="2048"/>
    </row>
    <row r="101" spans="1:8" s="2043" customFormat="1" ht="13.5" customHeight="1" x14ac:dyDescent="0.2">
      <c r="A101" s="2048" t="s">
        <v>2192</v>
      </c>
      <c r="B101" s="2049"/>
    </row>
    <row r="102" spans="1:8" s="2043" customFormat="1" ht="13.5" customHeight="1" x14ac:dyDescent="0.2">
      <c r="A102" s="2048" t="s">
        <v>2193</v>
      </c>
      <c r="B102" s="2049"/>
    </row>
    <row r="103" spans="1:8" s="2043" customFormat="1" ht="13.5" customHeight="1" x14ac:dyDescent="0.2">
      <c r="A103" s="2048" t="s">
        <v>2194</v>
      </c>
      <c r="B103" s="2049"/>
    </row>
    <row r="104" spans="1:8" s="2052" customFormat="1" ht="13.5" customHeight="1" x14ac:dyDescent="0.15">
      <c r="A104" s="2050"/>
      <c r="B104" s="2051"/>
      <c r="E104" s="2053"/>
      <c r="F104" s="2053"/>
    </row>
  </sheetData>
  <mergeCells count="6">
    <mergeCell ref="A1:L1"/>
    <mergeCell ref="A2:L2"/>
    <mergeCell ref="A3:L3"/>
    <mergeCell ref="A4:L4"/>
    <mergeCell ref="E7:F7"/>
    <mergeCell ref="G7:H7"/>
  </mergeCells>
  <printOptions horizontalCentered="1" gridLinesSet="0"/>
  <pageMargins left="0.25" right="0.25" top="0.5" bottom="0.42" header="0.5" footer="0.23"/>
  <pageSetup scale="78" fitToHeight="0" orientation="landscape" r:id="rId1"/>
  <headerFooter alignWithMargins="0">
    <oddFooter>&amp;L&amp;"Times New Roman,Regular"See the accompanying notes to the Schedule of Expenditures of Federal Awards.</oddFooter>
  </headerFooter>
  <rowBreaks count="1" manualBreakCount="1">
    <brk id="5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76" t="str">
        <f>'Single Audit Cover'!A7</f>
        <v>Dunlap CUSD 323</v>
      </c>
      <c r="C1" s="2577"/>
      <c r="D1" s="2577"/>
      <c r="E1" s="2577"/>
      <c r="F1" s="2577"/>
      <c r="G1" s="2577"/>
      <c r="H1" s="2577"/>
      <c r="I1" s="2577"/>
      <c r="J1" s="1419"/>
    </row>
    <row r="2" spans="2:10" s="317" customFormat="1" ht="12.75" customHeight="1" x14ac:dyDescent="0.2">
      <c r="B2" s="2578">
        <f>'Single Audit Cover'!E7</f>
        <v>48072323026</v>
      </c>
      <c r="C2" s="2579"/>
      <c r="D2" s="2579"/>
      <c r="E2" s="2579"/>
      <c r="F2" s="2579"/>
      <c r="G2" s="2579"/>
      <c r="H2" s="2579"/>
      <c r="I2" s="2579"/>
      <c r="J2" s="1419"/>
    </row>
    <row r="3" spans="2:10" s="317" customFormat="1" ht="12.75" customHeight="1" x14ac:dyDescent="0.2">
      <c r="B3" s="2580" t="s">
        <v>1346</v>
      </c>
      <c r="C3" s="2581"/>
      <c r="D3" s="2581"/>
      <c r="E3" s="2581"/>
      <c r="F3" s="2581"/>
      <c r="G3" s="2581"/>
      <c r="H3" s="2581"/>
      <c r="I3" s="2581"/>
      <c r="J3" s="1420"/>
    </row>
    <row r="4" spans="2:10" s="317" customFormat="1" ht="12.75" customHeight="1" x14ac:dyDescent="0.2">
      <c r="B4" s="2580" t="str">
        <f>'Single Audit Cover'!A4</f>
        <v>Year Ending June 30, 2018</v>
      </c>
      <c r="C4" s="2581"/>
      <c r="D4" s="2581"/>
      <c r="E4" s="2581"/>
      <c r="F4" s="2581"/>
      <c r="G4" s="2581"/>
      <c r="H4" s="2581"/>
      <c r="I4" s="2581"/>
    </row>
    <row r="5" spans="2:10" s="317" customFormat="1" ht="6.2" customHeight="1" x14ac:dyDescent="0.2">
      <c r="B5" s="1421" t="s">
        <v>1230</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580" t="s">
        <v>1345</v>
      </c>
      <c r="C7" s="2581"/>
      <c r="D7" s="2581"/>
      <c r="E7" s="2581"/>
      <c r="F7" s="2581"/>
      <c r="G7" s="2581"/>
      <c r="H7" s="2581"/>
      <c r="I7" s="2581"/>
    </row>
    <row r="8" spans="2:10" s="317" customFormat="1" ht="6.2" customHeight="1" x14ac:dyDescent="0.2">
      <c r="B8" s="1423" t="s">
        <v>1230</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1344</v>
      </c>
      <c r="C10" s="1428"/>
      <c r="D10" s="1428"/>
      <c r="E10" s="1255"/>
    </row>
    <row r="11" spans="2:10" s="317" customFormat="1" ht="13.5" customHeight="1" x14ac:dyDescent="0.2">
      <c r="B11" s="1346" t="s">
        <v>1343</v>
      </c>
      <c r="C11" s="2582" t="s">
        <v>1225</v>
      </c>
      <c r="D11" s="2582"/>
      <c r="E11" s="1429"/>
      <c r="F11" s="1429"/>
      <c r="G11" s="1429"/>
    </row>
    <row r="12" spans="2:10" s="317" customFormat="1" ht="11.45" customHeight="1" x14ac:dyDescent="0.2">
      <c r="B12" s="1354"/>
      <c r="C12" s="1430" t="s">
        <v>1516</v>
      </c>
      <c r="D12" s="1431"/>
      <c r="E12" s="1255"/>
    </row>
    <row r="13" spans="2:10" s="317" customFormat="1" ht="12.75" customHeight="1" x14ac:dyDescent="0.2">
      <c r="B13" s="1432"/>
      <c r="C13" s="1384"/>
      <c r="D13" s="1384"/>
      <c r="E13" s="1255"/>
    </row>
    <row r="14" spans="2:10" s="317" customFormat="1" ht="12.75" customHeight="1" x14ac:dyDescent="0.2">
      <c r="B14" s="1365" t="s">
        <v>1342</v>
      </c>
      <c r="C14" s="1279"/>
      <c r="E14" s="1255"/>
    </row>
    <row r="15" spans="2:10" s="317" customFormat="1" ht="13.5" customHeight="1" x14ac:dyDescent="0.2">
      <c r="B15" s="1433" t="s">
        <v>1339</v>
      </c>
      <c r="C15" s="1434"/>
      <c r="D15" s="1395"/>
      <c r="E15" s="1435"/>
      <c r="F15" s="1297" t="s">
        <v>939</v>
      </c>
      <c r="G15" s="1435" t="s">
        <v>2072</v>
      </c>
      <c r="H15" s="1297" t="s">
        <v>1337</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1338</v>
      </c>
      <c r="C17" s="1434"/>
      <c r="D17" s="1395"/>
      <c r="E17" s="1436"/>
      <c r="F17" s="1254"/>
      <c r="G17" s="1436"/>
      <c r="H17" s="1297"/>
      <c r="I17" s="1297"/>
    </row>
    <row r="18" spans="2:9" s="317" customFormat="1" ht="12.75" customHeight="1" x14ac:dyDescent="0.2">
      <c r="B18" s="1433" t="s">
        <v>1517</v>
      </c>
      <c r="C18" s="1434"/>
      <c r="D18" s="1395"/>
      <c r="E18" s="1435"/>
      <c r="F18" s="1297" t="s">
        <v>939</v>
      </c>
      <c r="G18" s="1435" t="s">
        <v>2072</v>
      </c>
      <c r="H18" s="1297" t="s">
        <v>1337</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1672</v>
      </c>
      <c r="C20" s="1434"/>
      <c r="D20" s="1395"/>
      <c r="E20" s="1435"/>
      <c r="F20" s="1297" t="s">
        <v>939</v>
      </c>
      <c r="G20" s="1435" t="s">
        <v>2072</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1341</v>
      </c>
      <c r="C22" s="1437"/>
      <c r="D22" s="1428"/>
      <c r="E22" s="1380"/>
      <c r="F22" s="1297"/>
      <c r="G22" s="322"/>
      <c r="H22" s="1297"/>
      <c r="I22" s="1297"/>
    </row>
    <row r="23" spans="2:9" s="317" customFormat="1" ht="12.75" customHeight="1" x14ac:dyDescent="0.2">
      <c r="B23" s="1365" t="s">
        <v>1340</v>
      </c>
      <c r="C23" s="1279"/>
      <c r="E23" s="1380"/>
      <c r="F23" s="1297"/>
      <c r="G23" s="322"/>
      <c r="H23" s="1297"/>
      <c r="I23" s="1297"/>
    </row>
    <row r="24" spans="2:9" s="317" customFormat="1" ht="13.5" customHeight="1" x14ac:dyDescent="0.2">
      <c r="B24" s="1433" t="s">
        <v>1339</v>
      </c>
      <c r="C24" s="1434"/>
      <c r="D24" s="1395"/>
      <c r="E24" s="1435"/>
      <c r="F24" s="1297" t="s">
        <v>939</v>
      </c>
      <c r="G24" s="1435" t="s">
        <v>2072</v>
      </c>
      <c r="H24" s="1297" t="s">
        <v>1337</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1338</v>
      </c>
      <c r="C26" s="1434"/>
      <c r="D26" s="1395"/>
      <c r="E26" s="1436"/>
      <c r="F26" s="1254"/>
      <c r="G26" s="1436"/>
      <c r="H26" s="1297"/>
      <c r="I26" s="1297"/>
    </row>
    <row r="27" spans="2:9" s="317" customFormat="1" ht="12.75" customHeight="1" x14ac:dyDescent="0.2">
      <c r="B27" s="1433" t="s">
        <v>1517</v>
      </c>
      <c r="C27" s="1434"/>
      <c r="D27" s="1395"/>
      <c r="E27" s="1435"/>
      <c r="F27" s="1297" t="s">
        <v>939</v>
      </c>
      <c r="G27" s="1435" t="s">
        <v>2072</v>
      </c>
      <c r="H27" s="1297" t="s">
        <v>1337</v>
      </c>
      <c r="I27" s="1297"/>
    </row>
    <row r="28" spans="2:9" s="317" customFormat="1" ht="12.75" customHeight="1" x14ac:dyDescent="0.2">
      <c r="B28" s="1365"/>
      <c r="C28" s="1279"/>
      <c r="E28" s="1255"/>
    </row>
    <row r="29" spans="2:9" s="317" customFormat="1" ht="12.75" customHeight="1" x14ac:dyDescent="0.2">
      <c r="B29" s="1365" t="s">
        <v>1336</v>
      </c>
      <c r="C29" s="1279"/>
      <c r="D29" s="2583" t="s">
        <v>2199</v>
      </c>
      <c r="E29" s="2583"/>
      <c r="F29" s="2583"/>
      <c r="G29" s="2583"/>
      <c r="H29" s="2583"/>
      <c r="I29" s="2583"/>
    </row>
    <row r="30" spans="2:9" s="317" customFormat="1" x14ac:dyDescent="0.2">
      <c r="B30" s="1365"/>
      <c r="C30" s="322"/>
      <c r="D30" s="1430" t="s">
        <v>1847</v>
      </c>
      <c r="E30" s="1431"/>
      <c r="F30" s="1431"/>
      <c r="G30" s="1431"/>
      <c r="H30" s="1431"/>
      <c r="I30" s="1431"/>
    </row>
    <row r="31" spans="2:9" s="317" customFormat="1" ht="9.9499999999999993" customHeight="1" x14ac:dyDescent="0.2">
      <c r="B31" s="1365"/>
      <c r="E31" s="1255"/>
    </row>
    <row r="32" spans="2:9" s="317" customFormat="1" x14ac:dyDescent="0.2">
      <c r="B32" s="1365" t="s">
        <v>1335</v>
      </c>
      <c r="C32" s="1279"/>
      <c r="E32" s="1255"/>
    </row>
    <row r="33" spans="2:9" ht="13.5" customHeight="1" x14ac:dyDescent="0.2">
      <c r="B33" s="1365" t="s">
        <v>1632</v>
      </c>
      <c r="C33" s="1279"/>
      <c r="E33" s="1435"/>
      <c r="F33" s="1297" t="s">
        <v>939</v>
      </c>
      <c r="G33" s="1435" t="s">
        <v>2072</v>
      </c>
      <c r="H33" s="1297" t="s">
        <v>101</v>
      </c>
    </row>
    <row r="35" spans="2:9" x14ac:dyDescent="0.2">
      <c r="B35" s="1438" t="s">
        <v>1848</v>
      </c>
      <c r="C35" s="1439"/>
      <c r="D35" s="1264"/>
    </row>
    <row r="36" spans="2:9" ht="6" customHeight="1" x14ac:dyDescent="0.2">
      <c r="B36" s="1438"/>
      <c r="C36" s="1439"/>
      <c r="D36" s="1264"/>
    </row>
    <row r="37" spans="2:9" ht="17.25" customHeight="1" x14ac:dyDescent="0.2">
      <c r="B37" s="1440" t="s">
        <v>1849</v>
      </c>
      <c r="C37" s="2584" t="s">
        <v>1850</v>
      </c>
      <c r="D37" s="2585"/>
      <c r="E37" s="2585"/>
      <c r="F37" s="2586"/>
      <c r="G37" s="2584" t="s">
        <v>1673</v>
      </c>
      <c r="H37" s="2585"/>
      <c r="I37" s="2586"/>
    </row>
    <row r="38" spans="2:9" ht="16.5" customHeight="1" x14ac:dyDescent="0.2">
      <c r="B38" s="1441">
        <v>10.555</v>
      </c>
      <c r="C38" s="2572" t="s">
        <v>2232</v>
      </c>
      <c r="D38" s="2573"/>
      <c r="E38" s="2573"/>
      <c r="F38" s="2574"/>
      <c r="G38" s="2587">
        <f>SEFA18!H31</f>
        <v>463730</v>
      </c>
      <c r="H38" s="2588"/>
      <c r="I38" s="2589"/>
    </row>
    <row r="39" spans="2:9" ht="16.5" hidden="1" customHeight="1" x14ac:dyDescent="0.2">
      <c r="B39" s="1441"/>
      <c r="C39" s="2572"/>
      <c r="D39" s="2573"/>
      <c r="E39" s="2573"/>
      <c r="F39" s="2574"/>
      <c r="G39" s="2575"/>
      <c r="H39" s="2575"/>
      <c r="I39" s="2575"/>
    </row>
    <row r="40" spans="2:9" ht="16.5" hidden="1" customHeight="1" x14ac:dyDescent="0.2">
      <c r="B40" s="1441"/>
      <c r="C40" s="2572"/>
      <c r="D40" s="2573"/>
      <c r="E40" s="2573"/>
      <c r="F40" s="2574"/>
      <c r="G40" s="2575"/>
      <c r="H40" s="2575"/>
      <c r="I40" s="2575"/>
    </row>
    <row r="41" spans="2:9" ht="16.5" hidden="1" customHeight="1" x14ac:dyDescent="0.2">
      <c r="B41" s="1441"/>
      <c r="C41" s="2572"/>
      <c r="D41" s="2573"/>
      <c r="E41" s="2573"/>
      <c r="F41" s="2574"/>
      <c r="G41" s="2575"/>
      <c r="H41" s="2575"/>
      <c r="I41" s="2575"/>
    </row>
    <row r="42" spans="2:9" ht="16.5" hidden="1" customHeight="1" x14ac:dyDescent="0.2">
      <c r="B42" s="1441"/>
      <c r="C42" s="2572"/>
      <c r="D42" s="2573"/>
      <c r="E42" s="2573"/>
      <c r="F42" s="2574"/>
      <c r="G42" s="2575"/>
      <c r="H42" s="2575"/>
      <c r="I42" s="2575"/>
    </row>
    <row r="43" spans="2:9" ht="16.5" customHeight="1" x14ac:dyDescent="0.2">
      <c r="B43" s="1441"/>
      <c r="C43" s="2590" t="s">
        <v>1674</v>
      </c>
      <c r="D43" s="2591"/>
      <c r="E43" s="2591"/>
      <c r="F43" s="2592"/>
      <c r="G43" s="2593">
        <f>SUM(G38:I42)</f>
        <v>463730</v>
      </c>
      <c r="H43" s="2593"/>
      <c r="I43" s="2593"/>
    </row>
    <row r="44" spans="2:9" ht="12.75" customHeight="1" x14ac:dyDescent="0.2"/>
    <row r="45" spans="2:9" ht="12.75" customHeight="1" x14ac:dyDescent="0.2">
      <c r="B45" s="1432" t="s">
        <v>1947</v>
      </c>
      <c r="D45" s="2594">
        <f>SEFA18!H87</f>
        <v>1073552</v>
      </c>
      <c r="E45" s="2595"/>
    </row>
    <row r="46" spans="2:9" ht="5.25" customHeight="1" x14ac:dyDescent="0.2">
      <c r="B46" s="1442"/>
      <c r="D46" s="1443"/>
      <c r="E46" s="1444"/>
    </row>
    <row r="47" spans="2:9" ht="12.75" customHeight="1" x14ac:dyDescent="0.2">
      <c r="B47" s="1297" t="s">
        <v>1675</v>
      </c>
      <c r="C47" s="1297"/>
      <c r="D47" s="1445">
        <f>+G43/D45</f>
        <v>0.43195858235092477</v>
      </c>
      <c r="E47" s="1446"/>
      <c r="F47" s="1447"/>
      <c r="I47" s="1448"/>
    </row>
    <row r="48" spans="2:9" ht="9.9499999999999993" customHeight="1" x14ac:dyDescent="0.2"/>
    <row r="49" spans="1:9" x14ac:dyDescent="0.2">
      <c r="B49" s="1365" t="s">
        <v>1334</v>
      </c>
      <c r="C49" s="1279"/>
      <c r="D49" s="1279"/>
      <c r="E49" s="2596">
        <v>750000</v>
      </c>
      <c r="F49" s="2596"/>
      <c r="G49" s="2596"/>
      <c r="H49" s="322"/>
    </row>
    <row r="51" spans="1:9" ht="13.5" customHeight="1" x14ac:dyDescent="0.2">
      <c r="B51" s="1365" t="s">
        <v>1333</v>
      </c>
      <c r="C51" s="1279"/>
      <c r="E51" s="1435"/>
      <c r="F51" s="1297" t="s">
        <v>939</v>
      </c>
      <c r="G51" s="1435" t="s">
        <v>2072</v>
      </c>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1851</v>
      </c>
      <c r="C54" s="1457"/>
      <c r="D54" s="1457"/>
    </row>
    <row r="55" spans="1:9" s="1458" customFormat="1" ht="12.75" customHeight="1" x14ac:dyDescent="0.2">
      <c r="A55" s="1455"/>
      <c r="B55" s="1459" t="s">
        <v>1676</v>
      </c>
      <c r="C55" s="1455"/>
      <c r="D55" s="1455"/>
    </row>
    <row r="56" spans="1:9" s="1458" customFormat="1" ht="12.75" customHeight="1" x14ac:dyDescent="0.2">
      <c r="A56" s="1455"/>
      <c r="B56" s="1459" t="s">
        <v>1677</v>
      </c>
      <c r="C56" s="1455"/>
      <c r="D56" s="1455"/>
    </row>
    <row r="57" spans="1:9" s="1458" customFormat="1" ht="3.95" customHeight="1" x14ac:dyDescent="0.2">
      <c r="A57" s="1455"/>
      <c r="B57" s="1459"/>
      <c r="C57" s="1455"/>
      <c r="D57" s="1455"/>
    </row>
    <row r="58" spans="1:9" s="1458" customFormat="1" ht="13.5" customHeight="1" x14ac:dyDescent="0.2">
      <c r="A58" s="1455"/>
      <c r="B58" s="1460" t="s">
        <v>1852</v>
      </c>
      <c r="C58" s="1461"/>
      <c r="D58" s="1461"/>
    </row>
    <row r="59" spans="1:9" s="1458" customFormat="1" ht="3.95" customHeight="1" x14ac:dyDescent="0.2">
      <c r="A59" s="1455"/>
      <c r="B59" s="1460"/>
      <c r="C59" s="1461"/>
      <c r="D59" s="1461"/>
    </row>
    <row r="60" spans="1:9" s="1458" customFormat="1" ht="13.5" customHeight="1" x14ac:dyDescent="0.2">
      <c r="A60" s="1455"/>
      <c r="B60" s="1460" t="s">
        <v>1853</v>
      </c>
      <c r="C60" s="1461"/>
      <c r="D60" s="1461"/>
    </row>
    <row r="61" spans="1:9" s="1458" customFormat="1" ht="3.95" customHeight="1" x14ac:dyDescent="0.2">
      <c r="A61" s="1455"/>
      <c r="B61" s="1460"/>
      <c r="C61" s="1461"/>
      <c r="D61" s="1461"/>
    </row>
    <row r="62" spans="1:9" s="1458" customFormat="1" ht="12.75" customHeight="1" x14ac:dyDescent="0.2">
      <c r="A62" s="1455"/>
      <c r="B62" s="1460" t="s">
        <v>1854</v>
      </c>
      <c r="C62" s="1461"/>
      <c r="D62" s="1461"/>
    </row>
    <row r="63" spans="1:9" s="1458" customFormat="1" ht="13.5" customHeight="1" x14ac:dyDescent="0.2">
      <c r="A63" s="1455"/>
      <c r="B63" s="1459" t="s">
        <v>1678</v>
      </c>
      <c r="C63" s="1455"/>
      <c r="D63" s="145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fitToHeight="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5.7109375" style="317" bestFit="1"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76" t="str">
        <f>'Single Audit Cover'!A7</f>
        <v>Dunlap CUSD 323</v>
      </c>
      <c r="C1" s="2576"/>
      <c r="D1" s="2576"/>
      <c r="E1" s="2576"/>
      <c r="F1" s="2576"/>
      <c r="G1" s="2576"/>
      <c r="H1" s="2576"/>
      <c r="I1" s="2576"/>
      <c r="J1" s="2576"/>
      <c r="K1" s="2576"/>
      <c r="L1" s="1371"/>
      <c r="M1" s="1371"/>
    </row>
    <row r="2" spans="1:13" ht="12" customHeight="1" x14ac:dyDescent="0.2">
      <c r="B2" s="2578">
        <f>'Single Audit Cover'!E7</f>
        <v>48072323026</v>
      </c>
      <c r="C2" s="2578"/>
      <c r="D2" s="2578"/>
      <c r="E2" s="2578"/>
      <c r="F2" s="2578"/>
      <c r="G2" s="2578"/>
      <c r="H2" s="2578"/>
      <c r="I2" s="2578"/>
      <c r="J2" s="2578"/>
      <c r="K2" s="2578"/>
      <c r="L2" s="1372"/>
      <c r="M2" s="1373"/>
    </row>
    <row r="3" spans="1:13" ht="10.35" customHeight="1" x14ac:dyDescent="0.2">
      <c r="B3" s="2599" t="s">
        <v>1346</v>
      </c>
      <c r="C3" s="2599"/>
      <c r="D3" s="2599"/>
      <c r="E3" s="2599"/>
      <c r="F3" s="2599"/>
      <c r="G3" s="2599"/>
      <c r="H3" s="2599"/>
      <c r="I3" s="2599"/>
      <c r="J3" s="2599"/>
      <c r="K3" s="2599"/>
      <c r="L3" s="1374"/>
      <c r="M3" s="1374"/>
    </row>
    <row r="4" spans="1:13" ht="14.25" customHeight="1" x14ac:dyDescent="0.2">
      <c r="B4" s="2600" t="str">
        <f>'Single Audit Cover'!A4</f>
        <v>Year Ending June 30, 2018</v>
      </c>
      <c r="C4" s="2600"/>
      <c r="D4" s="2600"/>
      <c r="E4" s="2600"/>
      <c r="F4" s="2600"/>
      <c r="G4" s="2600"/>
      <c r="H4" s="2600"/>
      <c r="I4" s="2600"/>
      <c r="J4" s="2600"/>
      <c r="K4" s="2600"/>
      <c r="L4" s="313"/>
      <c r="M4" s="313"/>
    </row>
    <row r="5" spans="1:13" ht="7.5" customHeight="1" x14ac:dyDescent="0.2">
      <c r="B5" s="1257" t="s">
        <v>1230</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0" t="s">
        <v>1362</v>
      </c>
      <c r="C7" s="2600"/>
      <c r="D7" s="2601"/>
      <c r="E7" s="2601"/>
      <c r="F7" s="2601"/>
      <c r="G7" s="2601"/>
      <c r="H7" s="2601"/>
      <c r="I7" s="2601"/>
      <c r="J7" s="2601"/>
      <c r="K7" s="260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1841</v>
      </c>
      <c r="C10" s="1382" t="s">
        <v>1948</v>
      </c>
      <c r="D10" s="1383" t="s">
        <v>2195</v>
      </c>
      <c r="E10" s="322"/>
      <c r="F10" s="1384" t="s">
        <v>1361</v>
      </c>
      <c r="G10" s="1385"/>
      <c r="H10" s="1386" t="s">
        <v>1360</v>
      </c>
      <c r="I10" s="1385"/>
      <c r="J10" s="1387" t="s">
        <v>1359</v>
      </c>
      <c r="K10" s="322"/>
      <c r="L10" s="1378"/>
    </row>
    <row r="11" spans="1:13" ht="13.5" customHeight="1" x14ac:dyDescent="0.2">
      <c r="B11" s="322"/>
      <c r="C11" s="322"/>
      <c r="D11" s="322"/>
      <c r="E11" s="322"/>
      <c r="F11" s="322"/>
      <c r="G11" s="1380"/>
      <c r="H11" s="322"/>
      <c r="I11" s="1388" t="s">
        <v>1358</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1357</v>
      </c>
      <c r="C13" s="1390"/>
      <c r="D13" s="1391"/>
      <c r="E13" s="1391"/>
      <c r="F13" s="1391"/>
      <c r="G13" s="1392"/>
      <c r="H13" s="1391"/>
      <c r="I13" s="1392"/>
      <c r="J13" s="1391"/>
      <c r="K13" s="1391"/>
      <c r="L13" s="1393"/>
    </row>
    <row r="14" spans="1:13" ht="45.75" customHeight="1" x14ac:dyDescent="0.2">
      <c r="B14" s="2598"/>
      <c r="C14" s="2598"/>
      <c r="D14" s="2598"/>
      <c r="E14" s="2598"/>
      <c r="F14" s="2598"/>
      <c r="G14" s="2598"/>
      <c r="H14" s="2598"/>
      <c r="I14" s="2598"/>
      <c r="J14" s="2598"/>
      <c r="K14" s="259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1356</v>
      </c>
      <c r="C16" s="1390"/>
      <c r="D16" s="1391"/>
      <c r="E16" s="1391"/>
      <c r="F16" s="1391"/>
      <c r="G16" s="1392"/>
      <c r="H16" s="1391"/>
      <c r="I16" s="1392"/>
      <c r="J16" s="1391"/>
      <c r="K16" s="1391"/>
      <c r="L16" s="1393"/>
    </row>
    <row r="17" spans="2:12" ht="45.75" customHeight="1" x14ac:dyDescent="0.2">
      <c r="B17" s="2598"/>
      <c r="C17" s="2598"/>
      <c r="D17" s="2598"/>
      <c r="E17" s="2598"/>
      <c r="F17" s="2598"/>
      <c r="G17" s="2598"/>
      <c r="H17" s="2598"/>
      <c r="I17" s="2598"/>
      <c r="J17" s="2598"/>
      <c r="K17" s="2598"/>
      <c r="L17" s="1378"/>
    </row>
    <row r="18" spans="2:12" ht="4.5" customHeight="1" x14ac:dyDescent="0.2">
      <c r="B18" s="1395"/>
      <c r="C18" s="1395"/>
      <c r="L18" s="1378"/>
    </row>
    <row r="19" spans="2:12" s="1279" customFormat="1" ht="13.5" customHeight="1" x14ac:dyDescent="0.2">
      <c r="B19" s="1390" t="s">
        <v>1842</v>
      </c>
      <c r="C19" s="1390"/>
      <c r="D19" s="1391"/>
      <c r="E19" s="1391"/>
      <c r="F19" s="1391"/>
      <c r="G19" s="1392"/>
      <c r="H19" s="1391"/>
      <c r="I19" s="1392"/>
      <c r="J19" s="1391"/>
      <c r="K19" s="1391"/>
      <c r="L19" s="1393"/>
    </row>
    <row r="20" spans="2:12" ht="45.75" customHeight="1" x14ac:dyDescent="0.2">
      <c r="B20" s="2602"/>
      <c r="C20" s="2602"/>
      <c r="D20" s="2598"/>
      <c r="E20" s="2598"/>
      <c r="F20" s="2598"/>
      <c r="G20" s="2598"/>
      <c r="H20" s="2598"/>
      <c r="I20" s="2598"/>
      <c r="J20" s="2598"/>
      <c r="K20" s="2598"/>
      <c r="L20" s="1378"/>
    </row>
    <row r="21" spans="2:12" ht="4.5" customHeight="1" x14ac:dyDescent="0.2">
      <c r="B21" s="1397"/>
      <c r="C21" s="1397"/>
      <c r="L21" s="1378"/>
    </row>
    <row r="22" spans="2:12" ht="13.5" customHeight="1" x14ac:dyDescent="0.2">
      <c r="B22" s="1390" t="s">
        <v>1355</v>
      </c>
      <c r="C22" s="1390"/>
      <c r="D22" s="1376"/>
      <c r="E22" s="1376"/>
      <c r="F22" s="1376"/>
      <c r="G22" s="1377"/>
      <c r="H22" s="1376"/>
      <c r="I22" s="1377"/>
      <c r="J22" s="1376"/>
      <c r="K22" s="1376"/>
      <c r="L22" s="1378"/>
    </row>
    <row r="23" spans="2:12" ht="45" customHeight="1" x14ac:dyDescent="0.2">
      <c r="B23" s="2598"/>
      <c r="C23" s="2598"/>
      <c r="D23" s="2598"/>
      <c r="E23" s="2598"/>
      <c r="F23" s="2598"/>
      <c r="G23" s="2598"/>
      <c r="H23" s="2598"/>
      <c r="I23" s="2598"/>
      <c r="J23" s="2598"/>
      <c r="K23" s="2598"/>
      <c r="L23" s="1378"/>
    </row>
    <row r="24" spans="2:12" ht="4.5" customHeight="1" x14ac:dyDescent="0.2">
      <c r="B24" s="1395"/>
      <c r="C24" s="1395"/>
      <c r="L24" s="1378"/>
    </row>
    <row r="25" spans="2:12" ht="13.5" customHeight="1" x14ac:dyDescent="0.2">
      <c r="B25" s="1390" t="s">
        <v>1354</v>
      </c>
      <c r="C25" s="1390"/>
      <c r="D25" s="1376"/>
      <c r="E25" s="1376"/>
      <c r="F25" s="1376"/>
      <c r="G25" s="1377"/>
      <c r="H25" s="1376"/>
      <c r="I25" s="1377"/>
      <c r="J25" s="1376"/>
      <c r="K25" s="1376"/>
      <c r="L25" s="1378"/>
    </row>
    <row r="26" spans="2:12" ht="45.75" customHeight="1" x14ac:dyDescent="0.2">
      <c r="B26" s="2598"/>
      <c r="C26" s="2598"/>
      <c r="D26" s="2598"/>
      <c r="E26" s="2598"/>
      <c r="F26" s="2598"/>
      <c r="G26" s="2598"/>
      <c r="H26" s="2598"/>
      <c r="I26" s="2598"/>
      <c r="J26" s="2598"/>
      <c r="K26" s="2598"/>
      <c r="L26" s="1378"/>
    </row>
    <row r="27" spans="2:12" ht="4.5" customHeight="1" x14ac:dyDescent="0.2">
      <c r="B27" s="1395"/>
      <c r="C27" s="1395"/>
      <c r="L27" s="1378"/>
    </row>
    <row r="28" spans="2:12" ht="13.5" customHeight="1" x14ac:dyDescent="0.2">
      <c r="B28" s="1398" t="s">
        <v>1353</v>
      </c>
      <c r="C28" s="1398"/>
      <c r="D28" s="1376"/>
      <c r="E28" s="1376"/>
      <c r="F28" s="1376"/>
      <c r="G28" s="1377"/>
      <c r="H28" s="1376"/>
      <c r="I28" s="1377"/>
      <c r="J28" s="1376"/>
      <c r="K28" s="1376"/>
      <c r="L28" s="1378"/>
    </row>
    <row r="29" spans="2:12" ht="45.75" customHeight="1" x14ac:dyDescent="0.2">
      <c r="B29" s="2597"/>
      <c r="C29" s="2597"/>
      <c r="D29" s="2598"/>
      <c r="E29" s="2598"/>
      <c r="F29" s="2598"/>
      <c r="G29" s="2598"/>
      <c r="H29" s="2598"/>
      <c r="I29" s="2598"/>
      <c r="J29" s="2598"/>
      <c r="K29" s="259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1843</v>
      </c>
      <c r="C31" s="1400"/>
      <c r="D31" s="1375"/>
      <c r="E31" s="1376"/>
      <c r="F31" s="1376"/>
      <c r="G31" s="1377"/>
      <c r="H31" s="1376"/>
      <c r="I31" s="1377"/>
      <c r="J31" s="1376"/>
      <c r="K31" s="1376"/>
      <c r="L31" s="1378"/>
    </row>
    <row r="32" spans="2:12" s="322" customFormat="1" ht="44.25" customHeight="1" x14ac:dyDescent="0.2">
      <c r="B32" s="2597"/>
      <c r="C32" s="2597"/>
      <c r="D32" s="2598"/>
      <c r="E32" s="2598"/>
      <c r="F32" s="2598"/>
      <c r="G32" s="2598"/>
      <c r="H32" s="2598"/>
      <c r="I32" s="2598"/>
      <c r="J32" s="2598"/>
      <c r="K32" s="2598"/>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1844</v>
      </c>
      <c r="C35" s="1416"/>
      <c r="D35" s="322"/>
      <c r="E35" s="322"/>
      <c r="F35" s="322"/>
      <c r="L35" s="1378"/>
    </row>
    <row r="36" spans="1:13" ht="9.6" customHeight="1" x14ac:dyDescent="0.2">
      <c r="B36" s="1297" t="s">
        <v>1949</v>
      </c>
      <c r="C36" s="1297"/>
      <c r="L36" s="1378"/>
    </row>
    <row r="37" spans="1:13" ht="9.6" customHeight="1" x14ac:dyDescent="0.2">
      <c r="B37" s="1297" t="s">
        <v>1950</v>
      </c>
      <c r="C37" s="1297"/>
    </row>
    <row r="38" spans="1:13" ht="11.85" customHeight="1" x14ac:dyDescent="0.2">
      <c r="B38" s="1417" t="s">
        <v>1845</v>
      </c>
      <c r="C38" s="1417"/>
    </row>
    <row r="39" spans="1:13" ht="9.6" customHeight="1" x14ac:dyDescent="0.2">
      <c r="B39" s="1297" t="s">
        <v>1347</v>
      </c>
      <c r="C39" s="1297"/>
      <c r="M39" s="1418"/>
    </row>
    <row r="40" spans="1:13" ht="12.6" customHeight="1" x14ac:dyDescent="0.2">
      <c r="B40" s="1417" t="s">
        <v>1846</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5.7109375" style="317" bestFit="1"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03" t="str">
        <f>'Single Audit Cover'!A7</f>
        <v>Dunlap CUSD 323</v>
      </c>
      <c r="C1" s="2603"/>
      <c r="D1" s="2603"/>
      <c r="E1" s="2603"/>
      <c r="F1" s="2603"/>
      <c r="G1" s="2603"/>
      <c r="H1" s="2603"/>
      <c r="I1" s="2603"/>
      <c r="J1" s="2603"/>
      <c r="K1" s="2603"/>
      <c r="L1" s="1462"/>
    </row>
    <row r="2" spans="1:12" ht="12.75" customHeight="1" x14ac:dyDescent="0.2">
      <c r="B2" s="2604">
        <f>'Single Audit Cover'!E7</f>
        <v>48072323026</v>
      </c>
      <c r="C2" s="2604"/>
      <c r="D2" s="2604"/>
      <c r="E2" s="2604"/>
      <c r="F2" s="2604"/>
      <c r="G2" s="2604"/>
      <c r="H2" s="2604"/>
      <c r="I2" s="2604"/>
      <c r="J2" s="2604"/>
      <c r="K2" s="2604"/>
      <c r="L2" s="1463"/>
    </row>
    <row r="3" spans="1:12" ht="12.75" customHeight="1" x14ac:dyDescent="0.2">
      <c r="B3" s="2599" t="s">
        <v>1346</v>
      </c>
      <c r="C3" s="2599"/>
      <c r="D3" s="2599"/>
      <c r="E3" s="2599"/>
      <c r="F3" s="2599"/>
      <c r="G3" s="2599"/>
      <c r="H3" s="2599"/>
      <c r="I3" s="2599"/>
      <c r="J3" s="2599"/>
      <c r="K3" s="2599"/>
      <c r="L3" s="1374"/>
    </row>
    <row r="4" spans="1:12" ht="12.75" customHeight="1" x14ac:dyDescent="0.2">
      <c r="B4" s="2599" t="str">
        <f>'Single Audit Cover'!A4</f>
        <v>Year Ending June 30, 2018</v>
      </c>
      <c r="C4" s="2599"/>
      <c r="D4" s="2599"/>
      <c r="E4" s="2599"/>
      <c r="F4" s="2599"/>
      <c r="G4" s="2599"/>
      <c r="H4" s="2599"/>
      <c r="I4" s="2599"/>
      <c r="J4" s="2599"/>
      <c r="K4" s="2599"/>
      <c r="L4" s="1374"/>
    </row>
    <row r="5" spans="1:12" ht="5.25" customHeight="1" x14ac:dyDescent="0.2">
      <c r="B5" s="1257" t="s">
        <v>1230</v>
      </c>
      <c r="C5" s="1257"/>
      <c r="L5" s="322"/>
    </row>
    <row r="6" spans="1:12" ht="30.75" customHeight="1" x14ac:dyDescent="0.2">
      <c r="A6" s="322"/>
      <c r="B6" s="2605" t="s">
        <v>1374</v>
      </c>
      <c r="C6" s="2605"/>
      <c r="D6" s="2605"/>
      <c r="E6" s="2605"/>
      <c r="F6" s="2605"/>
      <c r="G6" s="2605"/>
      <c r="H6" s="2605"/>
      <c r="I6" s="2605"/>
      <c r="J6" s="2605"/>
      <c r="K6" s="2605"/>
      <c r="L6" s="322"/>
    </row>
    <row r="7" spans="1:12" ht="4.5" customHeight="1" x14ac:dyDescent="0.2">
      <c r="B7" s="1376"/>
      <c r="C7" s="1376"/>
      <c r="D7" s="1376"/>
      <c r="E7" s="1376"/>
      <c r="F7" s="1376"/>
      <c r="G7" s="1377"/>
      <c r="H7" s="1376"/>
      <c r="I7" s="1377"/>
      <c r="J7" s="1376"/>
      <c r="K7" s="1376"/>
      <c r="L7" s="322"/>
    </row>
    <row r="8" spans="1:12" ht="13.5" customHeight="1" x14ac:dyDescent="0.2">
      <c r="B8" s="1384" t="s">
        <v>1855</v>
      </c>
      <c r="C8" s="1464" t="s">
        <v>1948</v>
      </c>
      <c r="D8" s="1465" t="s">
        <v>2195</v>
      </c>
      <c r="E8" s="322"/>
      <c r="F8" s="1381" t="s">
        <v>1361</v>
      </c>
      <c r="G8" s="1466"/>
      <c r="H8" s="1467" t="s">
        <v>1373</v>
      </c>
      <c r="I8" s="1466"/>
      <c r="J8" s="1468" t="s">
        <v>1372</v>
      </c>
      <c r="L8" s="322"/>
    </row>
    <row r="9" spans="1:12" ht="13.5" customHeight="1" x14ac:dyDescent="0.2">
      <c r="D9" s="322"/>
      <c r="E9" s="322"/>
      <c r="F9" s="322"/>
      <c r="G9" s="1380"/>
      <c r="H9" s="322"/>
      <c r="I9" s="1469" t="s">
        <v>1358</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1371</v>
      </c>
      <c r="C12" s="1381"/>
      <c r="D12" s="304"/>
      <c r="E12" s="322"/>
      <c r="F12" s="2583"/>
      <c r="G12" s="2583"/>
      <c r="H12" s="2583"/>
      <c r="I12" s="2583"/>
      <c r="J12" s="2583"/>
      <c r="K12" s="2583"/>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1370</v>
      </c>
      <c r="C14" s="1384"/>
      <c r="D14" s="2606"/>
      <c r="E14" s="2606"/>
      <c r="F14" s="2606"/>
      <c r="H14" s="1472" t="s">
        <v>1369</v>
      </c>
      <c r="I14" s="2607"/>
      <c r="J14" s="2607"/>
      <c r="K14" s="2607"/>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1368</v>
      </c>
      <c r="C16" s="1384"/>
      <c r="D16" s="2607"/>
      <c r="E16" s="2607"/>
      <c r="F16" s="2607"/>
      <c r="G16" s="2607"/>
      <c r="H16" s="2607"/>
      <c r="I16" s="2607"/>
      <c r="J16" s="2607"/>
      <c r="K16" s="2607"/>
      <c r="L16" s="322"/>
    </row>
    <row r="17" spans="2:12" ht="13.5" customHeight="1" x14ac:dyDescent="0.2">
      <c r="B17" s="1384" t="s">
        <v>1367</v>
      </c>
      <c r="C17" s="1384"/>
      <c r="D17" s="2608"/>
      <c r="E17" s="2608"/>
      <c r="F17" s="2608"/>
      <c r="G17" s="2608"/>
      <c r="H17" s="2608"/>
      <c r="I17" s="2608"/>
      <c r="J17" s="2608"/>
      <c r="K17" s="2608"/>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1366</v>
      </c>
      <c r="C19" s="1474"/>
      <c r="D19" s="328"/>
      <c r="E19" s="328"/>
      <c r="F19" s="328"/>
      <c r="G19" s="1475"/>
      <c r="H19" s="328"/>
      <c r="I19" s="1475"/>
      <c r="J19" s="322"/>
      <c r="K19" s="322"/>
      <c r="L19" s="322"/>
    </row>
    <row r="20" spans="2:12" ht="35.25" customHeight="1" x14ac:dyDescent="0.2">
      <c r="B20" s="2598"/>
      <c r="C20" s="2598"/>
      <c r="D20" s="2598"/>
      <c r="E20" s="2598"/>
      <c r="F20" s="2598"/>
      <c r="G20" s="2598"/>
      <c r="H20" s="2598"/>
      <c r="I20" s="2598"/>
      <c r="J20" s="2598"/>
      <c r="K20" s="2598"/>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1856</v>
      </c>
      <c r="C22" s="1474"/>
      <c r="D22" s="322"/>
      <c r="E22" s="322"/>
      <c r="F22" s="322"/>
      <c r="G22" s="1380"/>
      <c r="H22" s="322"/>
      <c r="I22" s="1380"/>
      <c r="J22" s="322"/>
      <c r="K22" s="322"/>
      <c r="L22" s="322"/>
    </row>
    <row r="23" spans="2:12" ht="37.5" customHeight="1" x14ac:dyDescent="0.2">
      <c r="B23" s="2598"/>
      <c r="C23" s="2598"/>
      <c r="D23" s="2598"/>
      <c r="E23" s="2598"/>
      <c r="F23" s="2598"/>
      <c r="G23" s="2598"/>
      <c r="H23" s="2598"/>
      <c r="I23" s="2598"/>
      <c r="J23" s="2598"/>
      <c r="K23" s="2598"/>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1857</v>
      </c>
      <c r="C25" s="1474"/>
      <c r="D25" s="322"/>
      <c r="E25" s="322"/>
      <c r="F25" s="322"/>
      <c r="G25" s="1380"/>
      <c r="H25" s="322"/>
      <c r="I25" s="1380"/>
      <c r="J25" s="322"/>
      <c r="K25" s="322"/>
      <c r="L25" s="322"/>
    </row>
    <row r="26" spans="2:12" ht="37.5" customHeight="1" x14ac:dyDescent="0.2">
      <c r="B26" s="2598"/>
      <c r="C26" s="2598"/>
      <c r="D26" s="2598"/>
      <c r="E26" s="2598"/>
      <c r="F26" s="2598"/>
      <c r="G26" s="2598"/>
      <c r="H26" s="2598"/>
      <c r="I26" s="2598"/>
      <c r="J26" s="2598"/>
      <c r="K26" s="2598"/>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1858</v>
      </c>
      <c r="C28" s="1474"/>
      <c r="D28" s="322"/>
      <c r="E28" s="322"/>
      <c r="F28" s="322"/>
      <c r="G28" s="1380"/>
      <c r="H28" s="322"/>
      <c r="I28" s="1380"/>
      <c r="J28" s="322"/>
      <c r="K28" s="322"/>
      <c r="L28" s="322"/>
    </row>
    <row r="29" spans="2:12" ht="37.5" customHeight="1" x14ac:dyDescent="0.2">
      <c r="B29" s="2598"/>
      <c r="C29" s="2598"/>
      <c r="D29" s="2598"/>
      <c r="E29" s="2598"/>
      <c r="F29" s="2598"/>
      <c r="G29" s="2598"/>
      <c r="H29" s="2598"/>
      <c r="I29" s="2598"/>
      <c r="J29" s="2598"/>
      <c r="K29" s="2598"/>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1365</v>
      </c>
      <c r="C31" s="1474"/>
      <c r="D31" s="322"/>
      <c r="E31" s="322"/>
      <c r="F31" s="322"/>
      <c r="G31" s="1380"/>
      <c r="H31" s="322"/>
      <c r="I31" s="1380"/>
      <c r="J31" s="322"/>
      <c r="K31" s="322"/>
      <c r="L31" s="322"/>
    </row>
    <row r="32" spans="2:12" ht="37.5" customHeight="1" x14ac:dyDescent="0.2">
      <c r="B32" s="2598"/>
      <c r="C32" s="2598"/>
      <c r="D32" s="2598"/>
      <c r="E32" s="2598"/>
      <c r="F32" s="2598"/>
      <c r="G32" s="2598"/>
      <c r="H32" s="2598"/>
      <c r="I32" s="2598"/>
      <c r="J32" s="2598"/>
      <c r="K32" s="2598"/>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1364</v>
      </c>
      <c r="C34" s="1381"/>
      <c r="D34" s="322"/>
      <c r="E34" s="322"/>
      <c r="F34" s="322"/>
      <c r="G34" s="1380"/>
      <c r="H34" s="322"/>
      <c r="I34" s="1380"/>
      <c r="J34" s="322"/>
      <c r="K34" s="322"/>
      <c r="L34" s="322"/>
    </row>
    <row r="35" spans="2:12" ht="37.5" customHeight="1" x14ac:dyDescent="0.2">
      <c r="B35" s="2598"/>
      <c r="C35" s="2598"/>
      <c r="D35" s="2598"/>
      <c r="E35" s="2598"/>
      <c r="F35" s="2598"/>
      <c r="G35" s="2598"/>
      <c r="H35" s="2598"/>
      <c r="I35" s="2598"/>
      <c r="J35" s="2598"/>
      <c r="K35" s="2598"/>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1363</v>
      </c>
      <c r="C37" s="1381"/>
      <c r="D37" s="322"/>
      <c r="E37" s="322"/>
      <c r="F37" s="322"/>
      <c r="G37" s="1380"/>
      <c r="H37" s="322"/>
      <c r="I37" s="1380"/>
      <c r="J37" s="322"/>
      <c r="K37" s="322"/>
      <c r="L37" s="322"/>
    </row>
    <row r="38" spans="2:12" ht="35.25" customHeight="1" x14ac:dyDescent="0.2">
      <c r="B38" s="2598"/>
      <c r="C38" s="2598"/>
      <c r="D38" s="2598"/>
      <c r="E38" s="2598"/>
      <c r="F38" s="2598"/>
      <c r="G38" s="2598"/>
      <c r="H38" s="2598"/>
      <c r="I38" s="2598"/>
      <c r="J38" s="2598"/>
      <c r="K38" s="259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1859</v>
      </c>
      <c r="C40" s="1400"/>
      <c r="D40" s="1375"/>
      <c r="E40" s="1376"/>
      <c r="F40" s="1376"/>
      <c r="G40" s="1377"/>
      <c r="H40" s="1376"/>
      <c r="I40" s="1377"/>
      <c r="J40" s="1376"/>
      <c r="K40" s="1376"/>
    </row>
    <row r="41" spans="2:12" s="322" customFormat="1" ht="33.75" customHeight="1" x14ac:dyDescent="0.2">
      <c r="B41" s="2598"/>
      <c r="C41" s="2598"/>
      <c r="D41" s="2598"/>
      <c r="E41" s="2598"/>
      <c r="F41" s="2598"/>
      <c r="G41" s="2598"/>
      <c r="H41" s="2598"/>
      <c r="I41" s="2598"/>
      <c r="J41" s="2598"/>
      <c r="K41" s="2598"/>
    </row>
    <row r="42" spans="2:12" s="322" customFormat="1" ht="4.5" customHeight="1" x14ac:dyDescent="0.2">
      <c r="B42" s="1399"/>
      <c r="C42" s="1399"/>
      <c r="G42" s="1380"/>
      <c r="I42" s="1380"/>
    </row>
    <row r="43" spans="2:12" s="322" customFormat="1" ht="13.5" customHeight="1" x14ac:dyDescent="0.2">
      <c r="B43" s="1479" t="s">
        <v>1352</v>
      </c>
      <c r="C43" s="1480"/>
      <c r="D43" s="1401"/>
      <c r="E43" s="1401"/>
      <c r="F43" s="1401"/>
      <c r="G43" s="1402"/>
      <c r="H43" s="1401"/>
      <c r="I43" s="1402"/>
      <c r="J43" s="1401"/>
      <c r="K43" s="1403"/>
      <c r="L43" s="1481"/>
    </row>
    <row r="44" spans="2:12" s="322" customFormat="1" ht="13.5" customHeight="1" x14ac:dyDescent="0.2">
      <c r="B44" s="1404" t="s">
        <v>1351</v>
      </c>
      <c r="C44" s="1405"/>
      <c r="D44" s="1482"/>
      <c r="E44" s="1406"/>
      <c r="F44" s="1410" t="s">
        <v>1350</v>
      </c>
      <c r="G44" s="1408"/>
      <c r="H44" s="1407"/>
      <c r="I44" s="1408"/>
      <c r="J44" s="1483"/>
      <c r="K44" s="1484"/>
      <c r="L44" s="1481"/>
    </row>
    <row r="45" spans="2:12" s="322" customFormat="1" ht="13.5" customHeight="1" x14ac:dyDescent="0.2">
      <c r="B45" s="1404" t="s">
        <v>1349</v>
      </c>
      <c r="C45" s="1405"/>
      <c r="D45" s="1483"/>
      <c r="E45" s="1407"/>
      <c r="F45" s="1410" t="s">
        <v>1348</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1860</v>
      </c>
      <c r="C48" s="1416"/>
      <c r="D48" s="322"/>
      <c r="E48" s="322"/>
      <c r="F48" s="322"/>
    </row>
    <row r="49" spans="2:3" s="317" customFormat="1" ht="10.5" customHeight="1" x14ac:dyDescent="0.2">
      <c r="B49" s="1417" t="s">
        <v>1861</v>
      </c>
      <c r="C49" s="1417"/>
    </row>
    <row r="50" spans="2:3" s="317" customFormat="1" ht="11.1" customHeight="1" x14ac:dyDescent="0.2">
      <c r="B50" s="1417" t="s">
        <v>1862</v>
      </c>
      <c r="C50" s="1417"/>
    </row>
    <row r="51" spans="2:3" s="317" customFormat="1" ht="11.1" customHeight="1" x14ac:dyDescent="0.2">
      <c r="B51" s="1417" t="s">
        <v>1863</v>
      </c>
      <c r="C51" s="1417"/>
    </row>
    <row r="52" spans="2:3" s="317" customFormat="1" ht="11.1" customHeight="1" x14ac:dyDescent="0.2">
      <c r="B52" s="1417" t="s">
        <v>1864</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76" t="str">
        <f>'Single Audit Cover'!A7</f>
        <v>Dunlap CUSD 323</v>
      </c>
      <c r="C1" s="2576"/>
      <c r="D1" s="2576"/>
      <c r="E1" s="1488"/>
    </row>
    <row r="2" spans="2:5" s="1279" customFormat="1" ht="12.75" customHeight="1" x14ac:dyDescent="0.2">
      <c r="B2" s="2578">
        <f>'Single Audit Cover'!E7</f>
        <v>48072323026</v>
      </c>
      <c r="C2" s="2578"/>
      <c r="D2" s="2578"/>
      <c r="E2" s="1489"/>
    </row>
    <row r="3" spans="2:5" ht="12.75" customHeight="1" x14ac:dyDescent="0.2">
      <c r="B3" s="2599" t="s">
        <v>1865</v>
      </c>
      <c r="C3" s="2599"/>
      <c r="D3" s="2599"/>
      <c r="E3" s="1271"/>
    </row>
    <row r="4" spans="2:5" s="1279" customFormat="1" ht="12.75" customHeight="1" x14ac:dyDescent="0.2">
      <c r="B4" s="2609" t="str">
        <f>'Single Audit Cover'!A4</f>
        <v>Year Ending June 30, 2018</v>
      </c>
      <c r="C4" s="2609"/>
      <c r="D4" s="2609"/>
      <c r="E4" s="1490"/>
    </row>
    <row r="5" spans="2:5" s="1279" customFormat="1" ht="40.15" customHeight="1" x14ac:dyDescent="0.2">
      <c r="B5" s="1491"/>
      <c r="C5" s="328"/>
      <c r="D5" s="328"/>
      <c r="E5" s="328"/>
    </row>
    <row r="6" spans="2:5" s="1279" customFormat="1" ht="13.5" customHeight="1" x14ac:dyDescent="0.2">
      <c r="B6" s="1492" t="s">
        <v>1381</v>
      </c>
      <c r="C6" s="1492" t="s">
        <v>1380</v>
      </c>
      <c r="D6" s="1492" t="s">
        <v>1866</v>
      </c>
    </row>
    <row r="7" spans="2:5" ht="13.5" customHeight="1" x14ac:dyDescent="0.2">
      <c r="B7" s="1493"/>
      <c r="C7" s="324"/>
      <c r="D7" s="324"/>
      <c r="E7" s="324"/>
    </row>
    <row r="8" spans="2:5" ht="13.5" customHeight="1" x14ac:dyDescent="0.2">
      <c r="B8" s="1493" t="s">
        <v>2103</v>
      </c>
      <c r="C8" s="324"/>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1379</v>
      </c>
      <c r="C44" s="322"/>
    </row>
    <row r="45" spans="2:5" ht="12.2" customHeight="1" x14ac:dyDescent="0.2">
      <c r="B45" s="1502" t="s">
        <v>1867</v>
      </c>
    </row>
    <row r="46" spans="2:5" ht="12.2" customHeight="1" x14ac:dyDescent="0.2">
      <c r="B46" s="1502" t="s">
        <v>1868</v>
      </c>
    </row>
    <row r="47" spans="2:5" ht="12.2" customHeight="1" x14ac:dyDescent="0.2">
      <c r="B47" s="1503" t="s">
        <v>1378</v>
      </c>
    </row>
    <row r="48" spans="2:5" ht="12.2" customHeight="1" x14ac:dyDescent="0.2">
      <c r="B48" s="1503" t="s">
        <v>1377</v>
      </c>
    </row>
    <row r="49" spans="2:5" ht="12.2" customHeight="1" x14ac:dyDescent="0.2">
      <c r="B49" s="1503" t="s">
        <v>1376</v>
      </c>
    </row>
    <row r="50" spans="2:5" ht="12.2" customHeight="1" x14ac:dyDescent="0.2">
      <c r="B50" s="1503" t="s">
        <v>1375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purl.org/dc/terms/"/>
    <ds:schemaRef ds:uri="d21dc803-237d-4c68-8692-8d731fd29118"/>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4d435f69-8686-490b-bd6d-b153bf22ab50"/>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SEFA18</vt:lpstr>
      <vt:lpstr>SF&amp;QC Sec-1</vt:lpstr>
      <vt:lpstr>SF&amp;QC Sec-2</vt:lpstr>
      <vt:lpstr>SF&amp;QC Sec-3</vt:lpstr>
      <vt:lpstr>SSPAF</vt:lpstr>
      <vt:lpstr>' SEFA'!Print_Area</vt:lpstr>
      <vt:lpstr>'SEFA NOTES'!Print_Area</vt:lpstr>
      <vt:lpstr>'SEFA Reconcile'!Print_Area</vt:lpstr>
      <vt:lpstr>SEFA18!Print_Area</vt:lpstr>
      <vt:lpstr>'SF&amp;QC Sec-1'!Print_Area</vt:lpstr>
      <vt:lpstr>'SF&amp;QC Sec-3'!Print_Area</vt:lpstr>
      <vt:lpstr>'Single Audit Checklist'!Print_Area</vt:lpstr>
      <vt:lpstr>'Single Audit Cover'!Print_Area</vt:lpstr>
      <vt:lpstr>SEFA18!Print_Area_MI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2018-10-11T22:22:10Z</cp:lastPrinted>
  <dcterms:created xsi:type="dcterms:W3CDTF">2003-10-29T19:06:34Z</dcterms:created>
  <dcterms:modified xsi:type="dcterms:W3CDTF">2018-12-11T14:31:02Z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