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040" windowHeight="8490"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Finding 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0">#REF!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0">#REF!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0">#REF!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0">#REF!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0">#REF!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 i="181" l="1"/>
  <c r="B52" i="127" l="1"/>
  <c r="B51" i="127"/>
  <c r="J8" i="12"/>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B7765" i="106"/>
  <c r="D7765" i="106" s="1"/>
  <c r="B7764" i="106"/>
  <c r="D7764" i="106" s="1"/>
  <c r="J85" i="28"/>
  <c r="B7758" i="106" s="1"/>
  <c r="D7758" i="106" s="1"/>
  <c r="J88" i="28"/>
  <c r="K6" i="29"/>
  <c r="B7763" i="106" s="1"/>
  <c r="B7762" i="106"/>
  <c r="K12" i="12"/>
  <c r="K23" i="12"/>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B4172" i="106" s="1"/>
  <c r="D4172" i="106" s="1"/>
  <c r="I32" i="8"/>
  <c r="J32" i="8" s="1"/>
  <c r="I33" i="8"/>
  <c r="J33" i="8" s="1"/>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c r="B6375" i="106"/>
  <c r="D6375" i="106" s="1"/>
  <c r="B6376" i="106"/>
  <c r="D6376" i="106" s="1"/>
  <c r="B6377" i="106"/>
  <c r="D6377" i="106"/>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c r="B6650" i="106"/>
  <c r="D6650" i="106" s="1"/>
  <c r="B6651" i="106"/>
  <c r="D6651" i="106" s="1"/>
  <c r="B6652" i="106"/>
  <c r="D6652" i="106" s="1"/>
  <c r="B6653" i="106"/>
  <c r="D6653" i="106"/>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1" i="106"/>
  <c r="D7001" i="106" s="1"/>
  <c r="B7002" i="106"/>
  <c r="D7002" i="106" s="1"/>
  <c r="B7004" i="106"/>
  <c r="D7004"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E27" i="108"/>
  <c r="F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F37" i="34"/>
  <c r="C38" i="34"/>
  <c r="D38" i="34"/>
  <c r="F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D24" i="37"/>
  <c r="B4270" i="106" s="1"/>
  <c r="D4270" i="106" s="1"/>
  <c r="D13" i="7"/>
  <c r="B3726" i="106" s="1"/>
  <c r="D3726" i="106" s="1"/>
  <c r="I210" i="29" l="1"/>
  <c r="B7071" i="106" s="1"/>
  <c r="D7071" i="106" s="1"/>
  <c r="F70" i="34"/>
  <c r="G35" i="108"/>
  <c r="B7078" i="106"/>
  <c r="D7078" i="106" s="1"/>
  <c r="D36" i="108"/>
  <c r="K24" i="12"/>
  <c r="F26" i="108"/>
  <c r="F131" i="34"/>
  <c r="D26" i="108"/>
  <c r="J22" i="37"/>
  <c r="D22" i="37"/>
  <c r="F36" i="108"/>
  <c r="F64" i="34"/>
  <c r="L5" i="11"/>
  <c r="B2056" i="106" s="1"/>
  <c r="D2056" i="106" s="1"/>
  <c r="B7076" i="106"/>
  <c r="D7076" i="106" s="1"/>
  <c r="B4411" i="106"/>
  <c r="D4411" i="106" s="1"/>
  <c r="F50" i="34"/>
  <c r="G33" i="108"/>
  <c r="F31" i="108"/>
  <c r="I24" i="12"/>
  <c r="I26" i="12" s="1"/>
  <c r="B7741" i="106" s="1"/>
  <c r="D7741" i="106" s="1"/>
  <c r="H28" i="118"/>
  <c r="L15" i="11"/>
  <c r="B3459" i="106" s="1"/>
  <c r="D3459" i="106" s="1"/>
  <c r="N22" i="3"/>
  <c r="B283" i="106" s="1"/>
  <c r="D283" i="106" s="1"/>
  <c r="F46" i="34"/>
  <c r="E35" i="108"/>
  <c r="D11" i="37"/>
  <c r="F21" i="8"/>
  <c r="B1879" i="106" s="1"/>
  <c r="D1879" i="106" s="1"/>
  <c r="B1746" i="106"/>
  <c r="D1746" i="106" s="1"/>
  <c r="H33" i="118"/>
  <c r="D5" i="4"/>
  <c r="B3406" i="106" s="1"/>
  <c r="D3406" i="106" s="1"/>
  <c r="G172" i="5"/>
  <c r="B5770" i="106" s="1"/>
  <c r="D5770" i="106" s="1"/>
  <c r="F42" i="34"/>
  <c r="D6103" i="106"/>
  <c r="C129" i="29"/>
  <c r="D31" i="36"/>
  <c r="H29" i="118"/>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G173" i="5"/>
  <c r="B5778" i="106" s="1"/>
  <c r="D5778" i="106" s="1"/>
  <c r="D109" i="5"/>
  <c r="D9" i="7"/>
  <c r="B1767" i="106" s="1"/>
  <c r="D1767" i="106" s="1"/>
  <c r="H22" i="37"/>
  <c r="C14" i="4"/>
  <c r="B2558" i="106" s="1"/>
  <c r="D2558" i="106" s="1"/>
  <c r="I274" i="5"/>
  <c r="I7" i="4" s="1"/>
  <c r="B4444" i="106" s="1"/>
  <c r="D4444"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K28" i="118"/>
  <c r="O27" i="118" s="1"/>
  <c r="O29" i="118" s="1"/>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D7250" i="106"/>
  <c r="B7503" i="106"/>
  <c r="B7531" i="106"/>
  <c r="B7214" i="106"/>
  <c r="D7214" i="106" s="1"/>
  <c r="B6917" i="106"/>
  <c r="D6917" i="106" s="1"/>
  <c r="J74" i="29"/>
  <c r="D273" i="5"/>
  <c r="B5501" i="106" s="1"/>
  <c r="D5501" i="106" s="1"/>
  <c r="D7256" i="106"/>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D41" i="108" l="1"/>
  <c r="E43" i="108" s="1"/>
  <c r="J151" i="29"/>
  <c r="B7052" i="106" s="1"/>
  <c r="D7052" i="106" s="1"/>
  <c r="B7733" i="106"/>
  <c r="D7733" i="106" s="1"/>
  <c r="K26" i="12"/>
  <c r="B7743" i="106" s="1"/>
  <c r="D7743" i="106" s="1"/>
  <c r="B4435" i="106"/>
  <c r="D4435" i="106" s="1"/>
  <c r="D7251" i="106"/>
  <c r="I6" i="4"/>
  <c r="B5011" i="106" s="1"/>
  <c r="D5011" i="106" s="1"/>
  <c r="D7253" i="106"/>
  <c r="B1996" i="106"/>
  <c r="D1996"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<sst xmlns="http://schemas.openxmlformats.org/spreadsheetml/2006/main" count="5091" uniqueCount="2137">
  <si>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</si>
  <si>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</si>
  <si>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</si>
  <si>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</si>
  <si>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</si>
  <si>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</si>
  <si>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</si>
  <si>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</si>
  <si>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</si>
  <si>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</si>
  <si>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</si>
  <si>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</si>
  <si>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</si>
  <si>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</si>
  <si>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</si>
  <si>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</si>
  <si>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</si>
  <si>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</si>
  <si>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</si>
  <si>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</si>
  <si>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</si>
  <si>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</si>
  <si>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</si>
  <si>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</si>
  <si>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</si>
  <si>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</si>
  <si>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</si>
  <si>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</si>
  <si>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</si>
  <si>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</si>
  <si>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</si>
  <si>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</si>
  <si>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</si>
  <si>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</si>
  <si>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</si>
  <si>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</si>
  <si>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</si>
  <si>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</si>
  <si>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</si>
  <si>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</si>
  <si>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</si>
  <si>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</si>
  <si>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</si>
  <si>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</si>
  <si>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</si>
  <si>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</si>
  <si>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</si>
  <si>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</si>
  <si>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</si>
  <si>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</si>
  <si>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</si>
  <si>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</si>
  <si>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</si>
  <si>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</si>
  <si>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</si>
  <si>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</si>
  <si>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</si>
  <si>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</si>
  <si>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</si>
  <si>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</si>
  <si>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</si>
  <si>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</si>
  <si>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</si>
  <si>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</si>
  <si>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</si>
  <si>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</si>
  <si>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</si>
  <si>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</si>
  <si>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</si>
  <si>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</si>
  <si>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</si>
  <si>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</si>
  <si>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</si>
  <si>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</si>
  <si>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</si>
  <si>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</si>
  <si>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</si>
  <si>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</si>
  <si>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</si>
  <si>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</si>
  <si>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</si>
  <si>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</si>
  <si>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</si>
  <si>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</si>
  <si>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</si>
  <si>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</si>
  <si>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</si>
  <si>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</si>
  <si>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</si>
  <si>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</si>
  <si>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</si>
  <si>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</si>
  <si>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</si>
  <si>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</si>
  <si>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</si>
  <si>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</si>
  <si>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</si>
  <si>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</si>
  <si>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</si>
  <si>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</si>
  <si>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</si>
  <si>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</si>
  <si>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</si>
  <si>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</si>
  <si>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</si>
  <si>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</si>
  <si>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</si>
  <si>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</si>
  <si>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</si>
  <si>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</si>
  <si>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</si>
  <si>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</si>
  <si>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</si>
  <si>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</si>
  <si>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</si>
  <si>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</si>
  <si>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</si>
  <si>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</si>
  <si>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</si>
  <si>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</si>
  <si>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</si>
  <si>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</si>
  <si>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</si>
  <si>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</si>
  <si>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</si>
  <si>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</si>
  <si>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</si>
  <si>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</si>
  <si>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</si>
  <si>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</si>
  <si>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</si>
  <si>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</si>
  <si>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</si>
  <si>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</si>
  <si>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</si>
  <si>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</si>
  <si>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</si>
  <si>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</si>
  <si>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</si>
  <si>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</si>
  <si>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</si>
  <si>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</si>
  <si>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</si>
  <si>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</si>
  <si>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</si>
  <si>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</si>
  <si>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</si>
  <si>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</si>
  <si>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</si>
  <si>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</si>
  <si>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</si>
  <si>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</si>
  <si>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</si>
  <si>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</si>
  <si>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</si>
  <si>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</si>
  <si>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</si>
  <si>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</si>
  <si>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</si>
  <si>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</si>
  <si>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</si>
  <si>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</si>
  <si>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</si>
  <si>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</si>
  <si>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</si>
  <si>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</si>
  <si>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</si>
  <si>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</si>
  <si>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</si>
  <si>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</si>
  <si>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</si>
  <si>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</si>
  <si>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</si>
  <si>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</si>
  <si>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</si>
  <si>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</si>
  <si>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</si>
  <si>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</si>
  <si>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</si>
  <si>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</si>
  <si>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</si>
  <si>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</si>
  <si>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</si>
  <si>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</si>
  <si>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</si>
  <si>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</si>
  <si>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</si>
  <si>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</si>
  <si>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</si>
  <si>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</si>
  <si>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</si>
  <si>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</si>
  <si>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</si>
  <si>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</si>
  <si>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</si>
  <si>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</si>
  <si>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</si>
  <si>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</si>
  <si>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</si>
  <si>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</si>
  <si>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</si>
  <si>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</si>
  <si>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</si>
  <si>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</si>
  <si>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</si>
  <si>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</si>
  <si>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</si>
  <si>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</si>
  <si>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</si>
  <si>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</si>
  <si>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</si>
  <si>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</si>
  <si>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</si>
  <si>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</si>
  <si>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</si>
  <si>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</si>
  <si>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</si>
  <si>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</si>
  <si>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</si>
  <si>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</si>
  <si>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</si>
  <si>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</si>
  <si>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</si>
  <si>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</si>
  <si>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</si>
  <si>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</si>
  <si>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</si>
  <si>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</si>
  <si>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</si>
  <si>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</si>
  <si>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</si>
  <si>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</si>
  <si>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</si>
  <si>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</si>
  <si>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</si>
  <si>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</si>
  <si>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</si>
  <si>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</si>
  <si>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</si>
  <si>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</si>
  <si>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</si>
  <si>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</si>
  <si>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</si>
  <si>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</si>
  <si>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</si>
  <si>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</si>
  <si>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</si>
  <si>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</si>
  <si>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</si>
  <si>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</si>
  <si>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</si>
  <si>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</si>
  <si>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</si>
  <si>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</si>
  <si>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</si>
  <si>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</si>
  <si>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</si>
  <si>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</si>
  <si>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</si>
  <si>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</si>
  <si>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</si>
  <si>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</si>
  <si>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</si>
  <si>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</si>
  <si>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</si>
  <si>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</si>
  <si>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</si>
  <si>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</si>
  <si>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</si>
  <si>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</si>
  <si>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</si>
  <si>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</si>
  <si>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</si>
  <si>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</si>
  <si>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</si>
  <si>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</si>
  <si>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</si>
  <si>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</si>
  <si>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</si>
  <si>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</si>
  <si>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</si>
  <si>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</si>
  <si>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</si>
  <si>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</si>
  <si>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</si>
  <si>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</si>
  <si>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</si>
  <si>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</si>
  <si>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</si>
  <si>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</si>
  <si>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</si>
  <si>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</si>
  <si>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</si>
  <si>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</si>
  <si>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</si>
  <si>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</si>
  <si>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</si>
  <si>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</si>
  <si>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</si>
  <si>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</si>
  <si>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</si>
  <si>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</si>
  <si>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</si>
  <si>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</si>
  <si>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</si>
  <si>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</si>
  <si>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</si>
  <si>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</si>
  <si>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</si>
  <si>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</si>
  <si>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</si>
  <si>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</si>
  <si>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</si>
  <si>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</si>
  <si>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</si>
  <si>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</si>
  <si>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</si>
  <si>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</si>
  <si>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</si>
  <si>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</si>
  <si>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</si>
  <si>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</si>
  <si>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</si>
  <si>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</si>
  <si>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</si>
  <si>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</si>
  <si>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</si>
  <si>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</si>
  <si>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</si>
  <si>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</si>
  <si>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</si>
  <si>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</si>
  <si>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</si>
  <si>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</si>
  <si>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</si>
  <si>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</si>
  <si>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</si>
  <si>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</si>
  <si>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</si>
  <si>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</si>
  <si>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</si>
  <si>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</si>
  <si>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</si>
  <si>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</si>
  <si>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</si>
  <si>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</si>
  <si>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</si>
  <si>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</si>
  <si>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</si>
  <si>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</si>
  <si>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</si>
  <si>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</si>
  <si>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</si>
  <si>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</si>
  <si>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</si>
  <si>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</si>
  <si>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</si>
  <si>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</si>
  <si>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</si>
  <si>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</si>
  <si>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</si>
  <si>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</si>
  <si>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</si>
  <si>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</si>
  <si>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</si>
  <si>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</si>
  <si>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</si>
  <si>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</si>
  <si>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</si>
  <si>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</si>
  <si>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</si>
  <si>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</si>
  <si>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</si>
  <si>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</si>
  <si>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</si>
  <si>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</si>
  <si>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</si>
  <si>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</si>
  <si>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</si>
  <si>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</si>
  <si>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</si>
  <si>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</si>
  <si>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</si>
  <si>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</si>
  <si>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</si>
  <si>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</si>
  <si>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</si>
  <si>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</si>
  <si>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</si>
  <si>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</si>
  <si>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</si>
  <si>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</si>
  <si>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</si>
  <si>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</si>
  <si>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</si>
  <si>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</si>
  <si>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</si>
  <si>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</si>
  <si>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</si>
  <si>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</si>
  <si>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</si>
  <si>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</si>
  <si>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</si>
  <si>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</si>
  <si>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</si>
  <si>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</si>
  <si>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</si>
  <si>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</si>
  <si>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</si>
  <si>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</si>
  <si>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</si>
  <si>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</si>
  <si>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</si>
  <si>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</si>
  <si>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</si>
  <si>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</si>
  <si>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</si>
  <si>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</si>
  <si>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</si>
  <si>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</si>
  <si>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</si>
  <si>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</si>
  <si>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</si>
  <si>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</si>
  <si>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</si>
  <si>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</si>
  <si>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</si>
  <si>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</si>
  <si>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</si>
  <si>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</si>
  <si>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</si>
  <si>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</si>
  <si>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</si>
  <si>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</si>
  <si>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</si>
  <si>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</si>
  <si>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</si>
  <si>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</si>
  <si>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</si>
  <si>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</si>
  <si>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</si>
  <si>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</si>
  <si>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</si>
  <si>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</si>
  <si>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</si>
  <si>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</si>
  <si>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</si>
  <si>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</si>
  <si>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</si>
  <si>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</si>
  <si>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</si>
  <si>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</si>
  <si>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</si>
  <si>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</si>
  <si>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</si>
  <si>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</si>
  <si>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</si>
  <si>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</si>
  <si>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</si>
  <si>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</si>
  <si>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</si>
  <si>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</si>
  <si>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</si>
  <si>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</si>
  <si>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</si>
  <si>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</si>
  <si>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</si>
  <si>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</si>
  <si>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</si>
  <si>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</si>
  <si>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</si>
  <si>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</si>
  <si>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</si>
  <si>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</si>
  <si>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</si>
  <si>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</si>
  <si>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</si>
  <si>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</si>
  <si>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</si>
  <si>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</si>
  <si>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</si>
  <si>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</si>
  <si>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</si>
  <si>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</si>
  <si>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</si>
  <si>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</si>
  <si>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</si>
  <si>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</si>
  <si>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</si>
  <si>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</si>
  <si>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</si>
  <si>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</si>
  <si>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</si>
  <si>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</si>
  <si>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</si>
  <si>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</si>
  <si>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</si>
  <si>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</si>
  <si>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</si>
  <si>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</si>
  <si>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</si>
  <si>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</si>
  <si>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</si>
  <si>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</si>
  <si>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</si>
  <si>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</si>
  <si>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</si>
  <si>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</si>
  <si>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</si>
  <si>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</si>
  <si>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</si>
  <si>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</si>
  <si>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</si>
  <si>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</si>
  <si>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</si>
  <si>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</si>
  <si>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</si>
  <si>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</si>
  <si>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</si>
  <si>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</si>
  <si>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</si>
  <si>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</si>
  <si>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</si>
  <si>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</si>
  <si>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</si>
  <si>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</si>
  <si>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</si>
  <si>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</si>
  <si>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</si>
  <si>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</si>
  <si>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</si>
  <si>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</si>
  <si>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</si>
  <si>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</si>
  <si>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</si>
  <si>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</si>
  <si>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</si>
  <si>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</si>
  <si>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</si>
  <si>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</si>
  <si>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</si>
  <si>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</si>
  <si>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</si>
  <si>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</si>
  <si>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</si>
  <si>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</si>
  <si>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</si>
  <si>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</si>
  <si>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</si>
  <si>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</si>
  <si>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</si>
  <si>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</si>
  <si>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</si>
  <si>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</si>
  <si>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</si>
  <si>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</si>
  <si>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</si>
  <si>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</si>
  <si>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</si>
  <si>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</si>
  <si>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</si>
  <si>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</si>
  <si>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</si>
  <si>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</si>
  <si>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</si>
  <si>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</si>
  <si>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</si>
  <si>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</si>
  <si>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</si>
  <si>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</si>
  <si>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</si>
  <si>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</si>
  <si>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</si>
  <si>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</si>
  <si>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</si>
  <si>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</si>
  <si>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</si>
  <si>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</si>
  <si>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</si>
  <si>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</si>
  <si>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</si>
  <si>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</si>
  <si>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</si>
  <si>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</si>
  <si>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</si>
  <si>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</si>
  <si>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</si>
  <si>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</si>
  <si>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</si>
  <si>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</si>
  <si>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</si>
  <si>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</si>
  <si>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</si>
  <si>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</si>
  <si>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</si>
  <si>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</si>
  <si>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</si>
  <si>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</si>
  <si>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</si>
  <si>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</si>
  <si>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</si>
  <si>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</si>
  <si>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</si>
  <si>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</si>
  <si>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</si>
  <si>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</si>
  <si>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</si>
  <si>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</si>
  <si>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</si>
  <si>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</si>
  <si>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</si>
  <si>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</si>
  <si>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</si>
  <si>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</si>
  <si>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</si>
  <si>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</si>
  <si>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</si>
  <si>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</si>
  <si>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</si>
  <si>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</si>
  <si>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</si>
  <si>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</si>
  <si>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</si>
  <si>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</si>
  <si>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</si>
  <si>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</si>
  <si>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</si>
  <si>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</si>
  <si>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</si>
  <si>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</si>
  <si>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</si>
  <si>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</si>
  <si>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</si>
  <si>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</si>
  <si>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</si>
  <si>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</si>
  <si>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</si>
  <si>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</si>
  <si>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</si>
  <si>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</si>
  <si>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</si>
  <si>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</si>
  <si>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</si>
  <si>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</si>
  <si>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</si>
  <si>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</si>
  <si>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</si>
  <si>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</si>
  <si>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</si>
  <si>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</si>
  <si>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</si>
  <si>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</si>
  <si>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</si>
  <si>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</si>
  <si>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</si>
  <si>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</si>
  <si>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</si>
  <si>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</si>
  <si>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</si>
  <si>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</si>
  <si>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</si>
  <si>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</si>
  <si>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</si>
  <si>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</si>
  <si>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</si>
  <si>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</si>
  <si>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</si>
  <si>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</si>
  <si>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</si>
  <si>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</si>
  <si>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</si>
  <si>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</si>
  <si>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</si>
  <si>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</si>
  <si>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</si>
  <si>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</si>
  <si>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</si>
  <si>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</si>
  <si>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</si>
  <si>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</si>
  <si>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</si>
  <si>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</si>
  <si>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</si>
  <si>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</si>
  <si>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</si>
  <si>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</si>
  <si>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</si>
  <si>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</si>
  <si>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</si>
  <si>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</si>
  <si>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</si>
  <si>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</si>
  <si>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</si>
  <si>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</si>
  <si>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</si>
  <si>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</si>
  <si>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</si>
  <si>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</si>
  <si>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</si>
  <si>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</si>
  <si>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</si>
  <si>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</si>
  <si>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</si>
  <si>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</si>
  <si>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</si>
  <si>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</si>
  <si>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</si>
  <si>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</si>
  <si>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</si>
  <si>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</si>
  <si>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</si>
  <si>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</si>
  <si>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</si>
  <si>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</si>
  <si>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</si>
  <si>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</si>
  <si>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</si>
  <si>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</si>
  <si>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</si>
  <si>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</si>
  <si>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</si>
  <si>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</si>
  <si>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</si>
  <si>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</si>
  <si>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</si>
  <si>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</si>
  <si>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</si>
  <si>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</si>
  <si>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</si>
  <si>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</si>
  <si>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</si>
  <si>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</si>
  <si>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</si>
  <si>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</si>
  <si>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</si>
  <si>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</si>
  <si>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</si>
  <si>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</si>
  <si>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</si>
  <si>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</si>
  <si>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</si>
  <si>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</si>
  <si>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</si>
  <si>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</si>
  <si>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</si>
  <si>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</si>
  <si>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</si>
  <si>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</si>
  <si>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</si>
  <si>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</si>
  <si>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</si>
  <si>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</si>
  <si>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</si>
  <si>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</si>
  <si>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</si>
  <si>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</si>
  <si>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</si>
  <si>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</si>
  <si>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</si>
  <si>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</si>
  <si>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</si>
  <si>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</si>
  <si>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</si>
  <si>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</si>
  <si>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</si>
  <si>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</si>
  <si>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</si>
  <si>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</si>
  <si>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</si>
  <si>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</si>
  <si>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</si>
  <si>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</si>
  <si>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</si>
  <si>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</si>
  <si>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</si>
  <si>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</si>
  <si>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</si>
  <si>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</si>
  <si>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</si>
  <si>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</si>
  <si>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</si>
  <si>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</si>
  <si>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</si>
  <si>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</si>
  <si>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</si>
  <si>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</si>
  <si>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</si>
  <si>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</si>
  <si>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</si>
  <si>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</si>
  <si>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</si>
  <si>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</si>
  <si>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</si>
  <si>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</si>
  <si>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</si>
  <si>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</si>
  <si>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</si>
  <si>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</si>
  <si>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</si>
  <si>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</si>
  <si>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</si>
  <si>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</si>
  <si>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</si>
  <si>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</si>
  <si>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</si>
  <si>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</si>
  <si>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</si>
  <si>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</si>
  <si>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</si>
  <si>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</si>
  <si>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</si>
  <si>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</si>
  <si>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</si>
  <si>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</si>
  <si>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</si>
  <si>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</si>
  <si>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</si>
  <si>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</si>
  <si>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</si>
  <si>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</si>
  <si>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</si>
  <si>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</si>
  <si>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</si>
  <si>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</si>
  <si>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</si>
  <si>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</si>
  <si>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</si>
  <si>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</si>
  <si>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</si>
  <si>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</si>
  <si>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</si>
  <si>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</si>
  <si>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</si>
  <si>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</si>
  <si>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</si>
  <si>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</si>
  <si>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</si>
  <si>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</si>
  <si>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</si>
  <si>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</si>
  <si>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</si>
  <si>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</si>
  <si>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</si>
  <si>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</si>
  <si>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</si>
  <si>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</si>
  <si>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</si>
  <si>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</si>
  <si>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</si>
  <si>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</si>
  <si>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</si>
  <si>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</si>
  <si>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</si>
  <si>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</si>
  <si>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</si>
  <si>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</si>
  <si>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</si>
  <si>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</si>
  <si>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</si>
  <si>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</si>
  <si>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</si>
  <si>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</si>
  <si>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</si>
  <si>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</si>
  <si>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</si>
  <si>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</si>
  <si>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</si>
  <si>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</si>
  <si>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</si>
  <si>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</si>
  <si>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</si>
  <si>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</si>
  <si>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</si>
  <si>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</si>
  <si>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</si>
  <si>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</si>
  <si>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</si>
  <si>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</si>
  <si>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</si>
  <si>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</si>
  <si>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</si>
  <si>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</si>
  <si>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</si>
  <si>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</si>
  <si>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</si>
  <si>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</si>
  <si>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</si>
  <si>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</si>
  <si>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</si>
  <si>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</si>
  <si>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</si>
  <si>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</si>
  <si>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</si>
  <si>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</si>
  <si>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</si>
  <si>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</si>
  <si>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</si>
  <si>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</si>
  <si>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</si>
  <si>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</si>
  <si>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</si>
  <si>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</si>
  <si>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</si>
  <si>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</si>
  <si>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</si>
  <si>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</si>
  <si>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</si>
  <si>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</si>
  <si>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</si>
  <si>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</si>
  <si>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</si>
  <si>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</si>
  <si>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</si>
  <si>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</si>
  <si>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</si>
  <si>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</si>
  <si>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</si>
  <si>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</si>
  <si>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</si>
  <si>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</si>
  <si>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</si>
  <si>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</si>
  <si>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</si>
  <si>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</si>
  <si>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</si>
  <si>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</si>
  <si>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</si>
  <si>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</si>
  <si>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</si>
  <si>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</si>
  <si>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</si>
  <si>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</si>
  <si>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</si>
  <si>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</si>
  <si>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</si>
  <si>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</si>
  <si>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</si>
  <si>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</si>
  <si>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</si>
  <si>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</si>
  <si>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</si>
  <si>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</si>
  <si>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</si>
  <si>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</si>
  <si>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</si>
  <si>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</si>
  <si>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</si>
  <si>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</si>
  <si>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</si>
  <si>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</si>
  <si>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</si>
  <si>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</si>
  <si>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</si>
  <si>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</si>
  <si>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</si>
  <si>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</si>
  <si>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</si>
  <si>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</si>
  <si>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</si>
  <si>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</si>
  <si>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</si>
  <si>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</si>
  <si>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</si>
  <si>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</si>
  <si>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</si>
  <si>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</si>
  <si>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</si>
  <si>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</si>
  <si>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</si>
  <si>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</si>
  <si>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</si>
  <si>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</si>
  <si>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</si>
  <si>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</si>
  <si>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</si>
  <si>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</si>
  <si>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</si>
  <si>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</si>
  <si>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</si>
  <si>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</si>
  <si>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</si>
  <si>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</si>
  <si>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</si>
  <si>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</si>
  <si>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</si>
  <si>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</si>
  <si>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</si>
  <si>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</si>
  <si>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</si>
  <si>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</si>
  <si>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</si>
  <si>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</si>
  <si>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</si>
  <si>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</si>
  <si>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</si>
  <si>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</si>
  <si>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</si>
  <si>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</si>
  <si>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</si>
  <si>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</si>
  <si>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</si>
  <si>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</si>
  <si>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</si>
  <si>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</si>
  <si>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</si>
  <si>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</si>
  <si>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</si>
  <si>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</si>
  <si>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</si>
  <si>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</si>
  <si>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</si>
  <si>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</si>
  <si>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</si>
  <si>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</si>
  <si>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</si>
  <si>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</si>
  <si>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</si>
  <si>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</si>
  <si>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</si>
  <si>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</si>
  <si>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</si>
  <si>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</si>
  <si>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</si>
  <si>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</si>
  <si>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</si>
  <si>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</si>
  <si>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</si>
  <si>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</si>
  <si>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</si>
  <si>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</si>
  <si>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</si>
  <si>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</si>
  <si>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</si>
  <si>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</si>
  <si>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</si>
  <si>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</si>
  <si>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</si>
  <si>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</si>
  <si>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</si>
  <si>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</si>
  <si>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</si>
  <si>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</si>
  <si>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</si>
  <si>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</si>
  <si>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</si>
  <si>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</si>
  <si>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</si>
  <si>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</si>
  <si>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</si>
  <si>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</si>
  <si>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</si>
  <si>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</si>
  <si>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</si>
  <si>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</si>
  <si>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</si>
  <si>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</si>
  <si>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</si>
  <si>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</si>
  <si>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</si>
  <si>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</si>
  <si>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</si>
  <si>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</si>
  <si>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</si>
  <si>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</si>
  <si>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</si>
  <si>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</si>
  <si>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</si>
  <si>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</si>
  <si>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</si>
  <si>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</si>
  <si>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</si>
  <si>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</si>
  <si>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</si>
  <si>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</si>
  <si>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</si>
  <si>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</si>
  <si>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</si>
  <si>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</si>
  <si>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</si>
  <si>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</si>
  <si>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</si>
  <si>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</si>
  <si>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</si>
  <si>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</si>
  <si>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</si>
  <si>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</si>
  <si>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</si>
  <si>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</si>
  <si>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</si>
  <si>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</si>
  <si>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</si>
  <si>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</si>
  <si>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</si>
  <si>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</si>
  <si>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</si>
  <si>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</si>
  <si>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</si>
  <si>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</si>
  <si>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</si>
  <si>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</si>
  <si>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</si>
  <si>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</si>
  <si>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</si>
  <si>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</si>
  <si>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</si>
  <si>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</si>
  <si>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</si>
  <si>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</si>
  <si>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</si>
  <si>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</si>
  <si>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</si>
  <si>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</si>
  <si>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</si>
  <si>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</si>
  <si>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</si>
  <si>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</si>
  <si>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</si>
  <si>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</si>
  <si>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</si>
  <si>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</si>
  <si>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</si>
  <si>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</si>
  <si>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</si>
  <si>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</si>
  <si>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</si>
  <si>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</si>
  <si>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</si>
  <si>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</si>
  <si>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</si>
  <si>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</si>
  <si>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</si>
  <si>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</si>
  <si>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</si>
  <si>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</si>
  <si>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</si>
  <si>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</si>
  <si>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</si>
  <si>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</si>
  <si>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</si>
  <si>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</si>
  <si>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</si>
  <si>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</si>
  <si>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</si>
  <si>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</si>
  <si>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</si>
  <si>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</si>
  <si>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</si>
  <si>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</si>
  <si>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</si>
  <si>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</si>
  <si>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</si>
  <si>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</si>
  <si>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</si>
  <si>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</si>
  <si>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</si>
  <si>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</si>
  <si>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</si>
  <si>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</si>
  <si>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</si>
  <si>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</si>
  <si>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</si>
  <si>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</si>
  <si>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</si>
  <si>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</si>
  <si>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</si>
  <si>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</si>
  <si>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</si>
  <si>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</si>
  <si>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</si>
  <si>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</si>
  <si>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</si>
  <si>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</si>
  <si>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</si>
  <si>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</si>
  <si>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</si>
  <si>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</si>
  <si>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</si>
  <si>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</si>
  <si>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</si>
  <si>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</si>
  <si>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</si>
  <si>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</si>
  <si>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</si>
  <si>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</si>
  <si>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</si>
  <si>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</si>
  <si>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</si>
  <si>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</si>
  <si>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</si>
  <si>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</si>
  <si>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</si>
  <si>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</si>
  <si>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</si>
  <si>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</si>
  <si>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</si>
  <si>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</si>
  <si>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</si>
  <si>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</si>
  <si>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</si>
  <si>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</si>
  <si>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</si>
  <si>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</si>
  <si>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</si>
  <si>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</si>
  <si>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</si>
  <si>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</si>
  <si>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</si>
  <si>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</si>
  <si>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</si>
  <si>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</si>
  <si>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</si>
  <si>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</si>
  <si>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</si>
  <si>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</si>
  <si>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</si>
  <si>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</si>
  <si>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</si>
  <si>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</si>
  <si>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</si>
  <si>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</si>
  <si>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</si>
  <si>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</si>
  <si>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</si>
  <si>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</si>
  <si>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</si>
  <si>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</si>
  <si>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</si>
  <si>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</si>
  <si>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</si>
  <si>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</si>
  <si>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</si>
  <si>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</si>
  <si>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</si>
  <si>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</si>
  <si>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</si>
  <si>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</si>
  <si>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</si>
  <si>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</si>
  <si>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</si>
  <si>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</si>
  <si>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</si>
  <si>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</si>
  <si>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</si>
  <si>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</si>
  <si>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</si>
  <si>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</si>
  <si>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</si>
  <si>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</si>
  <si>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</si>
  <si>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</si>
  <si>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</si>
  <si>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</si>
  <si>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</si>
  <si>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</si>
  <si>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</si>
  <si>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</si>
  <si>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</si>
  <si>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</si>
  <si>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</si>
  <si>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</si>
  <si>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</si>
  <si>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</si>
  <si>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</si>
  <si>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</si>
  <si>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</si>
  <si>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</si>
  <si>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</si>
  <si>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</si>
  <si>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</si>
  <si>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</si>
  <si>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</si>
  <si>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</si>
  <si>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</si>
  <si>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</si>
  <si>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</si>
  <si>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</si>
  <si>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</si>
  <si>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</si>
  <si>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</si>
  <si>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</si>
  <si>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</si>
  <si>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</si>
  <si>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</si>
  <si>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</si>
  <si>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</si>
  <si>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</si>
  <si>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</si>
  <si>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</si>
  <si>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</si>
  <si>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</si>
  <si>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</si>
  <si>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</si>
  <si>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</si>
  <si>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</si>
  <si>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</si>
  <si>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</si>
  <si>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</si>
  <si>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</si>
  <si>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</si>
  <si>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</si>
  <si>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</si>
  <si>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</si>
  <si>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</si>
  <si>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</si>
  <si>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</si>
  <si>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</si>
  <si>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</si>
  <si>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</si>
  <si>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</si>
  <si>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</si>
  <si>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</si>
  <si>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</si>
  <si>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</si>
  <si>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</si>
  <si>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</si>
  <si>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</si>
  <si>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</si>
  <si>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</si>
  <si>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</si>
  <si>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</si>
  <si>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</si>
  <si>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</si>
  <si>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</si>
  <si>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</si>
  <si>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</si>
  <si>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</si>
  <si>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</si>
  <si>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</si>
  <si>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</si>
  <si>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</si>
  <si>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</si>
  <si>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</si>
  <si>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</si>
  <si>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</si>
  <si>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</si>
  <si>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</si>
  <si>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</si>
  <si>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</si>
  <si>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</si>
  <si>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</si>
  <si>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</si>
  <si>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</si>
  <si>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</si>
  <si>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</si>
  <si>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</si>
  <si>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</si>
  <si>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</si>
  <si>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</si>
  <si>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</si>
  <si>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</si>
  <si>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</si>
  <si>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</si>
  <si>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</si>
  <si>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</si>
  <si>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</si>
  <si>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</si>
  <si>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</si>
  <si>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</si>
  <si>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</si>
  <si>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</si>
  <si>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</si>
  <si>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</si>
  <si>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</si>
  <si>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</si>
  <si>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</si>
  <si>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</si>
  <si>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</si>
  <si>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</si>
  <si>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</si>
  <si>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</si>
  <si>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</si>
  <si>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</si>
  <si>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</si>
  <si>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</si>
  <si>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</si>
  <si>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</si>
  <si>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</si>
  <si>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</si>
  <si>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</si>
  <si>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</si>
  <si>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</si>
  <si>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</si>
  <si>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</si>
  <si>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</si>
  <si>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</si>
  <si>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</si>
  <si>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</si>
  <si>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</si>
  <si>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</si>
  <si>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</si>
  <si>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</si>
  <si>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</si>
  <si>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</si>
  <si>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</si>
  <si>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</si>
  <si>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</si>
  <si>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</si>
  <si>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</si>
  <si>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</si>
  <si>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</si>
  <si>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</si>
  <si>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</si>
  <si>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</si>
  <si>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</si>
  <si>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</si>
  <si>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</si>
  <si>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</si>
  <si>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</si>
  <si>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</si>
  <si>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</si>
  <si>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</si>
  <si>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</si>
  <si>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</si>
  <si>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</si>
  <si>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</si>
  <si>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</si>
  <si>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</si>
  <si>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</si>
  <si>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</si>
  <si>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</si>
  <si>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</si>
  <si>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</si>
  <si>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</si>
  <si>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</si>
  <si>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</si>
  <si>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</si>
  <si>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</si>
  <si>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</si>
  <si>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</si>
  <si>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</si>
  <si>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</si>
  <si>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</si>
  <si>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</si>
  <si>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</si>
  <si>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</si>
  <si>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</si>
  <si>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</si>
  <si>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</si>
  <si>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</si>
  <si>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</si>
  <si>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</si>
  <si>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</si>
  <si>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</si>
  <si>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</si>
  <si>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</si>
  <si>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</si>
  <si>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</si>
  <si>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</si>
  <si>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</si>
  <si>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</si>
  <si>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</si>
  <si>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</si>
  <si>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</si>
  <si>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</si>
  <si>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</si>
  <si>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</si>
  <si>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</si>
  <si>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</si>
  <si>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</si>
  <si>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</si>
  <si>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</si>
  <si>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</si>
  <si>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</si>
  <si>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</si>
  <si>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</si>
  <si>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</si>
  <si>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</si>
  <si>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</si>
  <si>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</si>
  <si>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</si>
  <si>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</si>
  <si>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</si>
  <si>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</si>
  <si>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</si>
  <si>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</si>
  <si>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</si>
  <si>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</si>
  <si>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</si>
  <si>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</si>
  <si>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</si>
  <si>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</si>
  <si>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</si>
  <si>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</si>
  <si>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</si>
  <si>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</si>
  <si>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</si>
  <si>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</si>
  <si>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</si>
  <si>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</si>
  <si>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</si>
  <si>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</si>
  <si>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</si>
  <si>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</si>
  <si>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</si>
  <si>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</si>
  <si>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</si>
  <si>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</si>
  <si>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</si>
  <si>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</si>
  <si>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</si>
  <si>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</si>
  <si>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</si>
  <si>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</si>
  <si>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</si>
  <si>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</si>
  <si>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</si>
  <si>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</si>
  <si>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</si>
  <si>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</si>
  <si>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</si>
  <si>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</si>
  <si>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</si>
  <si>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</si>
  <si>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</si>
  <si>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</si>
  <si>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</si>
  <si>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</si>
  <si>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</si>
  <si>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</si>
  <si>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</si>
  <si>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</si>
  <si>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</si>
  <si>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</si>
  <si>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</si>
  <si>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</si>
  <si>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</si>
  <si>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</si>
  <si>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</si>
  <si>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</si>
  <si>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</si>
  <si>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</si>
  <si>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</si>
  <si>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</si>
  <si>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</si>
  <si>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</si>
  <si>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</si>
  <si>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</si>
  <si>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</si>
  <si>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</si>
  <si>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</si>
  <si>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</si>
  <si>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</si>
  <si>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</si>
  <si>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</si>
  <si>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</si>
  <si>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</si>
  <si>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</si>
  <si>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</si>
  <si>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</si>
  <si>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</si>
  <si>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</si>
  <si>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</si>
  <si>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</si>
  <si>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</si>
  <si>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</si>
  <si>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</si>
  <si>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</si>
  <si>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</si>
  <si>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</si>
  <si>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</si>
  <si>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</si>
  <si>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</si>
  <si>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</si>
  <si>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</si>
  <si>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</si>
  <si>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</si>
  <si>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</si>
  <si>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</si>
  <si>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</si>
  <si>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</si>
  <si>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</si>
  <si>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</si>
  <si>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</si>
  <si>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</si>
  <si>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</si>
  <si>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</si>
  <si>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</si>
  <si>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</si>
  <si>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</si>
  <si>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</si>
  <si>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</si>
  <si>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</si>
  <si>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</si>
  <si>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</si>
  <si>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</si>
  <si>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</si>
  <si>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</si>
  <si>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</si>
  <si>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</si>
  <si>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</si>
  <si>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</si>
  <si>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</si>
  <si>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</si>
  <si>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</si>
  <si>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</si>
  <si>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</si>
  <si>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</si>
  <si>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</si>
  <si>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</si>
  <si>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</si>
  <si>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</si>
  <si>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</si>
  <si>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</si>
  <si>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</si>
  <si>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</si>
  <si>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</si>
  <si>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</si>
  <si>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</si>
  <si>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</si>
  <si>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</si>
  <si>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</si>
  <si>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</si>
  <si>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</si>
  <si>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</si>
  <si>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</si>
  <si>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</si>
  <si>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</si>
  <si>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</si>
  <si>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</si>
  <si>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</si>
  <si>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</si>
  <si>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</si>
  <si>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</si>
  <si>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</si>
  <si>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</si>
  <si>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</si>
  <si>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</si>
  <si>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</si>
  <si>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</si>
  <si>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</si>
  <si>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</si>
  <si>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</si>
  <si>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</si>
  <si>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</si>
  <si>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</si>
  <si>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</si>
  <si>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</si>
  <si>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</si>
  <si>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</si>
  <si>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</si>
  <si>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</si>
  <si>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</si>
  <si>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</si>
  <si>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</si>
  <si>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</si>
  <si>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</si>
  <si>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</si>
  <si>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</si>
  <si>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</si>
  <si>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</si>
  <si>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</si>
  <si>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</si>
  <si>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</si>
  <si>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</si>
  <si>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</si>
  <si>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</si>
  <si>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</si>
  <si>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</si>
  <si>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</si>
  <si>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</si>
  <si>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</si>
  <si>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</si>
  <si>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</si>
  <si>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</si>
  <si>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</si>
  <si>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</si>
  <si>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</si>
  <si>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</si>
  <si>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</si>
  <si>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</si>
  <si>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</si>
  <si>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</si>
  <si>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</si>
  <si>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</si>
  <si>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</si>
  <si>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</si>
  <si>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</si>
  <si>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</si>
  <si>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</si>
  <si>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</si>
  <si>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</si>
  <si>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</si>
  <si>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</si>
  <si>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</si>
  <si>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</si>
  <si>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</si>
  <si>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</si>
  <si>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</si>
  <si>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</si>
  <si>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</si>
  <si>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</si>
  <si>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</si>
  <si>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</si>
  <si>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</si>
  <si>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</si>
  <si>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</si>
  <si>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</si>
  <si>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</si>
  <si>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</si>
  <si>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</si>
  <si>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</si>
  <si>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</si>
  <si>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</si>
  <si>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</si>
  <si>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</si>
  <si>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</si>
  <si>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</si>
  <si>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</si>
  <si>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</si>
  <si>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</si>
  <si>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</si>
  <si>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</si>
  <si>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</si>
  <si>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</si>
  <si>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</si>
  <si>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</si>
  <si>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</si>
  <si>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</si>
  <si>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</si>
  <si>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</si>
  <si>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</si>
  <si>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</si>
  <si>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</si>
  <si>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</si>
  <si>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</si>
  <si>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</si>
  <si>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</si>
  <si>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</si>
  <si>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</si>
  <si>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</si>
  <si>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</si>
  <si>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</si>
  <si>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</si>
  <si>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</si>
  <si>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</si>
  <si>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</si>
  <si>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</si>
  <si>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</si>
  <si>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</si>
  <si>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</si>
  <si>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</si>
  <si>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</si>
  <si>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</si>
  <si>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</si>
  <si>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</si>
  <si>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</si>
  <si>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</si>
  <si>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</si>
  <si>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</si>
  <si>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</si>
  <si>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</si>
  <si>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</si>
  <si>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</si>
  <si>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</si>
  <si>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</si>
  <si>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</si>
  <si>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</si>
  <si>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</si>
  <si>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</si>
  <si>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</si>
  <si>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</si>
  <si>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</si>
  <si>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</si>
  <si>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</si>
  <si>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</si>
  <si>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</si>
  <si>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</si>
  <si>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</si>
  <si>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</si>
  <si>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</si>
  <si>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</si>
  <si>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</si>
  <si>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</si>
  <si>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</si>
  <si>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</si>
  <si>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</si>
  <si>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</si>
  <si>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</si>
  <si>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</si>
  <si>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</si>
  <si>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</si>
  <si>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</si>
  <si>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</si>
  <si>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</si>
  <si>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</si>
  <si>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</si>
  <si>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</si>
  <si>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</si>
  <si>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</si>
  <si>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</si>
  <si>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</si>
  <si>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</si>
  <si>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</si>
  <si>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</si>
  <si>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</si>
  <si>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</si>
  <si>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</si>
  <si>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</si>
  <si>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</si>
  <si>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</si>
  <si>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</si>
  <si>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</si>
  <si>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</si>
  <si>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</si>
  <si>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</si>
  <si>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</si>
  <si>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</si>
  <si>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</si>
  <si>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</si>
  <si>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</si>
  <si>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</si>
  <si>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</si>
  <si>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</si>
  <si>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</si>
  <si>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</si>
  <si>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</si>
  <si>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</si>
  <si>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</si>
  <si>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</si>
  <si>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</si>
  <si>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</si>
  <si>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</si>
  <si>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</si>
  <si>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</si>
  <si>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</si>
  <si>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</si>
  <si>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</si>
  <si>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</si>
  <si>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</si>
  <si>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</si>
  <si>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</si>
  <si>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</si>
  <si>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</si>
  <si>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</si>
  <si>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</si>
  <si>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</si>
  <si>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</si>
  <si>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</si>
  <si>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</si>
  <si>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</si>
  <si>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</si>
  <si>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</si>
  <si>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</si>
  <si>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</si>
  <si>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</si>
  <si>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</si>
  <si>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</si>
  <si>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</si>
  <si>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</si>
  <si>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</si>
  <si>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</si>
  <si>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</si>
  <si>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</si>
  <si>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</si>
  <si>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</si>
  <si>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</si>
  <si>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</si>
  <si>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</si>
  <si>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</si>
  <si>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</si>
  <si>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</si>
  <si>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</si>
  <si>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</si>
  <si>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</si>
  <si>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</si>
  <si>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</si>
  <si>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</si>
  <si>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</si>
  <si>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</si>
  <si>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</si>
  <si>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</si>
  <si>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</si>
  <si>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</si>
  <si>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</si>
  <si>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</si>
  <si>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</si>
  <si>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</si>
  <si>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</si>
  <si>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</si>
  <si>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</si>
  <si>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</si>
  <si>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</si>
  <si>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</si>
  <si>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</si>
  <si>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</si>
  <si>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</si>
  <si>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</si>
  <si>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</si>
  <si>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</si>
  <si>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</si>
  <si>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</si>
  <si>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</si>
  <si>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</si>
  <si>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</si>
  <si>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</si>
  <si>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</si>
  <si>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</si>
  <si>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</si>
  <si>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</si>
  <si>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</si>
  <si>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</si>
  <si>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</si>
  <si>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</si>
  <si>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</si>
  <si>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</si>
  <si>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</si>
  <si>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</si>
  <si>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</si>
  <si>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</si>
  <si>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</si>
  <si>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</si>
  <si>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</si>
  <si>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</si>
  <si>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</si>
  <si>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</si>
  <si>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</si>
  <si>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</si>
  <si>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</si>
  <si>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</si>
  <si>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</si>
  <si>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</si>
  <si>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</si>
  <si>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</si>
  <si>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</si>
  <si>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</si>
  <si>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</si>
  <si>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</si>
  <si>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</si>
  <si>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</si>
  <si>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</si>
  <si>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</si>
  <si>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</si>
  <si>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</si>
  <si>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</si>
  <si>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</si>
  <si>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</si>
  <si>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</si>
  <si>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</si>
  <si>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</si>
  <si>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</si>
  <si>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</si>
  <si>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</si>
  <si>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</si>
  <si>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</si>
  <si>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</si>
  <si>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</si>
  <si>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</si>
  <si>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</si>
  <si>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</si>
  <si>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</si>
  <si>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</si>
  <si>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</si>
  <si>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</si>
  <si>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</si>
  <si>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</si>
  <si>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</si>
  <si>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</si>
  <si>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</si>
  <si>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</si>
  <si>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</si>
  <si>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</si>
  <si>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</si>
  <si>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</si>
  <si>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</si>
  <si>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</si>
  <si>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</si>
  <si>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</si>
  <si>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</si>
  <si>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</si>
  <si>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</si>
  <si>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</si>
  <si>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</si>
  <si>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</si>
  <si>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</si>
  <si>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</si>
  <si>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</si>
  <si>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</si>
  <si>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</si>
  <si>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</si>
  <si>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</si>
  <si>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</si>
  <si>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</si>
  <si>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</si>
  <si>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</si>
  <si>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</si>
  <si>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</si>
  <si>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</si>
  <si>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</si>
  <si>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</si>
  <si>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</si>
  <si>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</si>
  <si>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</si>
  <si>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</si>
  <si>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</si>
  <si>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</si>
  <si>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</si>
  <si>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</si>
  <si>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</si>
  <si>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</si>
  <si>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</si>
  <si>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</si>
  <si>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</si>
  <si>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</si>
  <si>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</si>
  <si>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</si>
  <si>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</si>
  <si>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</si>
  <si>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</si>
  <si>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</si>
  <si>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</si>
  <si>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</si>
  <si>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</si>
  <si>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</si>
  <si>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</si>
  <si>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</si>
  <si>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</si>
  <si>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</si>
  <si>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</si>
  <si>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</si>
  <si>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</si>
  <si>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</si>
  <si>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</si>
  <si>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</si>
  <si>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</si>
  <si>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</si>
  <si>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</si>
  <si>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</si>
  <si>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</si>
  <si>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</si>
  <si>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</si>
  <si>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</si>
  <si>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</si>
  <si>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</si>
  <si>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</si>
  <si>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</si>
  <si>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</si>
  <si>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</si>
  <si>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</si>
  <si>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</si>
  <si>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</si>
  <si>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</si>
  <si>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</si>
  <si>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</si>
  <si>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</si>
  <si>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</si>
  <si>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</si>
  <si>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</si>
  <si>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</si>
  <si>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</si>
  <si>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</si>
  <si>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</si>
  <si>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</si>
  <si>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</si>
  <si>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</si>
  <si>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</si>
  <si>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</si>
  <si>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</si>
  <si>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</si>
  <si>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</si>
  <si>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</si>
  <si>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</si>
  <si>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</si>
  <si>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</si>
  <si>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</si>
  <si>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</si>
  <si>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</si>
  <si>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</si>
  <si>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</si>
  <si>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</si>
  <si>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</si>
  <si>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</si>
  <si>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</si>
  <si>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</si>
  <si>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</si>
  <si>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</si>
  <si>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</si>
  <si>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</si>
  <si>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</si>
  <si>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</si>
  <si>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</si>
  <si>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</si>
  <si>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</si>
  <si>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</si>
  <si>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</si>
  <si>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</si>
  <si>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323 East Clinton St.</t>
  </si>
  <si>
    <t>Brimfield</t>
  </si>
  <si>
    <t>rrichardson@brimfield309.com</t>
  </si>
  <si>
    <t>Robert Richardson</t>
  </si>
  <si>
    <t>309-446-3716</t>
  </si>
  <si>
    <t>Jason Hohulin, CPA</t>
  </si>
  <si>
    <t>jhohulin@gorenzcpa.com</t>
  </si>
  <si>
    <t>GO Bonds - Capital Appreciation</t>
  </si>
  <si>
    <t>GO Bonds - Build America Bonds</t>
  </si>
  <si>
    <t>GO Bonds - Build America Bonds (term bond)</t>
  </si>
  <si>
    <t>2 &amp; 6</t>
  </si>
  <si>
    <t xml:space="preserve">2 &amp; 6 </t>
  </si>
  <si>
    <t>309-446-3378</t>
  </si>
  <si>
    <t>2017-001</t>
  </si>
  <si>
    <t>Lack of Segregation of Duties</t>
  </si>
  <si>
    <t>2017-002</t>
  </si>
  <si>
    <t>Inadequate Treasurer's Bond coverage</t>
  </si>
  <si>
    <t>x</t>
  </si>
  <si>
    <t>Illinois School District Liquid Asset Fund</t>
  </si>
  <si>
    <t>Special Education Association of Peoria County</t>
  </si>
  <si>
    <t>Elmwood District #322</t>
  </si>
  <si>
    <t>Peoria Education Region for Employment &amp; Training Center</t>
  </si>
  <si>
    <t>On-Going - See Finding 2018-001</t>
  </si>
  <si>
    <t>Resolved</t>
  </si>
  <si>
    <t>066-005027</t>
  </si>
  <si>
    <t xml:space="preserve">
Adverse due to the use of the Regulatory Basis of Accounting.</t>
  </si>
  <si>
    <t xml:space="preserve">
See Finding 2018-001</t>
  </si>
  <si>
    <t>Page 10, Line 74 - Misc Food Service Revenue</t>
  </si>
  <si>
    <t>Page 10, Line 78 - Admission Revenue</t>
  </si>
  <si>
    <t>Page 10, Line 81 - Dues and Yearbook Revenue</t>
  </si>
  <si>
    <t>Page 11, Line 106 -</t>
  </si>
  <si>
    <t>Education -  After Care Fees</t>
  </si>
  <si>
    <t>Operations and Maintenance - Farm Revenue from FFA</t>
  </si>
  <si>
    <t>Page 11, Line 107 - Reimbursements</t>
  </si>
  <si>
    <t>Page 12, Line 171 - Library Grant</t>
  </si>
  <si>
    <t>Page 16, Line 83 -Workshop Fees</t>
  </si>
  <si>
    <t>Page 17, Line 136 - Workshop Fees</t>
  </si>
  <si>
    <t>Page 9, Line 17 - All Funds - U/I payment in lieu of taxes by TBA</t>
  </si>
  <si>
    <t>Heinz</t>
  </si>
  <si>
    <t>40-2550-300</t>
  </si>
  <si>
    <t>Transportation - Pupil Transportation - Purch Svcs</t>
  </si>
  <si>
    <t>Page 5, Line 12 - Escrow Donation Account</t>
  </si>
  <si>
    <t>AU-C 265 has prescribed definitions for significant deficiencies and material weaknesses in an entity's internal control structure.Internal controls are designed to allow management or employees, in the normal course of performing their assigned functions,to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</si>
  <si>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recording,reconciling, and reporting cash transactions.  This structure reduces certain aspects of the internal control system which rely on adequatesegregation of duties.</t>
  </si>
  <si>
    <t>All District accounting and financial records are maintained by two individuals.</t>
  </si>
  <si>
    <t>Certain individuals have the ability to complete and record accounting functions which ideally would be segregated.</t>
  </si>
  <si>
    <t>Limited funding currently precludes the hiring of additional staff.</t>
  </si>
  <si>
    <t>Segregation of duties is normally difficult to accomplish within a small governmental entity.  Management should be ever mindful of areasthat could be improved including, but not limited to, hiring additional personnel.</t>
  </si>
  <si>
    <t>Currently, the District relies on management oversight and budgetary controls to help mitigate the affects of a limited number of accounting personnel.  The District will review the internal control system annually and when the benefits of hiring additional personnel can be realizedon a cost effective basis, the District will pursue this option.</t>
  </si>
  <si>
    <t>Various</t>
  </si>
  <si>
    <t>see embedded PDF version</t>
  </si>
  <si>
    <t>Brimfield CUSD 309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</si>
</sst>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5">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55" fillId="0" borderId="0" xfId="3" applyFont="1" applyBorder="1" applyAlignment="1" applyProtection="1">
      <alignment horizontal="center"/>
      <protection locked="0"/>
    </xf>
    <xf numFmtId="179" fontId="55" fillId="0" borderId="0" xfId="3" applyNumberFormat="1" applyFont="1" applyBorder="1" applyAlignment="1" applyProtection="1">
      <alignment horizontal="center"/>
      <protection locked="0"/>
    </xf>
    <xf numFmtId="0" fontId="1" fillId="0" borderId="158" xfId="17" applyFont="1" applyBorder="1" applyAlignment="1" applyProtection="1">
      <alignment vertical="top"/>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horizontal="left" vertical="top" wrapText="1"/>
      <protection locked="0"/>
    </xf>
    <xf numFmtId="38" fontId="1" fillId="0" borderId="158" xfId="17" applyNumberFormat="1" applyFont="1" applyBorder="1" applyAlignment="1" applyProtection="1">
      <alignment horizontal="right" vertical="top"/>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17" xfId="12" applyNumberFormat="1" applyFont="1" applyBorder="1" applyAlignment="1" applyProtection="1">
      <alignment horizontal="left" vertical="center" indent="1"/>
      <protection locked="0"/>
    </xf>
    <xf numFmtId="0" fontId="11" fillId="0" borderId="0"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0" fontId="11" fillId="0" borderId="19" xfId="12" applyNumberFormat="1" applyFont="1" applyBorder="1" applyAlignment="1" applyProtection="1">
      <alignment horizontal="lef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1" fillId="0" borderId="0" xfId="0" applyNumberFormat="1" applyFont="1" applyBorder="1" applyAlignment="1" applyProtection="1">
      <alignment horizontal="left" vertical="center" indent="1"/>
      <protection locked="0"/>
    </xf>
    <xf numFmtId="0" fontId="11" fillId="0" borderId="18" xfId="0" applyFont="1" applyBorder="1" applyAlignment="1" applyProtection="1">
      <alignment horizontal="left" vertical="center" indent="1"/>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49" fontId="11" fillId="0" borderId="0" xfId="12" applyNumberFormat="1" applyFont="1" applyBorder="1" applyAlignment="1" applyProtection="1">
      <alignment horizontal="center" vertical="center"/>
    </xf>
    <xf numFmtId="0" fontId="12" fillId="0" borderId="19" xfId="12" applyFont="1" applyBorder="1" applyAlignment="1" applyProtection="1">
      <alignment vertical="center"/>
    </xf>
    <xf numFmtId="0" fontId="12"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1" fillId="0" borderId="19" xfId="12"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32" fillId="0" borderId="17" xfId="12" applyNumberFormat="1" applyFont="1" applyBorder="1" applyAlignment="1" applyProtection="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wrapText="1"/>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2" fillId="6" borderId="13" xfId="0"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3" fillId="13" borderId="13" xfId="0" applyNumberFormat="1" applyFont="1" applyFill="1" applyBorder="1" applyAlignment="1" applyProtection="1">
      <alignment horizontal="center" vertical="center"/>
    </xf>
    <xf numFmtId="0" fontId="55" fillId="13" borderId="14" xfId="0" applyFont="1" applyFill="1" applyBorder="1" applyAlignment="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63" fillId="13" borderId="13" xfId="9" applyFont="1" applyFill="1" applyBorder="1" applyAlignment="1">
      <alignment horizontal="center" vertical="center"/>
    </xf>
    <xf numFmtId="0" fontId="60" fillId="0" borderId="6" xfId="0" applyFont="1" applyBorder="1" applyAlignment="1" applyProtection="1">
      <alignment horizontal="left" vertical="center" wrapText="1"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5" xfId="3" applyNumberFormat="1" applyFont="1" applyBorder="1" applyAlignment="1" applyProtection="1">
      <alignment horizontal="left"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0" fillId="0" borderId="0" xfId="3" applyFont="1" applyAlignment="1" applyProtection="1">
      <alignment horizontal="left" vertical="center" wrapText="1"/>
    </xf>
    <xf numFmtId="3" fontId="53" fillId="0" borderId="77" xfId="3" applyNumberFormat="1" applyFont="1" applyBorder="1" applyAlignment="1" applyProtection="1">
      <alignment horizontal="right" indent="1"/>
      <protection locked="0"/>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52" fillId="0" borderId="78" xfId="3" applyFont="1" applyBorder="1" applyAlignment="1" applyProtection="1">
      <alignment horizont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9"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0" fontId="55" fillId="0" borderId="0" xfId="3" applyFont="1" applyAlignment="1" applyProtection="1">
      <alignment horizontal="left" vertical="top" wrapText="1"/>
      <protection locked="0"/>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5" t="s">
        <v>425</v>
      </c>
      <c r="J1" s="2036"/>
      <c r="K1" s="2036"/>
      <c r="L1" s="2036"/>
      <c r="M1" s="2036"/>
      <c r="N1" s="2036"/>
      <c r="O1" s="2036"/>
      <c r="P1" s="2036"/>
      <c r="Q1" s="2036"/>
      <c r="R1" s="2036"/>
      <c r="S1" s="2036"/>
    </row>
    <row r="2" spans="1:28" ht="12" customHeight="1" x14ac:dyDescent="0.2">
      <c r="A2" s="47" t="s">
        <v>1683</v>
      </c>
      <c r="D2" s="48"/>
      <c r="I2" s="2037" t="s">
        <v>1036</v>
      </c>
      <c r="J2" s="2036"/>
      <c r="K2" s="2036"/>
      <c r="L2" s="2036"/>
      <c r="M2" s="2036"/>
      <c r="N2" s="2036"/>
      <c r="O2" s="2036"/>
      <c r="P2" s="2036"/>
      <c r="Q2" s="2036"/>
      <c r="R2" s="2036"/>
      <c r="S2" s="2036"/>
    </row>
    <row r="3" spans="1:28" ht="12" customHeight="1" x14ac:dyDescent="0.2">
      <c r="A3" s="155" t="s">
        <v>1684</v>
      </c>
      <c r="B3" s="156"/>
      <c r="C3" s="156"/>
      <c r="D3" s="157"/>
      <c r="I3" s="2037" t="s">
        <v>54</v>
      </c>
      <c r="J3" s="2036"/>
      <c r="K3" s="2036"/>
      <c r="L3" s="2036"/>
      <c r="M3" s="2036"/>
      <c r="N3" s="2036"/>
      <c r="O3" s="2036"/>
      <c r="P3" s="2036"/>
      <c r="Q3" s="2036"/>
      <c r="R3" s="2036"/>
      <c r="S3" s="2036"/>
    </row>
    <row r="4" spans="1:28" ht="12" customHeight="1" x14ac:dyDescent="0.2">
      <c r="A4" s="37"/>
      <c r="I4" s="2037" t="s">
        <v>545</v>
      </c>
      <c r="J4" s="2036"/>
      <c r="K4" s="2036"/>
      <c r="L4" s="2036"/>
      <c r="M4" s="2036"/>
      <c r="N4" s="2036"/>
      <c r="O4" s="2036"/>
      <c r="P4" s="2036"/>
      <c r="Q4" s="2036"/>
      <c r="R4" s="2036"/>
      <c r="S4" s="2036"/>
    </row>
    <row r="5" spans="1:28" ht="14.1" customHeight="1" x14ac:dyDescent="0.2">
      <c r="B5" s="104" t="s">
        <v>2076</v>
      </c>
      <c r="C5" s="26" t="s">
        <v>966</v>
      </c>
      <c r="D5" s="84"/>
      <c r="E5" s="84"/>
      <c r="H5" s="38"/>
      <c r="I5" s="2044" t="s">
        <v>701</v>
      </c>
      <c r="J5" s="1989"/>
      <c r="K5" s="1989"/>
      <c r="L5" s="1989"/>
      <c r="M5" s="1989"/>
      <c r="N5" s="1989"/>
      <c r="O5" s="1989"/>
      <c r="P5" s="1989"/>
      <c r="Q5" s="1989"/>
      <c r="R5" s="1989"/>
      <c r="S5" s="1989"/>
    </row>
    <row r="6" spans="1:28" ht="14.1" customHeight="1" x14ac:dyDescent="0.2">
      <c r="B6" s="104"/>
      <c r="C6" s="26" t="s">
        <v>967</v>
      </c>
      <c r="D6" s="84"/>
      <c r="E6" s="84"/>
      <c r="I6" s="2043" t="s">
        <v>938</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695</v>
      </c>
      <c r="J9" s="2041"/>
      <c r="K9" s="2041"/>
      <c r="L9" s="2041"/>
      <c r="M9" s="2041"/>
      <c r="N9" s="2041"/>
      <c r="O9" s="2041"/>
      <c r="P9" s="2041"/>
      <c r="Q9" s="2041"/>
      <c r="R9" s="2041"/>
      <c r="S9" s="2042"/>
      <c r="T9" s="1985" t="s">
        <v>554</v>
      </c>
      <c r="U9" s="1986"/>
      <c r="V9" s="1986"/>
      <c r="W9" s="1986"/>
      <c r="X9" s="1986"/>
      <c r="Y9" s="1986"/>
      <c r="Z9" s="1986"/>
      <c r="AA9" s="1987"/>
    </row>
    <row r="10" spans="1:28" ht="13.5" customHeight="1" x14ac:dyDescent="0.2">
      <c r="A10" s="1994" t="s">
        <v>696</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1012</v>
      </c>
      <c r="B11" s="1998"/>
      <c r="C11" s="1998"/>
      <c r="D11" s="1998"/>
      <c r="E11" s="1998"/>
      <c r="F11" s="1998"/>
      <c r="G11" s="1998"/>
      <c r="H11" s="1999"/>
      <c r="I11" s="27"/>
      <c r="J11" s="74"/>
      <c r="K11" s="27"/>
      <c r="O11" s="148" t="s">
        <v>2076</v>
      </c>
      <c r="P11" s="100" t="s">
        <v>210</v>
      </c>
      <c r="Q11" s="30"/>
      <c r="R11" s="28"/>
      <c r="S11" s="27"/>
      <c r="T11" s="1991"/>
      <c r="U11" s="1992"/>
      <c r="V11" s="1992"/>
      <c r="W11" s="1992"/>
      <c r="X11" s="1992"/>
      <c r="Y11" s="1992"/>
      <c r="Z11" s="1992"/>
      <c r="AA11" s="1993"/>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5">
        <v>48072309026</v>
      </c>
      <c r="B13" s="2006"/>
      <c r="C13" s="2006"/>
      <c r="D13" s="2006"/>
      <c r="E13" s="2006"/>
      <c r="F13" s="2006"/>
      <c r="G13" s="2006"/>
      <c r="H13" s="2007"/>
      <c r="I13" s="31"/>
      <c r="J13" s="30"/>
      <c r="K13" s="28"/>
      <c r="L13" s="30"/>
      <c r="M13" s="30"/>
      <c r="N13" s="30"/>
      <c r="O13" s="30"/>
      <c r="P13" s="30"/>
      <c r="Q13" s="30"/>
      <c r="R13" s="30"/>
      <c r="S13" s="30"/>
      <c r="T13" s="2010" t="s">
        <v>2077</v>
      </c>
      <c r="U13" s="2011"/>
      <c r="V13" s="2011"/>
      <c r="W13" s="2011"/>
      <c r="X13" s="2011"/>
      <c r="Y13" s="2012"/>
      <c r="Z13" s="2012"/>
      <c r="AA13" s="2013"/>
    </row>
    <row r="14" spans="1:28" ht="14.1" customHeight="1" x14ac:dyDescent="0.2">
      <c r="A14" s="85" t="s">
        <v>737</v>
      </c>
      <c r="B14" s="76"/>
      <c r="C14" s="76"/>
      <c r="D14" s="76"/>
      <c r="E14" s="76"/>
      <c r="F14" s="76"/>
      <c r="G14" s="76"/>
      <c r="H14" s="53"/>
      <c r="I14" s="116"/>
      <c r="S14" s="48"/>
      <c r="T14" s="85" t="s">
        <v>1395</v>
      </c>
      <c r="U14" s="51"/>
      <c r="V14" s="51"/>
      <c r="W14" s="51"/>
      <c r="X14" s="51"/>
      <c r="Y14" s="45"/>
      <c r="Z14" s="45"/>
      <c r="AA14" s="46"/>
    </row>
    <row r="15" spans="1:28" ht="13.5" customHeight="1" x14ac:dyDescent="0.2">
      <c r="A15" s="2003" t="s">
        <v>2079</v>
      </c>
      <c r="B15" s="2008"/>
      <c r="C15" s="2008"/>
      <c r="D15" s="2008"/>
      <c r="E15" s="2008"/>
      <c r="F15" s="2008"/>
      <c r="G15" s="2008"/>
      <c r="H15" s="2009"/>
      <c r="T15" s="1971" t="s">
        <v>2090</v>
      </c>
      <c r="U15" s="1972"/>
      <c r="V15" s="1972"/>
      <c r="W15" s="1972"/>
      <c r="X15" s="1972"/>
      <c r="Y15" s="2014"/>
      <c r="Z15" s="2014"/>
      <c r="AA15" s="2015"/>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3" t="s">
        <v>2136</v>
      </c>
      <c r="B17" s="2033"/>
      <c r="C17" s="2033"/>
      <c r="D17" s="2033"/>
      <c r="E17" s="2033"/>
      <c r="F17" s="2033"/>
      <c r="G17" s="2033"/>
      <c r="H17" s="2034"/>
      <c r="T17" s="2020" t="s">
        <v>2078</v>
      </c>
      <c r="U17" s="2021"/>
      <c r="V17" s="2021"/>
      <c r="W17" s="2021"/>
      <c r="X17" s="2021"/>
      <c r="Y17" s="2021"/>
      <c r="Z17" s="2021"/>
      <c r="AA17" s="2022"/>
    </row>
    <row r="18" spans="1:27" ht="13.5" customHeight="1" x14ac:dyDescent="0.2">
      <c r="A18" s="85" t="s">
        <v>551</v>
      </c>
      <c r="B18" s="76"/>
      <c r="C18" s="72"/>
      <c r="D18" s="76"/>
      <c r="E18" s="76"/>
      <c r="F18" s="76"/>
      <c r="G18" s="76"/>
      <c r="H18" s="56"/>
      <c r="I18" s="2030" t="s">
        <v>697</v>
      </c>
      <c r="J18" s="2031"/>
      <c r="K18" s="2031"/>
      <c r="L18" s="2031"/>
      <c r="M18" s="2031"/>
      <c r="N18" s="2031"/>
      <c r="O18" s="2031"/>
      <c r="P18" s="2031"/>
      <c r="Q18" s="2031"/>
      <c r="R18" s="2031"/>
      <c r="S18" s="2032"/>
      <c r="T18" s="85" t="s">
        <v>735</v>
      </c>
      <c r="U18" s="51"/>
      <c r="V18" s="72"/>
      <c r="W18" s="50"/>
      <c r="X18" s="85" t="s">
        <v>284</v>
      </c>
      <c r="Y18" s="81"/>
      <c r="Z18" s="159" t="s">
        <v>698</v>
      </c>
      <c r="AA18" s="46"/>
    </row>
    <row r="19" spans="1:27" ht="13.5" customHeight="1" x14ac:dyDescent="0.2">
      <c r="A19" s="2003" t="s">
        <v>2085</v>
      </c>
      <c r="B19" s="2004"/>
      <c r="C19" s="2004"/>
      <c r="D19" s="2004"/>
      <c r="E19" s="2004"/>
      <c r="F19" s="2004"/>
      <c r="G19" s="2004"/>
      <c r="H19" s="2002"/>
      <c r="I19" s="30"/>
      <c r="J19" s="99"/>
      <c r="K19" s="40"/>
      <c r="L19" s="38"/>
      <c r="M19" s="112" t="s">
        <v>333</v>
      </c>
      <c r="P19" s="27"/>
      <c r="Q19" s="27"/>
      <c r="R19" s="27"/>
      <c r="S19" s="31"/>
      <c r="T19" s="2003" t="s">
        <v>2079</v>
      </c>
      <c r="U19" s="2001"/>
      <c r="V19" s="2001"/>
      <c r="W19" s="2002"/>
      <c r="X19" s="2018" t="s">
        <v>2080</v>
      </c>
      <c r="Y19" s="2019"/>
      <c r="Z19" s="2016">
        <v>61614</v>
      </c>
      <c r="AA19" s="2017"/>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00" t="s">
        <v>2086</v>
      </c>
      <c r="B21" s="2001"/>
      <c r="C21" s="2001"/>
      <c r="D21" s="2001"/>
      <c r="E21" s="2001"/>
      <c r="F21" s="2001"/>
      <c r="G21" s="2001"/>
      <c r="H21" s="2002"/>
      <c r="I21" s="2026" t="s">
        <v>699</v>
      </c>
      <c r="J21" s="1989"/>
      <c r="K21" s="1989"/>
      <c r="L21" s="1989"/>
      <c r="M21" s="1989"/>
      <c r="N21" s="1989"/>
      <c r="O21" s="1989"/>
      <c r="P21" s="1989"/>
      <c r="Q21" s="1989"/>
      <c r="R21" s="1989"/>
      <c r="S21" s="1990"/>
      <c r="T21" s="1968" t="s">
        <v>2081</v>
      </c>
      <c r="U21" s="1969"/>
      <c r="V21" s="1969"/>
      <c r="W21" s="1969"/>
      <c r="X21" s="1982" t="s">
        <v>2082</v>
      </c>
      <c r="Y21" s="1983"/>
      <c r="Z21" s="1983"/>
      <c r="AA21" s="1984"/>
    </row>
    <row r="22" spans="1:27" ht="13.5" customHeight="1" x14ac:dyDescent="0.2">
      <c r="A22" s="87" t="s">
        <v>552</v>
      </c>
      <c r="B22" s="59"/>
      <c r="C22" s="59"/>
      <c r="D22" s="59"/>
      <c r="E22" s="59"/>
      <c r="F22" s="59"/>
      <c r="G22" s="59"/>
      <c r="H22" s="60"/>
      <c r="I22" s="2027" t="s">
        <v>1503</v>
      </c>
      <c r="J22" s="2028"/>
      <c r="K22" s="2028"/>
      <c r="L22" s="2028"/>
      <c r="M22" s="2028"/>
      <c r="N22" s="2028"/>
      <c r="O22" s="2028"/>
      <c r="P22" s="2028"/>
      <c r="Q22" s="2028"/>
      <c r="R22" s="2028"/>
      <c r="S22" s="2029"/>
      <c r="T22" s="85" t="s">
        <v>1595</v>
      </c>
      <c r="U22" s="51"/>
      <c r="V22" s="72"/>
      <c r="W22" s="51"/>
      <c r="X22" s="160" t="s">
        <v>1384</v>
      </c>
      <c r="Z22" s="45"/>
      <c r="AA22" s="46"/>
    </row>
    <row r="23" spans="1:27" ht="13.5" customHeight="1" x14ac:dyDescent="0.2">
      <c r="A23" s="2023" t="s">
        <v>2087</v>
      </c>
      <c r="B23" s="2024"/>
      <c r="C23" s="2024"/>
      <c r="D23" s="2024"/>
      <c r="E23" s="2024"/>
      <c r="F23" s="2024"/>
      <c r="G23" s="2024"/>
      <c r="H23" s="2025"/>
      <c r="T23" s="1963" t="s">
        <v>2109</v>
      </c>
      <c r="U23" s="1964"/>
      <c r="V23" s="1964"/>
      <c r="W23" s="1964"/>
      <c r="X23" s="1979">
        <v>44530</v>
      </c>
      <c r="Y23" s="1980"/>
      <c r="Z23" s="1980"/>
      <c r="AA23" s="1981"/>
    </row>
    <row r="24" spans="1:27" ht="14.1" customHeight="1" x14ac:dyDescent="0.2">
      <c r="A24" s="88" t="s">
        <v>698</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552</v>
      </c>
      <c r="U24" s="106"/>
      <c r="V24" s="106"/>
      <c r="W24" s="106"/>
      <c r="X24" s="107"/>
      <c r="Y24" s="107"/>
      <c r="Z24" s="107"/>
      <c r="AA24" s="108"/>
    </row>
    <row r="25" spans="1:27" ht="14.1" customHeight="1" x14ac:dyDescent="0.2">
      <c r="A25" s="2000">
        <v>61517</v>
      </c>
      <c r="B25" s="2001"/>
      <c r="C25" s="2001"/>
      <c r="D25" s="2001"/>
      <c r="E25" s="2001"/>
      <c r="F25" s="2001"/>
      <c r="G25" s="2001"/>
      <c r="H25" s="2002"/>
      <c r="I25" s="113"/>
      <c r="J25" s="2067"/>
      <c r="K25" s="2067"/>
      <c r="L25" s="2067"/>
      <c r="M25" s="2067"/>
      <c r="N25" s="2067"/>
      <c r="O25" s="2067"/>
      <c r="P25" s="2067"/>
      <c r="Q25" s="2067"/>
      <c r="R25" s="2067"/>
      <c r="S25" s="2068"/>
      <c r="T25" s="1960" t="s">
        <v>2091</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8" t="s">
        <v>1590</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1382</v>
      </c>
      <c r="G29" s="114"/>
      <c r="I29" s="54"/>
      <c r="J29" s="102"/>
      <c r="K29" s="28" t="s">
        <v>597</v>
      </c>
      <c r="L29" s="148" t="s">
        <v>2076</v>
      </c>
      <c r="M29" s="40" t="s">
        <v>101</v>
      </c>
      <c r="N29" s="32" t="s">
        <v>1603</v>
      </c>
      <c r="O29" s="32"/>
      <c r="P29" s="32"/>
      <c r="Q29" s="32"/>
      <c r="R29" s="32"/>
      <c r="S29" s="123"/>
      <c r="T29" s="6"/>
      <c r="U29" s="6"/>
      <c r="V29" s="6"/>
      <c r="W29" s="6"/>
      <c r="X29" s="6"/>
      <c r="Y29" s="6"/>
      <c r="Z29" s="6"/>
      <c r="AA29" s="132"/>
    </row>
    <row r="30" spans="1:27" ht="13.5" customHeight="1" x14ac:dyDescent="0.2">
      <c r="A30" s="153"/>
      <c r="B30" s="136" t="s">
        <v>2076</v>
      </c>
      <c r="C30" s="124" t="s">
        <v>1226</v>
      </c>
      <c r="D30" s="28"/>
      <c r="E30" s="28"/>
      <c r="F30" s="140"/>
      <c r="G30" s="114"/>
      <c r="H30" s="114"/>
      <c r="I30" s="54"/>
      <c r="J30" s="102"/>
      <c r="K30" s="28" t="s">
        <v>597</v>
      </c>
      <c r="L30" s="148" t="s">
        <v>2076</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2076</v>
      </c>
      <c r="K31" s="40" t="s">
        <v>940</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3" t="s">
        <v>2088</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552</v>
      </c>
      <c r="B39" s="2057"/>
      <c r="C39" s="72"/>
      <c r="D39" s="69"/>
      <c r="E39" s="69"/>
      <c r="F39" s="79"/>
      <c r="G39" s="69"/>
      <c r="H39" s="56"/>
      <c r="I39" s="2056" t="s">
        <v>552</v>
      </c>
      <c r="J39" s="2057"/>
      <c r="K39" s="2057"/>
      <c r="L39" s="2057"/>
      <c r="M39" s="2057"/>
      <c r="N39" s="67"/>
      <c r="O39" s="72"/>
      <c r="P39" s="72"/>
      <c r="Q39" s="78"/>
      <c r="R39" s="72"/>
      <c r="S39" s="56"/>
      <c r="T39" s="72" t="s">
        <v>552</v>
      </c>
      <c r="U39" s="51"/>
      <c r="V39" s="72"/>
      <c r="W39" s="50"/>
      <c r="X39" s="78"/>
      <c r="Y39" s="45"/>
      <c r="Z39" s="45"/>
      <c r="AA39" s="46"/>
    </row>
    <row r="40" spans="1:27" ht="13.5" customHeight="1" x14ac:dyDescent="0.2">
      <c r="A40" s="2059" t="s">
        <v>2087</v>
      </c>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9" t="s">
        <v>2097</v>
      </c>
      <c r="B42" s="2050"/>
      <c r="C42" s="2051"/>
      <c r="D42" s="2064" t="s">
        <v>2089</v>
      </c>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1970</v>
      </c>
      <c r="C4" s="162" t="s">
        <v>1231</v>
      </c>
      <c r="D4" s="169" t="s">
        <v>10</v>
      </c>
      <c r="E4" s="170" t="s">
        <v>22</v>
      </c>
    </row>
    <row r="5" spans="1:5" x14ac:dyDescent="0.2">
      <c r="A5" s="168" t="s">
        <v>1972</v>
      </c>
      <c r="C5" s="162" t="s">
        <v>1231</v>
      </c>
      <c r="D5" s="169" t="s">
        <v>10</v>
      </c>
      <c r="E5" s="170" t="s">
        <v>22</v>
      </c>
    </row>
    <row r="6" spans="1:5" x14ac:dyDescent="0.2">
      <c r="A6" s="168" t="s">
        <v>1971</v>
      </c>
      <c r="C6" s="162" t="s">
        <v>1231</v>
      </c>
      <c r="D6" s="167" t="s">
        <v>11</v>
      </c>
      <c r="E6" s="170" t="s">
        <v>998</v>
      </c>
    </row>
    <row r="7" spans="1:5" x14ac:dyDescent="0.2">
      <c r="A7" s="168" t="s">
        <v>1973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1974</v>
      </c>
      <c r="C11" s="162" t="s">
        <v>1231</v>
      </c>
      <c r="D11" s="169" t="s">
        <v>14</v>
      </c>
      <c r="E11" s="170" t="s">
        <v>1218</v>
      </c>
    </row>
    <row r="12" spans="1:5" x14ac:dyDescent="0.2">
      <c r="B12" s="169" t="s">
        <v>1975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1976</v>
      </c>
      <c r="C15" s="162" t="s">
        <v>1231</v>
      </c>
      <c r="D15" s="169" t="s">
        <v>17</v>
      </c>
      <c r="E15" s="170" t="s">
        <v>657</v>
      </c>
    </row>
    <row r="16" spans="1:5" x14ac:dyDescent="0.2">
      <c r="A16" s="172"/>
      <c r="B16" s="162" t="s">
        <v>1977</v>
      </c>
      <c r="C16" s="162" t="s">
        <v>1231</v>
      </c>
      <c r="D16" s="169" t="s">
        <v>702</v>
      </c>
      <c r="E16" s="170" t="s">
        <v>1100</v>
      </c>
    </row>
    <row r="17" spans="1:5" x14ac:dyDescent="0.2">
      <c r="B17" s="167" t="s">
        <v>1045</v>
      </c>
      <c r="C17" s="162" t="s">
        <v>1231</v>
      </c>
    </row>
    <row r="18" spans="1:5" x14ac:dyDescent="0.2">
      <c r="B18" s="167" t="s">
        <v>1983</v>
      </c>
      <c r="D18" s="169" t="s">
        <v>18</v>
      </c>
      <c r="E18" s="170" t="s">
        <v>1101</v>
      </c>
    </row>
    <row r="19" spans="1:5" x14ac:dyDescent="0.2">
      <c r="A19" s="168" t="s">
        <v>1161</v>
      </c>
      <c r="C19" s="162" t="s">
        <v>1231</v>
      </c>
      <c r="D19" s="169"/>
      <c r="E19" s="171"/>
    </row>
    <row r="20" spans="1:5" x14ac:dyDescent="0.2">
      <c r="B20" s="167" t="s">
        <v>1978</v>
      </c>
      <c r="C20" s="162" t="s">
        <v>1231</v>
      </c>
      <c r="D20" s="169" t="s">
        <v>19</v>
      </c>
      <c r="E20" s="170" t="s">
        <v>53</v>
      </c>
    </row>
    <row r="21" spans="1:5" x14ac:dyDescent="0.2">
      <c r="B21" s="167" t="s">
        <v>1979</v>
      </c>
      <c r="C21" s="162" t="s">
        <v>1231</v>
      </c>
      <c r="D21" s="169" t="s">
        <v>20</v>
      </c>
      <c r="E21" s="170" t="s">
        <v>1707</v>
      </c>
    </row>
    <row r="22" spans="1:5" x14ac:dyDescent="0.2">
      <c r="A22" s="168"/>
      <c r="B22" s="162" t="s">
        <v>1967</v>
      </c>
      <c r="C22" s="162" t="s">
        <v>1231</v>
      </c>
      <c r="D22" s="167" t="s">
        <v>1969</v>
      </c>
      <c r="E22" s="1857" t="s">
        <v>1708</v>
      </c>
    </row>
    <row r="23" spans="1:5" x14ac:dyDescent="0.2">
      <c r="A23" s="168"/>
      <c r="B23" s="162" t="s">
        <v>1968</v>
      </c>
      <c r="D23" s="167" t="s">
        <v>658</v>
      </c>
      <c r="E23" s="1857" t="s">
        <v>1016</v>
      </c>
    </row>
    <row r="24" spans="1:5" x14ac:dyDescent="0.2">
      <c r="A24" s="168" t="s">
        <v>1706</v>
      </c>
      <c r="C24" s="162" t="s">
        <v>1231</v>
      </c>
      <c r="D24" s="167" t="s">
        <v>1459</v>
      </c>
      <c r="E24" s="170" t="s">
        <v>1017</v>
      </c>
    </row>
    <row r="25" spans="1:5" x14ac:dyDescent="0.2">
      <c r="A25" s="168" t="s">
        <v>1980</v>
      </c>
      <c r="C25" s="162" t="s">
        <v>1231</v>
      </c>
      <c r="D25" s="169" t="s">
        <v>21</v>
      </c>
      <c r="E25" s="170" t="s">
        <v>1102</v>
      </c>
    </row>
    <row r="26" spans="1:5" x14ac:dyDescent="0.2">
      <c r="A26" s="168" t="s">
        <v>1981</v>
      </c>
      <c r="C26" s="162" t="s">
        <v>1231</v>
      </c>
      <c r="D26" s="169" t="s">
        <v>584</v>
      </c>
      <c r="E26" s="170" t="s">
        <v>1103</v>
      </c>
    </row>
    <row r="27" spans="1:5" x14ac:dyDescent="0.2">
      <c r="A27" s="168" t="s">
        <v>1982</v>
      </c>
      <c r="C27" s="162" t="s">
        <v>1231</v>
      </c>
      <c r="D27" s="169" t="s">
        <v>578</v>
      </c>
      <c r="E27" s="170" t="s">
        <v>704</v>
      </c>
    </row>
    <row r="28" spans="1:5" x14ac:dyDescent="0.2">
      <c r="A28" s="168" t="s">
        <v>1984</v>
      </c>
      <c r="D28" s="169" t="s">
        <v>705</v>
      </c>
      <c r="E28" s="170" t="s">
        <v>1432</v>
      </c>
    </row>
    <row r="29" spans="1:5" x14ac:dyDescent="0.2">
      <c r="A29" s="168" t="s">
        <v>1985</v>
      </c>
      <c r="D29" s="169" t="s">
        <v>1460</v>
      </c>
      <c r="E29" s="170" t="s">
        <v>1441</v>
      </c>
    </row>
    <row r="30" spans="1:5" x14ac:dyDescent="0.2">
      <c r="A30" s="173" t="s">
        <v>1986</v>
      </c>
      <c r="C30" s="162" t="s">
        <v>1231</v>
      </c>
      <c r="D30" s="169" t="s">
        <v>42</v>
      </c>
      <c r="E30" s="170" t="s">
        <v>1039</v>
      </c>
    </row>
    <row r="31" spans="1:5" x14ac:dyDescent="0.2">
      <c r="A31" s="168" t="s">
        <v>1601</v>
      </c>
      <c r="C31" s="162" t="s">
        <v>1231</v>
      </c>
      <c r="D31" s="167"/>
      <c r="E31" s="171"/>
    </row>
    <row r="32" spans="1:5" x14ac:dyDescent="0.2">
      <c r="B32" s="167" t="s">
        <v>1987</v>
      </c>
      <c r="C32" s="162" t="s">
        <v>1231</v>
      </c>
      <c r="D32" s="169" t="s">
        <v>1602</v>
      </c>
      <c r="E32" s="170" t="s">
        <v>1461</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1705</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2017</v>
      </c>
    </row>
    <row r="45" spans="1:5" ht="6.75" customHeight="1" x14ac:dyDescent="0.2">
      <c r="A45" s="187"/>
      <c r="B45" s="186"/>
    </row>
    <row r="46" spans="1:5" x14ac:dyDescent="0.2">
      <c r="A46" s="185" t="s">
        <v>1041</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5" t="s">
        <v>1878</v>
      </c>
    </row>
    <row r="60" spans="1:3" x14ac:dyDescent="0.2">
      <c r="A60" s="196"/>
      <c r="B60" s="1505"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7"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6"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1230</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1026</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7" t="s">
        <v>1730</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331</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2076</v>
      </c>
      <c r="C50" s="227">
        <v>20</v>
      </c>
      <c r="D50" s="243" t="s">
        <v>1736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2076</v>
      </c>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t="s">
        <v>2110</v>
      </c>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1389</v>
      </c>
      <c r="B70" s="2090"/>
      <c r="C70" s="2090"/>
      <c r="D70" s="2090"/>
      <c r="E70" s="2091"/>
      <c r="F70" s="2091"/>
      <c r="G70" s="2091"/>
      <c r="H70" s="2091"/>
      <c r="I70" s="2091"/>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1386</v>
      </c>
      <c r="B83" s="2092"/>
      <c r="C83" s="2092"/>
      <c r="D83" s="2093"/>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1231</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4" t="s">
        <v>2111</v>
      </c>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2083</v>
      </c>
      <c r="D114" s="2083"/>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1396</v>
      </c>
      <c r="D117" s="2085"/>
      <c r="E117" s="2086"/>
      <c r="F117" s="2086"/>
      <c r="G117" s="2086"/>
      <c r="H117" s="2086"/>
      <c r="I117" s="304"/>
    </row>
    <row r="118" spans="1:9" s="181" customFormat="1" ht="24" customHeight="1" x14ac:dyDescent="0.2">
      <c r="A118" s="316"/>
      <c r="B118" s="316"/>
      <c r="C118" s="316"/>
      <c r="D118" s="323" t="s">
        <v>2135</v>
      </c>
      <c r="E118" s="322"/>
      <c r="F118" s="324"/>
      <c r="G118" s="1861"/>
      <c r="H118" s="322"/>
      <c r="I118" s="304"/>
    </row>
    <row r="119" spans="1:9" s="181" customFormat="1" ht="11.25" customHeight="1" x14ac:dyDescent="0.2">
      <c r="A119" s="325"/>
      <c r="B119" s="325"/>
      <c r="C119" s="326"/>
      <c r="D119" s="327" t="s">
        <v>379</v>
      </c>
      <c r="E119" s="310"/>
      <c r="F119" s="1860" t="s">
        <v>2021</v>
      </c>
      <c r="G119" s="328"/>
      <c r="H119" s="328"/>
      <c r="I119" s="304"/>
    </row>
    <row r="120" spans="1:9" x14ac:dyDescent="0.2">
      <c r="A120" s="329"/>
      <c r="B120" s="180"/>
      <c r="C120" s="330"/>
      <c r="D120" s="256"/>
      <c r="E120" s="256"/>
      <c r="F120" s="256"/>
      <c r="G120" s="256"/>
      <c r="H120" s="256"/>
      <c r="I120" s="304"/>
    </row>
    <row r="121" spans="1:9" x14ac:dyDescent="0.2">
      <c r="A121" s="329"/>
      <c r="B121" s="1508"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404</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290</v>
      </c>
      <c r="G7" s="222"/>
      <c r="H7" s="222"/>
      <c r="I7" s="222"/>
      <c r="J7" s="352">
        <v>113439789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2.5000000000000001E-2</v>
      </c>
      <c r="E10" s="356" t="s">
        <v>1062</v>
      </c>
      <c r="F10" s="355">
        <v>5.0000000000000001E-3</v>
      </c>
      <c r="G10" s="356" t="s">
        <v>1062</v>
      </c>
      <c r="H10" s="355">
        <v>2E-3</v>
      </c>
      <c r="I10" s="356" t="s">
        <v>1063</v>
      </c>
      <c r="J10" s="1752">
        <f>ROUND(D10+F10+H10,5)</f>
        <v>3.2000000000000001E-2</v>
      </c>
      <c r="K10" s="222"/>
      <c r="L10" s="355">
        <v>5.0000000000000001E-4</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6459140</v>
      </c>
      <c r="E16" s="356"/>
      <c r="F16" s="1753">
        <f>SUM('Acct Summary 7-8'!C17,'Acct Summary 7-8'!D17,'Acct Summary 7-8'!F17)</f>
        <v>5839037</v>
      </c>
      <c r="G16" s="356"/>
      <c r="H16" s="1753">
        <f>SUM(D16-F16)</f>
        <v>620103</v>
      </c>
      <c r="I16" s="222"/>
      <c r="J16" s="1753">
        <f>SUM('Acct Summary 7-8'!C81,'Acct Summary 7-8'!D81,'Acct Summary 7-8'!F81,'Acct Summary 7-8'!I81)</f>
        <v>4257398</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15654690.882000001</v>
      </c>
      <c r="I31" s="368"/>
      <c r="J31" s="222"/>
      <c r="K31" s="222"/>
      <c r="L31" s="222"/>
      <c r="M31" s="222"/>
    </row>
    <row r="32" spans="1:13" ht="13.35" customHeight="1" x14ac:dyDescent="0.2">
      <c r="B32" s="369" t="s">
        <v>2076</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9991522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1479</v>
      </c>
      <c r="B3" s="2123"/>
      <c r="C3" s="2123"/>
      <c r="D3" s="2123"/>
      <c r="E3" s="2123"/>
      <c r="F3" s="2123"/>
      <c r="G3" s="2123"/>
      <c r="H3" s="2123"/>
      <c r="I3" s="2123"/>
      <c r="J3" s="2123"/>
      <c r="K3" s="2123"/>
      <c r="L3" s="2123"/>
      <c r="M3" s="2123"/>
      <c r="N3" s="2123"/>
      <c r="O3" s="2123"/>
      <c r="P3" s="2123"/>
      <c r="Q3" s="2123"/>
      <c r="R3" s="2123"/>
    </row>
    <row r="4" spans="1:18" x14ac:dyDescent="0.2">
      <c r="A4" s="2124" t="s">
        <v>1634</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Brimfield CUSD 309</v>
      </c>
      <c r="E7" s="391"/>
      <c r="G7" s="252"/>
      <c r="H7" s="387"/>
      <c r="I7" s="387"/>
      <c r="J7" s="387"/>
      <c r="K7" s="387"/>
      <c r="L7" s="329"/>
      <c r="M7" s="329"/>
      <c r="N7" s="329"/>
      <c r="O7" s="329"/>
      <c r="P7" s="329"/>
    </row>
    <row r="8" spans="1:18" ht="12.75" x14ac:dyDescent="0.2">
      <c r="A8" s="329"/>
      <c r="B8" s="329"/>
      <c r="C8" s="389" t="s">
        <v>1187</v>
      </c>
      <c r="D8" s="392">
        <f>COVER!A13</f>
        <v>48072309026</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1431</v>
      </c>
      <c r="D12" s="218"/>
      <c r="E12" s="218"/>
      <c r="F12" s="218" t="s">
        <v>1152</v>
      </c>
      <c r="G12" s="402"/>
      <c r="H12" s="403">
        <f>SUM('Acct Summary 7-8'!C81+'Acct Summary 7-8'!D81+'Acct Summary 7-8'!F81+'Acct Summary 7-8'!I81+IF('Acct Summary 7-8'!G81&lt;0,'Acct Summary 7-8'!G81,"0")+IF('Acct Summary 7-8'!J81&lt;0,'Acct Summary 7-8'!J81,"0"))</f>
        <v>4257398</v>
      </c>
      <c r="I12" s="404"/>
      <c r="J12" s="404"/>
      <c r="K12" s="405">
        <f>TRUNC((H12/H13*100000),5)/100000</f>
        <v>0.65912768570000002</v>
      </c>
      <c r="L12" s="406"/>
      <c r="M12" s="360" t="s">
        <v>1206</v>
      </c>
      <c r="N12" s="360"/>
      <c r="O12" s="407">
        <v>0.35</v>
      </c>
      <c r="P12" s="218"/>
      <c r="Q12" s="218"/>
    </row>
    <row r="13" spans="1:18" s="408" customFormat="1" ht="12.75" x14ac:dyDescent="0.2">
      <c r="A13" s="218"/>
      <c r="B13" s="401"/>
      <c r="C13" s="2120" t="s">
        <v>1390</v>
      </c>
      <c r="D13" s="2121"/>
      <c r="E13" s="218"/>
      <c r="F13" s="409" t="s">
        <v>826</v>
      </c>
      <c r="G13" s="402"/>
      <c r="H13" s="403">
        <f>SUM('Acct Summary 7-8'!C8+'Acct Summary 7-8'!D8+'Acct Summary 7-8'!F8+'Acct Summary 7-8'!I8)+H14</f>
        <v>6459140</v>
      </c>
      <c r="I13" s="404"/>
      <c r="J13" s="404"/>
      <c r="K13" s="410"/>
      <c r="L13" s="218"/>
      <c r="M13" s="360" t="s">
        <v>1207</v>
      </c>
      <c r="N13" s="360"/>
      <c r="O13" s="411">
        <f>(O11*O12)</f>
        <v>1.4</v>
      </c>
      <c r="P13" s="218"/>
      <c r="Q13" s="218"/>
      <c r="R13" s="412"/>
    </row>
    <row r="14" spans="1:18" s="408" customFormat="1" ht="12.75" x14ac:dyDescent="0.2">
      <c r="A14" s="218"/>
      <c r="B14" s="401"/>
      <c r="C14" s="240" t="s">
        <v>1463</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5839037</v>
      </c>
      <c r="I17" s="404"/>
      <c r="J17" s="416"/>
      <c r="K17" s="405">
        <f>TRUNC((H17/H18*100000),5)/100000</f>
        <v>0.90399604280000001</v>
      </c>
      <c r="L17" s="406"/>
      <c r="M17" s="417" t="s">
        <v>1233</v>
      </c>
      <c r="O17" s="418" t="str">
        <f>IF(AND(O16="2", J20 &gt; 2),"1",IF(AND(O16 = "1", J20 &gt; 2),"2",IF(AND(O16="1", J20 &gt;1),"1","0")))</f>
        <v>0</v>
      </c>
      <c r="P17" s="218"/>
    </row>
    <row r="18" spans="1:18" s="408" customFormat="1" ht="11.25" x14ac:dyDescent="0.2">
      <c r="A18" s="218"/>
      <c r="B18" s="401"/>
      <c r="C18" s="2120" t="s">
        <v>1383</v>
      </c>
      <c r="D18" s="2121"/>
      <c r="E18" s="218"/>
      <c r="F18" s="419" t="s">
        <v>827</v>
      </c>
      <c r="G18" s="402"/>
      <c r="H18" s="403">
        <f>SUM('Acct Summary 7-8'!C8+'Acct Summary 7-8'!D8+'Acct Summary 7-8'!F8+'Acct Summary 7-8'!I8)+H19</f>
        <v>6459140</v>
      </c>
      <c r="I18" s="404"/>
      <c r="J18" s="404"/>
      <c r="K18" s="410"/>
      <c r="L18" s="218"/>
      <c r="M18" s="360" t="s">
        <v>1206</v>
      </c>
      <c r="N18" s="360"/>
      <c r="O18" s="410">
        <v>0.35</v>
      </c>
      <c r="P18" s="218"/>
    </row>
    <row r="19" spans="1:18" s="408" customFormat="1" ht="11.25" x14ac:dyDescent="0.2">
      <c r="A19" s="218"/>
      <c r="B19" s="401"/>
      <c r="C19" s="240" t="s">
        <v>1463</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7" t="s">
        <v>1478</v>
      </c>
      <c r="D24" s="2117"/>
      <c r="E24" s="218"/>
      <c r="F24" s="218" t="s">
        <v>465</v>
      </c>
      <c r="G24" s="402"/>
      <c r="H24" s="403">
        <f>SUM('Assets-Liab 5-6'!C4+'Assets-Liab 5-6'!D4+'Assets-Liab 5-6'!F4+'Assets-Liab 5-6'!I4+'Assets-Liab 5-6'!C5+'Assets-Liab 5-6'!D5+'Assets-Liab 5-6'!F5+'Assets-Liab 5-6'!I5)</f>
        <v>4252142</v>
      </c>
      <c r="I24" s="422"/>
      <c r="J24" s="422"/>
      <c r="K24" s="423">
        <f>TRUNC(((H24/H25*100000)/100000),2)</f>
        <v>262.16000000000003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16219.54722</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3085562.2607999998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2</v>
      </c>
      <c r="P31" s="216"/>
    </row>
    <row r="32" spans="1:18" s="408" customFormat="1" ht="11.25" x14ac:dyDescent="0.2">
      <c r="A32" s="218"/>
      <c r="B32" s="401"/>
      <c r="C32" s="218" t="s">
        <v>902</v>
      </c>
      <c r="D32" s="218"/>
      <c r="E32" s="218"/>
      <c r="F32" s="218"/>
      <c r="G32" s="402"/>
      <c r="H32" s="403">
        <f>'FP Info 3'!H37</f>
        <v>9991522</v>
      </c>
      <c r="I32" s="420"/>
      <c r="J32" s="420"/>
      <c r="K32" s="423">
        <f>TRUNC(100-((((H32/H33*100))*100)/100),2)</f>
        <v>36.17</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15654690.882000001</v>
      </c>
      <c r="I33" s="420"/>
      <c r="J33" s="420"/>
      <c r="K33" s="403"/>
      <c r="L33" s="218"/>
      <c r="M33" s="435" t="s">
        <v>1207</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5" t="s">
        <v>1573</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6"/>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7" t="s">
        <v>1030</v>
      </c>
      <c r="B3" s="2128"/>
      <c r="C3" s="1579"/>
      <c r="D3" s="1580"/>
      <c r="E3" s="1580"/>
      <c r="F3" s="1580"/>
      <c r="G3" s="1580"/>
      <c r="H3" s="1580"/>
      <c r="I3" s="1580"/>
      <c r="J3" s="1580"/>
      <c r="K3" s="1580"/>
      <c r="L3" s="1580"/>
      <c r="M3" s="1581"/>
      <c r="N3" s="1582"/>
    </row>
    <row r="4" spans="1:14" ht="13.5" customHeight="1" x14ac:dyDescent="0.2">
      <c r="A4" s="463" t="s">
        <v>1749</v>
      </c>
      <c r="B4" s="464"/>
      <c r="C4" s="465">
        <v>2043551</v>
      </c>
      <c r="D4" s="465">
        <v>559553</v>
      </c>
      <c r="E4" s="466">
        <v>426889</v>
      </c>
      <c r="F4" s="466">
        <v>181107</v>
      </c>
      <c r="G4" s="466">
        <v>246896</v>
      </c>
      <c r="H4" s="466">
        <v>158735</v>
      </c>
      <c r="I4" s="466">
        <v>133831</v>
      </c>
      <c r="J4" s="467">
        <v>106267</v>
      </c>
      <c r="K4" s="466">
        <v>190596</v>
      </c>
      <c r="L4" s="466">
        <v>222025</v>
      </c>
      <c r="M4" s="468"/>
      <c r="N4" s="469"/>
    </row>
    <row r="5" spans="1:14" x14ac:dyDescent="0.2">
      <c r="A5" s="463" t="s">
        <v>1049</v>
      </c>
      <c r="B5" s="470">
        <v>120</v>
      </c>
      <c r="C5" s="465">
        <v>591100</v>
      </c>
      <c r="D5" s="466">
        <v>336500</v>
      </c>
      <c r="E5" s="466">
        <v>0</v>
      </c>
      <c r="F5" s="466">
        <v>248200</v>
      </c>
      <c r="G5" s="466">
        <v>99500</v>
      </c>
      <c r="H5" s="466">
        <v>0</v>
      </c>
      <c r="I5" s="466">
        <v>158300</v>
      </c>
      <c r="J5" s="467">
        <v>303600</v>
      </c>
      <c r="K5" s="471">
        <v>0</v>
      </c>
      <c r="L5" s="472">
        <v>20000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5256</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2639907</v>
      </c>
      <c r="D13" s="1757">
        <f t="shared" ref="D13:L13" si="0">SUM(D4:D12)</f>
        <v>896053</v>
      </c>
      <c r="E13" s="1757">
        <f t="shared" si="0"/>
        <v>426889</v>
      </c>
      <c r="F13" s="1757">
        <f t="shared" si="0"/>
        <v>429307</v>
      </c>
      <c r="G13" s="1757">
        <f t="shared" si="0"/>
        <v>346396</v>
      </c>
      <c r="H13" s="1757">
        <f t="shared" si="0"/>
        <v>158735</v>
      </c>
      <c r="I13" s="1757">
        <f t="shared" si="0"/>
        <v>292131</v>
      </c>
      <c r="J13" s="1757">
        <f t="shared" si="0"/>
        <v>409867</v>
      </c>
      <c r="K13" s="1757">
        <f t="shared" si="0"/>
        <v>190596</v>
      </c>
      <c r="L13" s="1757">
        <f t="shared" si="0"/>
        <v>242025</v>
      </c>
      <c r="M13" s="468"/>
      <c r="N13" s="469"/>
    </row>
    <row r="14" spans="1:14" ht="18" customHeight="1" thickTop="1" x14ac:dyDescent="0.2">
      <c r="A14" s="2129" t="s">
        <v>149</v>
      </c>
      <c r="B14" s="2130"/>
      <c r="C14" s="1583"/>
      <c r="D14" s="1584"/>
      <c r="E14" s="1584"/>
      <c r="F14" s="1584"/>
      <c r="G14" s="1584"/>
      <c r="H14" s="1584"/>
      <c r="I14" s="1584"/>
      <c r="J14" s="1584"/>
      <c r="K14" s="1584"/>
      <c r="L14" s="1584"/>
      <c r="M14" s="1585"/>
      <c r="N14" s="1586"/>
    </row>
    <row r="15" spans="1:14" s="484" customFormat="1" ht="12.75" customHeight="1" x14ac:dyDescent="0.2">
      <c r="A15" s="481" t="s">
        <v>1467</v>
      </c>
      <c r="B15" s="482">
        <v>210</v>
      </c>
      <c r="C15" s="476"/>
      <c r="D15" s="476"/>
      <c r="E15" s="476"/>
      <c r="F15" s="476"/>
      <c r="G15" s="476"/>
      <c r="H15" s="476"/>
      <c r="I15" s="476"/>
      <c r="J15" s="476"/>
      <c r="K15" s="476"/>
      <c r="L15" s="476"/>
      <c r="M15" s="477">
        <v>0</v>
      </c>
      <c r="N15" s="483"/>
    </row>
    <row r="16" spans="1:14" s="484" customFormat="1" ht="12.75" customHeight="1" x14ac:dyDescent="0.2">
      <c r="A16" s="481" t="s">
        <v>1468</v>
      </c>
      <c r="B16" s="482">
        <v>220</v>
      </c>
      <c r="C16" s="476"/>
      <c r="D16" s="476"/>
      <c r="E16" s="476"/>
      <c r="F16" s="476"/>
      <c r="G16" s="476"/>
      <c r="H16" s="476"/>
      <c r="I16" s="476"/>
      <c r="J16" s="476"/>
      <c r="K16" s="476"/>
      <c r="L16" s="476"/>
      <c r="M16" s="467">
        <v>773994</v>
      </c>
      <c r="N16" s="483"/>
    </row>
    <row r="17" spans="1:14" s="484" customFormat="1" ht="12.75" customHeight="1" x14ac:dyDescent="0.2">
      <c r="A17" s="481" t="s">
        <v>1469</v>
      </c>
      <c r="B17" s="482">
        <v>230</v>
      </c>
      <c r="C17" s="476"/>
      <c r="D17" s="476"/>
      <c r="E17" s="476"/>
      <c r="F17" s="476"/>
      <c r="G17" s="476"/>
      <c r="H17" s="476"/>
      <c r="I17" s="476"/>
      <c r="J17" s="476"/>
      <c r="K17" s="476"/>
      <c r="L17" s="476"/>
      <c r="M17" s="467">
        <v>19401629</v>
      </c>
      <c r="N17" s="483"/>
    </row>
    <row r="18" spans="1:14" s="484" customFormat="1" ht="12.75" customHeight="1" x14ac:dyDescent="0.2">
      <c r="A18" s="481" t="s">
        <v>1470</v>
      </c>
      <c r="B18" s="482">
        <v>240</v>
      </c>
      <c r="C18" s="476"/>
      <c r="D18" s="476"/>
      <c r="E18" s="476"/>
      <c r="F18" s="476"/>
      <c r="G18" s="476"/>
      <c r="H18" s="476"/>
      <c r="I18" s="476"/>
      <c r="J18" s="476"/>
      <c r="K18" s="476"/>
      <c r="L18" s="476"/>
      <c r="M18" s="467">
        <v>1054072</v>
      </c>
      <c r="N18" s="483"/>
    </row>
    <row r="19" spans="1:14" s="484" customFormat="1" ht="12.75" customHeight="1" x14ac:dyDescent="0.2">
      <c r="A19" s="481" t="s">
        <v>1471</v>
      </c>
      <c r="B19" s="482">
        <v>250</v>
      </c>
      <c r="C19" s="476"/>
      <c r="D19" s="476"/>
      <c r="E19" s="476"/>
      <c r="F19" s="476"/>
      <c r="G19" s="476"/>
      <c r="H19" s="476"/>
      <c r="I19" s="476"/>
      <c r="J19" s="476"/>
      <c r="K19" s="476"/>
      <c r="L19" s="476"/>
      <c r="M19" s="467">
        <v>971526</v>
      </c>
      <c r="N19" s="483"/>
    </row>
    <row r="20" spans="1:14" s="484" customFormat="1" ht="12.75" customHeight="1" x14ac:dyDescent="0.2">
      <c r="A20" s="481" t="s">
        <v>1472</v>
      </c>
      <c r="B20" s="482">
        <v>260</v>
      </c>
      <c r="C20" s="476"/>
      <c r="D20" s="476"/>
      <c r="E20" s="476"/>
      <c r="F20" s="476"/>
      <c r="G20" s="476"/>
      <c r="H20" s="476"/>
      <c r="I20" s="476"/>
      <c r="J20" s="476"/>
      <c r="K20" s="476"/>
      <c r="L20" s="476"/>
      <c r="M20" s="467">
        <v>0</v>
      </c>
      <c r="N20" s="483"/>
    </row>
    <row r="21" spans="1:14" s="484" customFormat="1" ht="12.75" customHeight="1" x14ac:dyDescent="0.2">
      <c r="A21" s="481" t="s">
        <v>1473</v>
      </c>
      <c r="B21" s="482">
        <v>340</v>
      </c>
      <c r="C21" s="476"/>
      <c r="D21" s="476"/>
      <c r="E21" s="476"/>
      <c r="F21" s="476"/>
      <c r="G21" s="476"/>
      <c r="H21" s="476"/>
      <c r="I21" s="476"/>
      <c r="J21" s="476"/>
      <c r="K21" s="476"/>
      <c r="L21" s="476"/>
      <c r="M21" s="485"/>
      <c r="N21" s="467">
        <v>426889</v>
      </c>
    </row>
    <row r="22" spans="1:14" s="484" customFormat="1" ht="12.75" customHeight="1" x14ac:dyDescent="0.2">
      <c r="A22" s="481" t="s">
        <v>1474</v>
      </c>
      <c r="B22" s="482">
        <v>350</v>
      </c>
      <c r="C22" s="476"/>
      <c r="D22" s="476"/>
      <c r="E22" s="476"/>
      <c r="F22" s="476"/>
      <c r="G22" s="476"/>
      <c r="H22" s="476"/>
      <c r="I22" s="476"/>
      <c r="J22" s="476"/>
      <c r="K22" s="476"/>
      <c r="L22" s="476"/>
      <c r="M22" s="485"/>
      <c r="N22" s="486">
        <f>'Short-Term Long-Term Debt 24'!J49</f>
        <v>9564633</v>
      </c>
    </row>
    <row r="23" spans="1:14" ht="13.5" customHeight="1" thickBot="1" x14ac:dyDescent="0.25">
      <c r="A23" s="1756" t="s">
        <v>664</v>
      </c>
      <c r="B23" s="1761"/>
      <c r="C23" s="468"/>
      <c r="D23" s="468"/>
      <c r="E23" s="468"/>
      <c r="F23" s="468"/>
      <c r="G23" s="468"/>
      <c r="H23" s="468"/>
      <c r="I23" s="468"/>
      <c r="J23" s="468"/>
      <c r="K23" s="468"/>
      <c r="L23" s="468"/>
      <c r="M23" s="1708">
        <f>SUM(M15:M22)</f>
        <v>22201221</v>
      </c>
      <c r="N23" s="1708">
        <f>SUM(N21:N22)</f>
        <v>9991522</v>
      </c>
    </row>
    <row r="24" spans="1:14" ht="18" customHeight="1" thickTop="1" x14ac:dyDescent="0.2">
      <c r="A24" s="2131" t="s">
        <v>619</v>
      </c>
      <c r="B24" s="2132"/>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81625</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81625</v>
      </c>
      <c r="M34" s="468"/>
      <c r="N34" s="479"/>
    </row>
    <row r="35" spans="1:14" ht="18" customHeight="1" thickTop="1" x14ac:dyDescent="0.2">
      <c r="A35" s="2133" t="s">
        <v>550</v>
      </c>
      <c r="B35" s="2134"/>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9991522</v>
      </c>
    </row>
    <row r="37" spans="1:14" ht="13.5" thickBot="1" x14ac:dyDescent="0.25">
      <c r="A37" s="1756" t="s">
        <v>674</v>
      </c>
      <c r="B37" s="1761"/>
      <c r="C37" s="476"/>
      <c r="D37" s="476"/>
      <c r="E37" s="476"/>
      <c r="F37" s="476"/>
      <c r="G37" s="476"/>
      <c r="H37" s="476"/>
      <c r="I37" s="476"/>
      <c r="J37" s="476"/>
      <c r="K37" s="476"/>
      <c r="L37" s="479"/>
      <c r="M37" s="468"/>
      <c r="N37" s="1708">
        <f>SUM(N36:N36)</f>
        <v>9991522</v>
      </c>
    </row>
    <row r="38" spans="1:14" s="329" customFormat="1" ht="13.5" customHeight="1" thickTop="1" x14ac:dyDescent="0.2">
      <c r="A38" s="494" t="s">
        <v>440</v>
      </c>
      <c r="B38" s="482">
        <v>714</v>
      </c>
      <c r="C38" s="465">
        <v>53762</v>
      </c>
      <c r="D38" s="465">
        <v>0</v>
      </c>
      <c r="E38" s="465">
        <v>0</v>
      </c>
      <c r="F38" s="465">
        <v>0</v>
      </c>
      <c r="G38" s="465">
        <v>178543</v>
      </c>
      <c r="H38" s="465">
        <v>158735</v>
      </c>
      <c r="I38" s="465">
        <v>0</v>
      </c>
      <c r="J38" s="465">
        <v>0</v>
      </c>
      <c r="K38" s="465">
        <v>0</v>
      </c>
      <c r="L38" s="465">
        <v>160400</v>
      </c>
      <c r="M38" s="495"/>
      <c r="N38" s="495"/>
    </row>
    <row r="39" spans="1:14" s="329" customFormat="1" ht="13.5" customHeight="1" x14ac:dyDescent="0.2">
      <c r="A39" s="494" t="s">
        <v>360</v>
      </c>
      <c r="B39" s="482">
        <v>730</v>
      </c>
      <c r="C39" s="465">
        <v>2586145</v>
      </c>
      <c r="D39" s="465">
        <v>896053</v>
      </c>
      <c r="E39" s="465">
        <v>426889</v>
      </c>
      <c r="F39" s="465">
        <v>429307</v>
      </c>
      <c r="G39" s="465">
        <v>167853</v>
      </c>
      <c r="H39" s="465">
        <v>0</v>
      </c>
      <c r="I39" s="465">
        <v>292131</v>
      </c>
      <c r="J39" s="465">
        <v>409867</v>
      </c>
      <c r="K39" s="465">
        <v>190596</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22201221</v>
      </c>
      <c r="N40" s="495"/>
    </row>
    <row r="41" spans="1:14" ht="13.5" customHeight="1" thickBot="1" x14ac:dyDescent="0.25">
      <c r="A41" s="1756" t="s">
        <v>676</v>
      </c>
      <c r="B41" s="1726"/>
      <c r="C41" s="1708">
        <f>(SUM(C34,C37,C38,C39))</f>
        <v>2639907</v>
      </c>
      <c r="D41" s="1708">
        <f t="shared" ref="D41:L41" si="2">SUM(D34,D37,D38:D39)</f>
        <v>896053</v>
      </c>
      <c r="E41" s="1708">
        <f t="shared" si="2"/>
        <v>426889</v>
      </c>
      <c r="F41" s="1708">
        <f t="shared" si="2"/>
        <v>429307</v>
      </c>
      <c r="G41" s="1708">
        <f t="shared" si="2"/>
        <v>346396</v>
      </c>
      <c r="H41" s="1708">
        <f t="shared" si="2"/>
        <v>158735</v>
      </c>
      <c r="I41" s="1708">
        <f t="shared" si="2"/>
        <v>292131</v>
      </c>
      <c r="J41" s="1708">
        <f t="shared" si="2"/>
        <v>409867</v>
      </c>
      <c r="K41" s="1708">
        <f t="shared" si="2"/>
        <v>190596</v>
      </c>
      <c r="L41" s="1708">
        <f t="shared" si="2"/>
        <v>242025</v>
      </c>
      <c r="M41" s="1708">
        <f>SUM(M40)</f>
        <v>22201221</v>
      </c>
      <c r="N41" s="1708">
        <f>SUM(N37)</f>
        <v>9991522</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1" sqref="J3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3" t="s">
        <v>1750</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4"/>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5" t="s">
        <v>1237</v>
      </c>
      <c r="B3" s="2156"/>
      <c r="C3" s="1593"/>
      <c r="D3" s="1594"/>
      <c r="E3" s="1594"/>
      <c r="F3" s="1594"/>
      <c r="G3" s="1594"/>
      <c r="H3" s="1594"/>
      <c r="I3" s="1594"/>
      <c r="J3" s="1594"/>
      <c r="K3" s="1595"/>
      <c r="L3" s="504"/>
    </row>
    <row r="4" spans="1:13" ht="15.75" customHeight="1" x14ac:dyDescent="0.2">
      <c r="A4" s="1952" t="s">
        <v>1578</v>
      </c>
      <c r="B4" s="1953">
        <v>1000</v>
      </c>
      <c r="C4" s="1762">
        <f>'Revenues 9-14'!C109</f>
        <v>3667225</v>
      </c>
      <c r="D4" s="1762">
        <f>'Revenues 9-14'!D109</f>
        <v>590216</v>
      </c>
      <c r="E4" s="1762">
        <f>'Revenues 9-14'!E109</f>
        <v>973392</v>
      </c>
      <c r="F4" s="1762">
        <f>'Revenues 9-14'!F109</f>
        <v>230945</v>
      </c>
      <c r="G4" s="1762">
        <f>'Revenues 9-14'!G109</f>
        <v>125766</v>
      </c>
      <c r="H4" s="1762">
        <f>'Revenues 9-14'!H109</f>
        <v>158735</v>
      </c>
      <c r="I4" s="1762">
        <f>'Revenues 9-14'!I109</f>
        <v>58874</v>
      </c>
      <c r="J4" s="1762">
        <f>'Revenues 9-14'!J109</f>
        <v>279417</v>
      </c>
      <c r="K4" s="1762">
        <f>'Revenues 9-14'!K109</f>
        <v>58560</v>
      </c>
      <c r="L4" s="347"/>
    </row>
    <row r="5" spans="1:13" ht="15.75" customHeight="1" x14ac:dyDescent="0.2">
      <c r="A5" s="1596" t="s">
        <v>1579</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1580</v>
      </c>
      <c r="B6" s="1598">
        <v>3000</v>
      </c>
      <c r="C6" s="1763">
        <f>'Revenues 9-14'!C173</f>
        <v>1386031</v>
      </c>
      <c r="D6" s="1763">
        <f>'Revenues 9-14'!D173</f>
        <v>0</v>
      </c>
      <c r="E6" s="1763">
        <f>'Revenues 9-14'!E173</f>
        <v>0</v>
      </c>
      <c r="F6" s="1763">
        <f>'Revenues 9-14'!F173</f>
        <v>296647</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1581</v>
      </c>
      <c r="B7" s="1598">
        <v>4000</v>
      </c>
      <c r="C7" s="1763">
        <f>'Revenues 9-14'!C274</f>
        <v>229202</v>
      </c>
      <c r="D7" s="1763">
        <f>'Revenues 9-14'!D274</f>
        <v>0</v>
      </c>
      <c r="E7" s="1763">
        <f>'Revenues 9-14'!E274</f>
        <v>143988</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5282458</v>
      </c>
      <c r="D8" s="1708">
        <f t="shared" ref="D8:K8" si="0">SUM(D4:D7)</f>
        <v>590216</v>
      </c>
      <c r="E8" s="1708">
        <f t="shared" si="0"/>
        <v>1117380</v>
      </c>
      <c r="F8" s="1708">
        <f t="shared" si="0"/>
        <v>527592</v>
      </c>
      <c r="G8" s="1708">
        <f t="shared" si="0"/>
        <v>125766</v>
      </c>
      <c r="H8" s="1708">
        <f t="shared" si="0"/>
        <v>158735</v>
      </c>
      <c r="I8" s="1708">
        <f t="shared" si="0"/>
        <v>58874</v>
      </c>
      <c r="J8" s="1708">
        <f t="shared" si="0"/>
        <v>279417</v>
      </c>
      <c r="K8" s="1708">
        <f t="shared" si="0"/>
        <v>58560</v>
      </c>
      <c r="L8" s="347"/>
    </row>
    <row r="9" spans="1:13" ht="15.75" thickTop="1" x14ac:dyDescent="0.2">
      <c r="A9" s="512" t="s">
        <v>1751</v>
      </c>
      <c r="B9" s="513">
        <v>3998</v>
      </c>
      <c r="C9" s="465">
        <v>2313622</v>
      </c>
      <c r="D9" s="514"/>
      <c r="E9" s="480"/>
      <c r="F9" s="480"/>
      <c r="G9" s="515"/>
      <c r="H9" s="480"/>
      <c r="I9" s="507" t="s">
        <v>1231</v>
      </c>
      <c r="J9" s="477"/>
      <c r="K9" s="480"/>
      <c r="L9" s="347"/>
    </row>
    <row r="10" spans="1:13" s="517" customFormat="1" ht="13.5" thickBot="1" x14ac:dyDescent="0.25">
      <c r="A10" s="1756" t="s">
        <v>1235</v>
      </c>
      <c r="B10" s="1729"/>
      <c r="C10" s="1708">
        <f>SUM(C8:C9)</f>
        <v>7596080</v>
      </c>
      <c r="D10" s="1708">
        <f t="shared" ref="D10:K10" si="1">SUM(D8:D9)</f>
        <v>590216</v>
      </c>
      <c r="E10" s="1708">
        <f t="shared" si="1"/>
        <v>1117380</v>
      </c>
      <c r="F10" s="1708">
        <f t="shared" si="1"/>
        <v>527592</v>
      </c>
      <c r="G10" s="1708">
        <f t="shared" si="1"/>
        <v>125766</v>
      </c>
      <c r="H10" s="1708">
        <f t="shared" si="1"/>
        <v>158735</v>
      </c>
      <c r="I10" s="1708">
        <f t="shared" si="1"/>
        <v>58874</v>
      </c>
      <c r="J10" s="1708">
        <f t="shared" si="1"/>
        <v>279417</v>
      </c>
      <c r="K10" s="1708">
        <f t="shared" si="1"/>
        <v>58560</v>
      </c>
      <c r="L10" s="516"/>
    </row>
    <row r="11" spans="1:13" s="517" customFormat="1" ht="16.7" customHeight="1" thickTop="1" x14ac:dyDescent="0.2">
      <c r="A11" s="2129" t="s">
        <v>1238</v>
      </c>
      <c r="B11" s="2130"/>
      <c r="C11" s="1590"/>
      <c r="D11" s="1591"/>
      <c r="E11" s="1591"/>
      <c r="F11" s="1591"/>
      <c r="G11" s="1591"/>
      <c r="H11" s="1591"/>
      <c r="I11" s="1591"/>
      <c r="J11" s="1591"/>
      <c r="K11" s="1592"/>
      <c r="L11" s="516"/>
    </row>
    <row r="12" spans="1:13" ht="15.75" customHeight="1" x14ac:dyDescent="0.2">
      <c r="A12" s="1596" t="s">
        <v>476</v>
      </c>
      <c r="B12" s="1598">
        <v>1000</v>
      </c>
      <c r="C12" s="1762">
        <f>'Expenditures 15-22'!K33</f>
        <v>3612978</v>
      </c>
      <c r="D12" s="518" t="s">
        <v>1231</v>
      </c>
      <c r="E12" s="468" t="s">
        <v>1231</v>
      </c>
      <c r="F12" s="468" t="s">
        <v>1231</v>
      </c>
      <c r="G12" s="1762">
        <f>'Expenditures 15-22'!K229</f>
        <v>84298</v>
      </c>
      <c r="H12" s="519"/>
      <c r="I12" s="468" t="s">
        <v>1231</v>
      </c>
      <c r="J12" s="468" t="s">
        <v>1231</v>
      </c>
      <c r="K12" s="519" t="s">
        <v>1231</v>
      </c>
      <c r="L12" s="347"/>
    </row>
    <row r="13" spans="1:13" ht="15.75" customHeight="1" x14ac:dyDescent="0.2">
      <c r="A13" s="1596" t="s">
        <v>477</v>
      </c>
      <c r="B13" s="1598">
        <v>2000</v>
      </c>
      <c r="C13" s="1763">
        <f>'Expenditures 15-22'!K74</f>
        <v>929641</v>
      </c>
      <c r="D13" s="1763">
        <f>'Expenditures 15-22'!K129</f>
        <v>506745</v>
      </c>
      <c r="E13" s="469" t="s">
        <v>1231</v>
      </c>
      <c r="F13" s="1763">
        <f>'Expenditures 15-22'!K184</f>
        <v>462266</v>
      </c>
      <c r="G13" s="1763">
        <f>'Expenditures 15-22'!K279</f>
        <v>94477</v>
      </c>
      <c r="H13" s="1763">
        <f>'Expenditures 15-22'!K303</f>
        <v>0</v>
      </c>
      <c r="I13" s="468" t="s">
        <v>1231</v>
      </c>
      <c r="J13" s="1763">
        <f>'Expenditures 15-22'!K330</f>
        <v>250886</v>
      </c>
      <c r="K13" s="1767">
        <f>'Expenditures 15-22'!K352</f>
        <v>0</v>
      </c>
      <c r="L13" s="347"/>
    </row>
    <row r="14" spans="1:13" ht="15.75" customHeight="1" x14ac:dyDescent="0.2">
      <c r="A14" s="1596" t="s">
        <v>469</v>
      </c>
      <c r="B14" s="1598">
        <v>3000</v>
      </c>
      <c r="C14" s="1763">
        <f>'Expenditures 15-22'!K75</f>
        <v>27035</v>
      </c>
      <c r="D14" s="1763">
        <f>'Expenditures 15-22'!K130</f>
        <v>0</v>
      </c>
      <c r="E14" s="518" t="s">
        <v>1231</v>
      </c>
      <c r="F14" s="1763">
        <f>'Expenditures 15-22'!K185</f>
        <v>0</v>
      </c>
      <c r="G14" s="1763">
        <f>'Expenditures 15-22'!K280</f>
        <v>3859</v>
      </c>
      <c r="H14" s="510"/>
      <c r="I14" s="468" t="s">
        <v>1231</v>
      </c>
      <c r="J14" s="468" t="s">
        <v>1231</v>
      </c>
      <c r="K14" s="510" t="s">
        <v>1231</v>
      </c>
      <c r="L14" s="347"/>
    </row>
    <row r="15" spans="1:13" ht="15.75" customHeight="1" x14ac:dyDescent="0.2">
      <c r="A15" s="1596" t="s">
        <v>109</v>
      </c>
      <c r="B15" s="1598">
        <v>4000</v>
      </c>
      <c r="C15" s="1763">
        <f>'Expenditures 15-22'!K102</f>
        <v>299255</v>
      </c>
      <c r="D15" s="1763">
        <f>'Expenditures 15-22'!K139</f>
        <v>1117</v>
      </c>
      <c r="E15" s="1763">
        <f>'Expenditures 15-22'!K160</f>
        <v>0</v>
      </c>
      <c r="F15" s="1763">
        <f>'Expenditures 15-22'!K196</f>
        <v>0</v>
      </c>
      <c r="G15" s="1763">
        <f>'Expenditures 15-22'!K285</f>
        <v>4150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1081173</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4868909</v>
      </c>
      <c r="D17" s="1708">
        <f t="shared" si="2"/>
        <v>507862</v>
      </c>
      <c r="E17" s="1708">
        <f t="shared" si="2"/>
        <v>1081173</v>
      </c>
      <c r="F17" s="1708">
        <f t="shared" si="2"/>
        <v>462266</v>
      </c>
      <c r="G17" s="1708">
        <f t="shared" si="2"/>
        <v>186784</v>
      </c>
      <c r="H17" s="1708">
        <f t="shared" si="2"/>
        <v>0</v>
      </c>
      <c r="I17" s="468"/>
      <c r="J17" s="1708">
        <f>SUM(J12:J16)</f>
        <v>250886</v>
      </c>
      <c r="K17" s="1708">
        <f>SUM(K12:K16)</f>
        <v>0</v>
      </c>
      <c r="L17" s="347"/>
    </row>
    <row r="18" spans="1:12" ht="15" customHeight="1" thickTop="1" x14ac:dyDescent="0.2">
      <c r="A18" s="1764" t="s">
        <v>1752</v>
      </c>
      <c r="B18" s="1765">
        <v>4180</v>
      </c>
      <c r="C18" s="1762">
        <f t="shared" ref="C18:H18" si="3">C9</f>
        <v>2313622</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7182531</v>
      </c>
      <c r="D19" s="1708">
        <f t="shared" si="4"/>
        <v>507862</v>
      </c>
      <c r="E19" s="1708">
        <f t="shared" si="4"/>
        <v>1081173</v>
      </c>
      <c r="F19" s="1708">
        <f t="shared" si="4"/>
        <v>462266</v>
      </c>
      <c r="G19" s="1708">
        <f t="shared" si="4"/>
        <v>186784</v>
      </c>
      <c r="H19" s="1708">
        <f t="shared" si="4"/>
        <v>0</v>
      </c>
      <c r="I19" s="468"/>
      <c r="J19" s="1708">
        <f>SUM(J17:J18)</f>
        <v>250886</v>
      </c>
      <c r="K19" s="1708">
        <f>SUM(K17:K18)</f>
        <v>0</v>
      </c>
      <c r="L19" s="347"/>
    </row>
    <row r="20" spans="1:12" ht="16.5" thickTop="1" thickBot="1" x14ac:dyDescent="0.25">
      <c r="A20" s="2145" t="s">
        <v>1753</v>
      </c>
      <c r="B20" s="2146"/>
      <c r="C20" s="1766">
        <f>C8-C17</f>
        <v>413549</v>
      </c>
      <c r="D20" s="1766">
        <f t="shared" ref="D20:K20" si="5">D8-D17</f>
        <v>82354</v>
      </c>
      <c r="E20" s="1766">
        <f t="shared" si="5"/>
        <v>36207</v>
      </c>
      <c r="F20" s="1766">
        <f t="shared" si="5"/>
        <v>65326</v>
      </c>
      <c r="G20" s="1766">
        <f t="shared" si="5"/>
        <v>-61018</v>
      </c>
      <c r="H20" s="1766">
        <f t="shared" si="5"/>
        <v>158735</v>
      </c>
      <c r="I20" s="1766">
        <f t="shared" si="5"/>
        <v>58874</v>
      </c>
      <c r="J20" s="1766">
        <f t="shared" si="5"/>
        <v>28531</v>
      </c>
      <c r="K20" s="1766">
        <f t="shared" si="5"/>
        <v>58560</v>
      </c>
      <c r="L20" s="347"/>
    </row>
    <row r="21" spans="1:12" ht="16.7" customHeight="1" thickTop="1" x14ac:dyDescent="0.2">
      <c r="A21" s="2157" t="s">
        <v>616</v>
      </c>
      <c r="B21" s="2158"/>
      <c r="C21" s="1590"/>
      <c r="D21" s="1591"/>
      <c r="E21" s="1591"/>
      <c r="F21" s="1591"/>
      <c r="G21" s="1591"/>
      <c r="H21" s="1591"/>
      <c r="I21" s="1591"/>
      <c r="J21" s="1591"/>
      <c r="K21" s="1592"/>
      <c r="L21" s="522"/>
    </row>
    <row r="22" spans="1:12" ht="15.75" customHeight="1" collapsed="1" x14ac:dyDescent="0.2">
      <c r="A22" s="2153" t="s">
        <v>617</v>
      </c>
      <c r="B22" s="2154"/>
      <c r="C22" s="476"/>
      <c r="D22" s="476"/>
      <c r="E22" s="476"/>
      <c r="F22" s="476"/>
      <c r="G22" s="476"/>
      <c r="H22" s="476"/>
      <c r="I22" s="476"/>
      <c r="J22" s="476"/>
      <c r="K22" s="476"/>
      <c r="L22" s="347"/>
    </row>
    <row r="23" spans="1:12" s="484" customFormat="1" ht="15.75" customHeight="1" x14ac:dyDescent="0.2">
      <c r="A23" s="2149" t="s">
        <v>311</v>
      </c>
      <c r="B23" s="2150"/>
      <c r="C23" s="479"/>
      <c r="D23" s="476"/>
      <c r="E23" s="476"/>
      <c r="F23" s="476"/>
      <c r="G23" s="476"/>
      <c r="H23" s="476"/>
      <c r="I23" s="476"/>
      <c r="J23" s="476"/>
      <c r="K23" s="476"/>
      <c r="L23" s="522"/>
    </row>
    <row r="24" spans="1:12" s="484" customFormat="1" ht="13.5" customHeight="1" x14ac:dyDescent="0.2">
      <c r="A24" s="1509" t="s">
        <v>1754</v>
      </c>
      <c r="B24" s="523">
        <v>7110</v>
      </c>
      <c r="C24" s="465">
        <v>0</v>
      </c>
      <c r="D24" s="476"/>
      <c r="E24" s="476"/>
      <c r="F24" s="476"/>
      <c r="G24" s="476"/>
      <c r="H24" s="476"/>
      <c r="I24" s="476"/>
      <c r="J24" s="476"/>
      <c r="K24" s="476"/>
      <c r="L24" s="522"/>
    </row>
    <row r="25" spans="1:12" s="484" customFormat="1" ht="13.5" customHeight="1" x14ac:dyDescent="0.2">
      <c r="A25" s="1509" t="s">
        <v>1755</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1464</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1896</v>
      </c>
      <c r="B30" s="525">
        <v>7160</v>
      </c>
      <c r="C30" s="476"/>
      <c r="D30" s="467">
        <v>0</v>
      </c>
      <c r="E30" s="476"/>
      <c r="F30" s="476"/>
      <c r="G30" s="476"/>
      <c r="H30" s="476"/>
      <c r="I30" s="476"/>
      <c r="J30" s="476"/>
      <c r="K30" s="476"/>
      <c r="L30" s="522"/>
    </row>
    <row r="31" spans="1:12" s="484" customFormat="1" ht="26.25" x14ac:dyDescent="0.2">
      <c r="A31" s="1509" t="s">
        <v>1900</v>
      </c>
      <c r="B31" s="525">
        <v>7170</v>
      </c>
      <c r="C31" s="476"/>
      <c r="D31" s="476"/>
      <c r="E31" s="474">
        <v>0</v>
      </c>
      <c r="F31" s="476"/>
      <c r="G31" s="476"/>
      <c r="H31" s="476"/>
      <c r="I31" s="476"/>
      <c r="J31" s="476"/>
      <c r="K31" s="476"/>
      <c r="L31" s="522"/>
    </row>
    <row r="32" spans="1:12" s="484" customFormat="1" ht="15.75" customHeight="1" x14ac:dyDescent="0.2">
      <c r="A32" s="2151" t="s">
        <v>1038</v>
      </c>
      <c r="B32" s="2152"/>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1756</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9" t="s">
        <v>392</v>
      </c>
      <c r="B44" s="2160"/>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3" t="s">
        <v>110</v>
      </c>
      <c r="B45" s="2154"/>
      <c r="C45" s="526"/>
      <c r="D45" s="526"/>
      <c r="E45" s="526"/>
      <c r="F45" s="526"/>
      <c r="G45" s="526"/>
      <c r="H45" s="526"/>
      <c r="I45" s="526"/>
      <c r="J45" s="526"/>
      <c r="K45" s="526"/>
      <c r="L45" s="347"/>
    </row>
    <row r="46" spans="1:12" s="484" customFormat="1" ht="15.75" customHeight="1" x14ac:dyDescent="0.2">
      <c r="A46" s="2161" t="s">
        <v>111</v>
      </c>
      <c r="B46" s="2162"/>
      <c r="C46" s="476"/>
      <c r="D46" s="476"/>
      <c r="E46" s="476"/>
      <c r="F46" s="476"/>
      <c r="G46" s="476"/>
      <c r="H46" s="476"/>
      <c r="I46" s="479"/>
      <c r="J46" s="476"/>
      <c r="K46" s="476"/>
      <c r="L46" s="527"/>
    </row>
    <row r="47" spans="1:12" s="484" customFormat="1" ht="15" x14ac:dyDescent="0.2">
      <c r="A47" s="1510" t="s">
        <v>1757</v>
      </c>
      <c r="B47" s="482">
        <v>8110</v>
      </c>
      <c r="C47" s="476"/>
      <c r="D47" s="476"/>
      <c r="E47" s="476"/>
      <c r="F47" s="476"/>
      <c r="G47" s="476"/>
      <c r="H47" s="476"/>
      <c r="I47" s="1763">
        <f>SUM(C24,C25:H25,J25:K25)</f>
        <v>0</v>
      </c>
      <c r="J47" s="476"/>
      <c r="K47" s="476"/>
      <c r="L47" s="527"/>
    </row>
    <row r="48" spans="1:12" s="484" customFormat="1" ht="15" x14ac:dyDescent="0.2">
      <c r="A48" s="1510" t="s">
        <v>1758</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1464</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1899</v>
      </c>
      <c r="B52" s="482">
        <v>8160</v>
      </c>
      <c r="C52" s="476"/>
      <c r="D52" s="476"/>
      <c r="E52" s="476"/>
      <c r="F52" s="476"/>
      <c r="G52" s="476"/>
      <c r="H52" s="476"/>
      <c r="I52" s="476"/>
      <c r="J52" s="476"/>
      <c r="K52" s="1763">
        <f>D30</f>
        <v>0</v>
      </c>
      <c r="L52" s="522"/>
    </row>
    <row r="53" spans="1:12" s="484" customFormat="1" ht="26.25" x14ac:dyDescent="0.2">
      <c r="A53" s="1510" t="s">
        <v>1898</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5" t="s">
        <v>460</v>
      </c>
      <c r="B76" s="2136"/>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137" t="s">
        <v>1239</v>
      </c>
      <c r="B77" s="2138"/>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141" t="s">
        <v>618</v>
      </c>
      <c r="B78" s="2142"/>
      <c r="C78" s="1722">
        <f t="shared" ref="C78:K78" si="9">C20+C77</f>
        <v>413549</v>
      </c>
      <c r="D78" s="1722">
        <f t="shared" si="9"/>
        <v>82354</v>
      </c>
      <c r="E78" s="1722">
        <f t="shared" si="9"/>
        <v>36207</v>
      </c>
      <c r="F78" s="1722">
        <f t="shared" si="9"/>
        <v>65326</v>
      </c>
      <c r="G78" s="1722">
        <f t="shared" si="9"/>
        <v>-61018</v>
      </c>
      <c r="H78" s="1722">
        <f t="shared" si="9"/>
        <v>158735</v>
      </c>
      <c r="I78" s="1722">
        <f t="shared" si="9"/>
        <v>58874</v>
      </c>
      <c r="J78" s="1722">
        <f t="shared" si="9"/>
        <v>28531</v>
      </c>
      <c r="K78" s="1722">
        <f t="shared" si="9"/>
        <v>58560</v>
      </c>
      <c r="L78" s="531"/>
    </row>
    <row r="79" spans="1:12" ht="13.5" thickTop="1" x14ac:dyDescent="0.2">
      <c r="A79" s="1514" t="s">
        <v>2072</v>
      </c>
      <c r="B79" s="532"/>
      <c r="C79" s="467">
        <v>2226358</v>
      </c>
      <c r="D79" s="467">
        <v>813699</v>
      </c>
      <c r="E79" s="467">
        <v>390682</v>
      </c>
      <c r="F79" s="467">
        <v>363981</v>
      </c>
      <c r="G79" s="467">
        <v>407414</v>
      </c>
      <c r="H79" s="467">
        <v>0</v>
      </c>
      <c r="I79" s="467">
        <v>233257</v>
      </c>
      <c r="J79" s="467">
        <v>381336</v>
      </c>
      <c r="K79" s="467">
        <v>132036</v>
      </c>
      <c r="L79" s="347"/>
    </row>
    <row r="80" spans="1:12" x14ac:dyDescent="0.2">
      <c r="A80" s="2147" t="s">
        <v>1897</v>
      </c>
      <c r="B80" s="2148"/>
      <c r="C80" s="467">
        <v>0</v>
      </c>
      <c r="D80" s="467">
        <v>0</v>
      </c>
      <c r="E80" s="467">
        <v>0</v>
      </c>
      <c r="F80" s="467">
        <v>0</v>
      </c>
      <c r="G80" s="467">
        <v>0</v>
      </c>
      <c r="H80" s="467">
        <v>0</v>
      </c>
      <c r="I80" s="467">
        <v>0</v>
      </c>
      <c r="J80" s="467">
        <v>0</v>
      </c>
      <c r="K80" s="467">
        <v>0</v>
      </c>
      <c r="L80" s="347"/>
    </row>
    <row r="81" spans="1:12" ht="13.5" thickBot="1" x14ac:dyDescent="0.25">
      <c r="A81" s="2139" t="s">
        <v>2073</v>
      </c>
      <c r="B81" s="2140"/>
      <c r="C81" s="1708">
        <f>(SUM(C78:C80))</f>
        <v>2639907</v>
      </c>
      <c r="D81" s="1708">
        <f>SUM(D78:D80)</f>
        <v>896053</v>
      </c>
      <c r="E81" s="1708">
        <f t="shared" ref="E81:K81" si="10">SUM(E78:E80)</f>
        <v>426889</v>
      </c>
      <c r="F81" s="1708">
        <f t="shared" si="10"/>
        <v>429307</v>
      </c>
      <c r="G81" s="1708">
        <f t="shared" si="10"/>
        <v>346396</v>
      </c>
      <c r="H81" s="1708">
        <f t="shared" si="10"/>
        <v>158735</v>
      </c>
      <c r="I81" s="1708">
        <f t="shared" si="10"/>
        <v>292131</v>
      </c>
      <c r="J81" s="1708">
        <f t="shared" si="10"/>
        <v>409867</v>
      </c>
      <c r="K81" s="1708">
        <f t="shared" si="10"/>
        <v>190596</v>
      </c>
      <c r="L81" s="347"/>
    </row>
    <row r="82" spans="1:12" ht="0.75" customHeight="1" thickTop="1" thickBot="1" x14ac:dyDescent="0.25">
      <c r="A82" s="534" t="s">
        <v>361</v>
      </c>
      <c r="B82" s="535"/>
      <c r="C82" s="536">
        <f>(C81-C79)</f>
        <v>413549</v>
      </c>
      <c r="D82" s="536">
        <f t="shared" ref="D82:K82" si="11">(D81-D79)</f>
        <v>82354</v>
      </c>
      <c r="E82" s="536">
        <f t="shared" si="11"/>
        <v>36207</v>
      </c>
      <c r="F82" s="536">
        <f t="shared" si="11"/>
        <v>65326</v>
      </c>
      <c r="G82" s="536">
        <f t="shared" si="11"/>
        <v>-61018</v>
      </c>
      <c r="H82" s="536">
        <f t="shared" si="11"/>
        <v>158735</v>
      </c>
      <c r="I82" s="536">
        <f t="shared" si="11"/>
        <v>58874</v>
      </c>
      <c r="J82" s="536">
        <f t="shared" si="11"/>
        <v>28531</v>
      </c>
      <c r="K82" s="536">
        <f t="shared" si="11"/>
        <v>58560</v>
      </c>
    </row>
    <row r="83" spans="1:12" ht="14.25" hidden="1" thickTop="1" thickBot="1" x14ac:dyDescent="0.25">
      <c r="A83" s="537" t="s">
        <v>362</v>
      </c>
      <c r="B83" s="464"/>
      <c r="C83" s="538">
        <f>C82/C81</f>
        <v>0.15665286693811561</v>
      </c>
      <c r="D83" s="538">
        <f t="shared" ref="D83:K83" si="12">D82/D81</f>
        <v>9.1907509935238205E-2</v>
      </c>
      <c r="E83" s="538">
        <f t="shared" si="12"/>
        <v>8.481595918376908E-2</v>
      </c>
      <c r="F83" s="538">
        <f t="shared" si="12"/>
        <v>0.15216616547132938</v>
      </c>
      <c r="G83" s="538">
        <f t="shared" si="12"/>
        <v>-0.17615099481518262</v>
      </c>
      <c r="H83" s="538">
        <f t="shared" si="12"/>
        <v>1</v>
      </c>
      <c r="I83" s="538">
        <f t="shared" si="12"/>
        <v>0.20153287395038527</v>
      </c>
      <c r="J83" s="538">
        <f t="shared" si="12"/>
        <v>6.9610385808079212E-2</v>
      </c>
      <c r="K83" s="538">
        <f t="shared" si="12"/>
        <v>0.3072467417994082</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1" sqref="J31"/>
      <selection pane="bottomLeft" activeCell="C5" sqref="C5"/>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3" t="s">
        <v>1904</v>
      </c>
      <c r="B1" s="452"/>
      <c r="C1" s="453" t="s">
        <v>445</v>
      </c>
      <c r="D1" s="453" t="s">
        <v>446</v>
      </c>
      <c r="E1" s="453" t="s">
        <v>447</v>
      </c>
      <c r="F1" s="453" t="s">
        <v>448</v>
      </c>
      <c r="G1" s="453" t="s">
        <v>449</v>
      </c>
      <c r="H1" s="453" t="s">
        <v>450</v>
      </c>
      <c r="I1" s="453" t="s">
        <v>451</v>
      </c>
      <c r="J1" s="453" t="s">
        <v>452</v>
      </c>
      <c r="K1" s="453" t="s">
        <v>780</v>
      </c>
    </row>
    <row r="2" spans="1:12" ht="36" x14ac:dyDescent="0.2">
      <c r="A2" s="2144"/>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1759</v>
      </c>
      <c r="B5" s="545"/>
      <c r="C5" s="480">
        <v>2835519</v>
      </c>
      <c r="D5" s="480">
        <v>567104</v>
      </c>
      <c r="E5" s="480">
        <v>960854</v>
      </c>
      <c r="F5" s="546">
        <v>226842</v>
      </c>
      <c r="G5" s="466">
        <v>45229</v>
      </c>
      <c r="H5" s="466">
        <v>0</v>
      </c>
      <c r="I5" s="466">
        <v>56710</v>
      </c>
      <c r="J5" s="466">
        <v>275151</v>
      </c>
      <c r="K5" s="466">
        <v>56710</v>
      </c>
    </row>
    <row r="6" spans="1:12" ht="15" x14ac:dyDescent="0.2">
      <c r="A6" s="463" t="s">
        <v>1760</v>
      </c>
      <c r="B6" s="470">
        <v>1130</v>
      </c>
      <c r="C6" s="466">
        <v>56710</v>
      </c>
      <c r="D6" s="466">
        <v>0</v>
      </c>
      <c r="E6" s="475"/>
      <c r="F6" s="475"/>
      <c r="G6" s="468"/>
      <c r="H6" s="468"/>
      <c r="I6" s="468"/>
      <c r="J6" s="468"/>
      <c r="K6" s="468"/>
    </row>
    <row r="7" spans="1:12" x14ac:dyDescent="0.2">
      <c r="A7" s="463" t="s">
        <v>112</v>
      </c>
      <c r="B7" s="547">
        <v>1140</v>
      </c>
      <c r="C7" s="466">
        <v>283553</v>
      </c>
      <c r="D7" s="466">
        <v>0</v>
      </c>
      <c r="E7" s="468"/>
      <c r="F7" s="467">
        <v>0</v>
      </c>
      <c r="G7" s="467">
        <v>0</v>
      </c>
      <c r="H7" s="467">
        <v>0</v>
      </c>
      <c r="I7" s="468"/>
      <c r="J7" s="468"/>
      <c r="K7" s="468"/>
    </row>
    <row r="8" spans="1:12" x14ac:dyDescent="0.2">
      <c r="A8" s="463" t="s">
        <v>433</v>
      </c>
      <c r="B8" s="470">
        <v>1150</v>
      </c>
      <c r="C8" s="475"/>
      <c r="D8" s="475"/>
      <c r="E8" s="476"/>
      <c r="F8" s="476"/>
      <c r="G8" s="480">
        <v>67842</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3175782</v>
      </c>
      <c r="D12" s="1727">
        <f t="shared" si="0"/>
        <v>567104</v>
      </c>
      <c r="E12" s="1727">
        <f t="shared" si="0"/>
        <v>960854</v>
      </c>
      <c r="F12" s="1727">
        <f t="shared" si="0"/>
        <v>226842</v>
      </c>
      <c r="G12" s="1727">
        <f t="shared" si="0"/>
        <v>113071</v>
      </c>
      <c r="H12" s="1727">
        <f t="shared" si="0"/>
        <v>0</v>
      </c>
      <c r="I12" s="1727">
        <f t="shared" si="0"/>
        <v>56710</v>
      </c>
      <c r="J12" s="1727">
        <f t="shared" si="0"/>
        <v>275151</v>
      </c>
      <c r="K12" s="1708">
        <f t="shared" si="0"/>
        <v>56710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264</v>
      </c>
      <c r="D14" s="466">
        <v>47</v>
      </c>
      <c r="E14" s="466">
        <v>79</v>
      </c>
      <c r="F14" s="466">
        <v>19</v>
      </c>
      <c r="G14" s="466">
        <v>9</v>
      </c>
      <c r="H14" s="466">
        <v>0</v>
      </c>
      <c r="I14" s="466">
        <v>5</v>
      </c>
      <c r="J14" s="467">
        <v>23</v>
      </c>
      <c r="K14" s="466">
        <v>5</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1761</v>
      </c>
      <c r="B16" s="547">
        <v>1230</v>
      </c>
      <c r="C16" s="549">
        <v>87033</v>
      </c>
      <c r="D16" s="466">
        <v>0</v>
      </c>
      <c r="E16" s="466">
        <v>0</v>
      </c>
      <c r="F16" s="466">
        <v>0</v>
      </c>
      <c r="G16" s="466">
        <v>7900</v>
      </c>
      <c r="H16" s="466">
        <v>0</v>
      </c>
      <c r="I16" s="466">
        <v>0</v>
      </c>
      <c r="J16" s="467">
        <v>0</v>
      </c>
      <c r="K16" s="466">
        <v>0</v>
      </c>
    </row>
    <row r="17" spans="1:11" ht="12.75" customHeight="1" x14ac:dyDescent="0.2">
      <c r="A17" s="463" t="s">
        <v>840</v>
      </c>
      <c r="B17" s="470">
        <v>1290</v>
      </c>
      <c r="C17" s="549">
        <v>3693</v>
      </c>
      <c r="D17" s="466">
        <v>660</v>
      </c>
      <c r="E17" s="466">
        <v>1099</v>
      </c>
      <c r="F17" s="466">
        <v>264</v>
      </c>
      <c r="G17" s="466">
        <v>132</v>
      </c>
      <c r="H17" s="466">
        <v>0</v>
      </c>
      <c r="I17" s="466">
        <v>66</v>
      </c>
      <c r="J17" s="467">
        <v>322</v>
      </c>
      <c r="K17" s="466">
        <v>66</v>
      </c>
    </row>
    <row r="18" spans="1:11" ht="12.75" customHeight="1" thickBot="1" x14ac:dyDescent="0.25">
      <c r="A18" s="1728" t="s">
        <v>558</v>
      </c>
      <c r="B18" s="1729"/>
      <c r="C18" s="1730">
        <f>SUM(C14:C17)</f>
        <v>90990</v>
      </c>
      <c r="D18" s="1730">
        <f t="shared" ref="D18:K18" si="1">SUM(D14:D17)</f>
        <v>707</v>
      </c>
      <c r="E18" s="1730">
        <f t="shared" si="1"/>
        <v>1178</v>
      </c>
      <c r="F18" s="1730">
        <f t="shared" si="1"/>
        <v>283</v>
      </c>
      <c r="G18" s="1730">
        <f t="shared" si="1"/>
        <v>8041</v>
      </c>
      <c r="H18" s="1730">
        <f t="shared" si="1"/>
        <v>0</v>
      </c>
      <c r="I18" s="1730">
        <f t="shared" si="1"/>
        <v>71</v>
      </c>
      <c r="J18" s="1730">
        <f t="shared" si="1"/>
        <v>345</v>
      </c>
      <c r="K18" s="1731">
        <f t="shared" si="1"/>
        <v>71</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904</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904</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21112</v>
      </c>
      <c r="D65" s="466">
        <v>8259</v>
      </c>
      <c r="E65" s="466">
        <v>4860</v>
      </c>
      <c r="F65" s="467">
        <v>3820</v>
      </c>
      <c r="G65" s="466">
        <v>4654</v>
      </c>
      <c r="H65" s="466">
        <v>0</v>
      </c>
      <c r="I65" s="466">
        <v>2093</v>
      </c>
      <c r="J65" s="467">
        <v>3921</v>
      </c>
      <c r="K65" s="466">
        <v>1779</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21112</v>
      </c>
      <c r="D67" s="1708">
        <f t="shared" ref="D67:K67" si="2">SUM(D65:D66)</f>
        <v>8259</v>
      </c>
      <c r="E67" s="1708">
        <f t="shared" si="2"/>
        <v>4860</v>
      </c>
      <c r="F67" s="1708">
        <f t="shared" si="2"/>
        <v>3820</v>
      </c>
      <c r="G67" s="1708">
        <f t="shared" si="2"/>
        <v>4654</v>
      </c>
      <c r="H67" s="1708">
        <f t="shared" si="2"/>
        <v>0</v>
      </c>
      <c r="I67" s="1708">
        <f t="shared" si="2"/>
        <v>2093</v>
      </c>
      <c r="J67" s="1708">
        <f t="shared" si="2"/>
        <v>3921</v>
      </c>
      <c r="K67" s="1708">
        <f t="shared" si="2"/>
        <v>1779</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86604</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97939</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2391</v>
      </c>
      <c r="D73" s="468"/>
      <c r="E73" s="468"/>
      <c r="F73" s="468"/>
      <c r="G73" s="468"/>
      <c r="H73" s="468"/>
      <c r="I73" s="468"/>
      <c r="J73" s="468"/>
      <c r="K73" s="468"/>
    </row>
    <row r="74" spans="1:11" ht="12.75" customHeight="1" x14ac:dyDescent="0.2">
      <c r="A74" s="463" t="s">
        <v>25</v>
      </c>
      <c r="B74" s="470">
        <v>1690</v>
      </c>
      <c r="C74" s="549">
        <v>4956</v>
      </c>
      <c r="D74" s="468"/>
      <c r="E74" s="468"/>
      <c r="F74" s="468"/>
      <c r="G74" s="468"/>
      <c r="H74" s="468"/>
      <c r="I74" s="468"/>
      <c r="J74" s="468"/>
      <c r="K74" s="468"/>
    </row>
    <row r="75" spans="1:11" ht="12.75" customHeight="1" thickBot="1" x14ac:dyDescent="0.25">
      <c r="A75" s="1728" t="s">
        <v>569</v>
      </c>
      <c r="B75" s="1729"/>
      <c r="C75" s="1708">
        <f>SUM(C69:C74)</f>
        <v>191890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56065</v>
      </c>
      <c r="D77" s="466">
        <v>0</v>
      </c>
      <c r="E77" s="468"/>
      <c r="F77" s="468"/>
      <c r="G77" s="468"/>
      <c r="H77" s="468"/>
      <c r="I77" s="468"/>
      <c r="J77" s="468"/>
      <c r="K77" s="468"/>
    </row>
    <row r="78" spans="1:11" ht="12.75" customHeight="1" x14ac:dyDescent="0.2">
      <c r="A78" s="463" t="s">
        <v>78</v>
      </c>
      <c r="B78" s="470">
        <v>1719</v>
      </c>
      <c r="C78" s="549">
        <v>2885</v>
      </c>
      <c r="D78" s="466">
        <v>0</v>
      </c>
      <c r="E78" s="468"/>
      <c r="F78" s="468"/>
      <c r="G78" s="468"/>
      <c r="H78" s="468"/>
      <c r="I78" s="468"/>
      <c r="J78" s="468"/>
      <c r="K78" s="468"/>
    </row>
    <row r="79" spans="1:11" ht="12.75" customHeight="1" x14ac:dyDescent="0.2">
      <c r="A79" s="463" t="s">
        <v>571</v>
      </c>
      <c r="B79" s="470">
        <v>1720</v>
      </c>
      <c r="C79" s="549">
        <v>21980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15604</v>
      </c>
      <c r="D81" s="466">
        <v>0</v>
      </c>
      <c r="E81" s="468"/>
      <c r="F81" s="468"/>
      <c r="G81" s="468"/>
      <c r="H81" s="468"/>
      <c r="I81" s="468"/>
      <c r="J81" s="468"/>
      <c r="K81" s="468"/>
    </row>
    <row r="82" spans="1:11" ht="12.75" customHeight="1" thickBot="1" x14ac:dyDescent="0.25">
      <c r="A82" s="1728" t="s">
        <v>259</v>
      </c>
      <c r="B82" s="1729"/>
      <c r="C82" s="1727">
        <f>SUM(C77:C81)</f>
        <v>96534</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42010</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42010</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564</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8971</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6605</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6500</v>
      </c>
      <c r="F103" s="468"/>
      <c r="G103" s="468"/>
      <c r="H103" s="487">
        <v>158735</v>
      </c>
      <c r="I103" s="468"/>
      <c r="J103" s="508"/>
      <c r="K103" s="508"/>
    </row>
    <row r="104" spans="1:12" ht="12.75" customHeight="1" x14ac:dyDescent="0.2">
      <c r="A104" s="463" t="s">
        <v>885</v>
      </c>
      <c r="B104" s="470">
        <v>1991</v>
      </c>
      <c r="C104" s="487">
        <v>3813</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1504</v>
      </c>
      <c r="B106" s="470">
        <v>1993</v>
      </c>
      <c r="C106" s="466">
        <v>32141</v>
      </c>
      <c r="D106" s="487">
        <v>5175</v>
      </c>
      <c r="E106" s="467">
        <v>0</v>
      </c>
      <c r="F106" s="467">
        <v>0</v>
      </c>
      <c r="G106" s="467">
        <v>0</v>
      </c>
      <c r="H106" s="467">
        <v>0</v>
      </c>
      <c r="I106" s="519"/>
      <c r="J106" s="467">
        <v>0</v>
      </c>
      <c r="K106" s="467">
        <v>0</v>
      </c>
    </row>
    <row r="107" spans="1:12" ht="12.75" customHeight="1" x14ac:dyDescent="0.2">
      <c r="A107" s="463" t="s">
        <v>80</v>
      </c>
      <c r="B107" s="470">
        <v>1999</v>
      </c>
      <c r="C107" s="549">
        <v>4880</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48003</v>
      </c>
      <c r="D108" s="1727">
        <f t="shared" ref="D108:K108" si="3">SUM(D95:D107)</f>
        <v>14146</v>
      </c>
      <c r="E108" s="1727">
        <f t="shared" si="3"/>
        <v>6500</v>
      </c>
      <c r="F108" s="1727">
        <f t="shared" si="3"/>
        <v>0</v>
      </c>
      <c r="G108" s="1727">
        <f t="shared" si="3"/>
        <v>0</v>
      </c>
      <c r="H108" s="1727">
        <f t="shared" si="3"/>
        <v>158735</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3667225</v>
      </c>
      <c r="D109" s="1735">
        <f t="shared" si="4"/>
        <v>590216</v>
      </c>
      <c r="E109" s="1735">
        <f t="shared" si="4"/>
        <v>973392</v>
      </c>
      <c r="F109" s="1735">
        <f t="shared" si="4"/>
        <v>230945</v>
      </c>
      <c r="G109" s="1735">
        <f t="shared" si="4"/>
        <v>125766</v>
      </c>
      <c r="H109" s="1735">
        <f t="shared" si="4"/>
        <v>158735</v>
      </c>
      <c r="I109" s="1735">
        <f t="shared" si="4"/>
        <v>58874</v>
      </c>
      <c r="J109" s="1735">
        <f t="shared" si="4"/>
        <v>279417</v>
      </c>
      <c r="K109" s="1722">
        <f t="shared" si="4"/>
        <v>58560</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1570</v>
      </c>
      <c r="B116" s="1616"/>
      <c r="C116" s="520"/>
      <c r="D116" s="519"/>
      <c r="E116" s="559"/>
      <c r="F116" s="519"/>
      <c r="G116" s="519"/>
      <c r="H116" s="559"/>
      <c r="I116" s="468"/>
      <c r="J116" s="519"/>
      <c r="K116" s="519"/>
    </row>
    <row r="117" spans="1:11" ht="12.75" customHeight="1" x14ac:dyDescent="0.2">
      <c r="A117" s="463" t="s">
        <v>1765</v>
      </c>
      <c r="B117" s="560">
        <v>3001</v>
      </c>
      <c r="C117" s="514">
        <v>1171991</v>
      </c>
      <c r="D117" s="480">
        <v>0</v>
      </c>
      <c r="E117" s="466">
        <v>0</v>
      </c>
      <c r="F117" s="480">
        <v>0</v>
      </c>
      <c r="G117" s="480">
        <v>0</v>
      </c>
      <c r="H117" s="466">
        <v>0</v>
      </c>
      <c r="I117" s="468"/>
      <c r="J117" s="467">
        <v>0</v>
      </c>
      <c r="K117" s="466">
        <v>0</v>
      </c>
    </row>
    <row r="118" spans="1:11" ht="12.75" customHeight="1" x14ac:dyDescent="0.2">
      <c r="A118" s="463" t="s">
        <v>1901</v>
      </c>
      <c r="B118" s="560">
        <v>3002</v>
      </c>
      <c r="C118" s="549">
        <v>0</v>
      </c>
      <c r="D118" s="466">
        <v>0</v>
      </c>
      <c r="E118" s="466">
        <v>0</v>
      </c>
      <c r="F118" s="466">
        <v>0</v>
      </c>
      <c r="G118" s="466">
        <v>0</v>
      </c>
      <c r="H118" s="466">
        <v>0</v>
      </c>
      <c r="I118" s="468"/>
      <c r="J118" s="467">
        <v>0</v>
      </c>
      <c r="K118" s="466">
        <v>0</v>
      </c>
    </row>
    <row r="119" spans="1:11" ht="12.75" customHeight="1" x14ac:dyDescent="0.2">
      <c r="A119" s="463" t="s">
        <v>1902</v>
      </c>
      <c r="B119" s="560">
        <v>3005</v>
      </c>
      <c r="C119" s="549">
        <v>0</v>
      </c>
      <c r="D119" s="466">
        <v>0</v>
      </c>
      <c r="E119" s="466">
        <v>0</v>
      </c>
      <c r="F119" s="466">
        <v>0</v>
      </c>
      <c r="G119" s="466">
        <v>0</v>
      </c>
      <c r="H119" s="466">
        <v>0</v>
      </c>
      <c r="I119" s="468"/>
      <c r="J119" s="467">
        <v>0</v>
      </c>
      <c r="K119" s="466">
        <v>0</v>
      </c>
    </row>
    <row r="120" spans="1:11" x14ac:dyDescent="0.2">
      <c r="A120" s="1516" t="s">
        <v>1903</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1171991</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1569</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19691</v>
      </c>
      <c r="D124" s="559"/>
      <c r="E124" s="468"/>
      <c r="F124" s="546">
        <v>0</v>
      </c>
      <c r="G124" s="468"/>
      <c r="H124" s="468"/>
      <c r="I124" s="468"/>
      <c r="J124" s="468"/>
      <c r="K124" s="468"/>
    </row>
    <row r="125" spans="1:11" ht="12.75" customHeight="1" x14ac:dyDescent="0.2">
      <c r="A125" s="463" t="s">
        <v>1520</v>
      </c>
      <c r="B125" s="560">
        <v>3105</v>
      </c>
      <c r="C125" s="466">
        <v>41496</v>
      </c>
      <c r="D125" s="559"/>
      <c r="E125" s="468"/>
      <c r="F125" s="466">
        <v>0</v>
      </c>
      <c r="G125" s="468"/>
      <c r="H125" s="468"/>
      <c r="I125" s="468"/>
      <c r="J125" s="468"/>
      <c r="K125" s="468"/>
    </row>
    <row r="126" spans="1:11" ht="12.75" customHeight="1" x14ac:dyDescent="0.2">
      <c r="A126" s="463" t="s">
        <v>922</v>
      </c>
      <c r="B126" s="560">
        <v>3110</v>
      </c>
      <c r="C126" s="549">
        <v>32999</v>
      </c>
      <c r="D126" s="466">
        <v>0</v>
      </c>
      <c r="E126" s="468"/>
      <c r="F126" s="466">
        <v>0</v>
      </c>
      <c r="G126" s="468"/>
      <c r="H126" s="468"/>
      <c r="I126" s="468"/>
      <c r="J126" s="468"/>
      <c r="K126" s="468"/>
    </row>
    <row r="127" spans="1:11" ht="12.75" customHeight="1" x14ac:dyDescent="0.2">
      <c r="A127" s="463" t="s">
        <v>107</v>
      </c>
      <c r="B127" s="560">
        <v>3120</v>
      </c>
      <c r="C127" s="466">
        <v>16985</v>
      </c>
      <c r="D127" s="559"/>
      <c r="E127" s="468"/>
      <c r="F127" s="466">
        <v>0</v>
      </c>
      <c r="G127" s="468"/>
      <c r="H127" s="468"/>
      <c r="I127" s="468"/>
      <c r="J127" s="468"/>
      <c r="K127" s="468"/>
    </row>
    <row r="128" spans="1:11" ht="12.75" customHeight="1" x14ac:dyDescent="0.2">
      <c r="A128" s="463" t="s">
        <v>1521</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111171</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14616</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2013</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16629</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516</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7995</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1522</v>
      </c>
      <c r="B151" s="560">
        <v>3500</v>
      </c>
      <c r="C151" s="549">
        <v>0</v>
      </c>
      <c r="D151" s="466">
        <v>0</v>
      </c>
      <c r="E151" s="559"/>
      <c r="F151" s="466">
        <v>129075</v>
      </c>
      <c r="G151" s="467">
        <v>0</v>
      </c>
      <c r="H151" s="468"/>
      <c r="I151" s="468"/>
      <c r="J151" s="468"/>
      <c r="K151" s="468"/>
    </row>
    <row r="152" spans="1:11" ht="12.75" customHeight="1" x14ac:dyDescent="0.2">
      <c r="A152" s="463" t="s">
        <v>1117</v>
      </c>
      <c r="B152" s="560">
        <v>3510</v>
      </c>
      <c r="C152" s="549">
        <v>0</v>
      </c>
      <c r="D152" s="466">
        <v>0</v>
      </c>
      <c r="E152" s="559"/>
      <c r="F152" s="466">
        <v>149972</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279047</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76979</v>
      </c>
      <c r="D158" s="576">
        <v>0</v>
      </c>
      <c r="E158" s="559"/>
      <c r="F158" s="574">
        <v>17600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1523</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750</v>
      </c>
      <c r="D171" s="578">
        <v>0</v>
      </c>
      <c r="E171" s="578">
        <v>0</v>
      </c>
      <c r="F171" s="578">
        <v>0</v>
      </c>
      <c r="G171" s="579">
        <v>0</v>
      </c>
      <c r="H171" s="580">
        <v>0</v>
      </c>
      <c r="I171" s="579">
        <v>0</v>
      </c>
      <c r="J171" s="579">
        <v>0</v>
      </c>
      <c r="K171" s="580">
        <v>0</v>
      </c>
    </row>
    <row r="172" spans="1:11" ht="12.75" customHeight="1" thickTop="1" thickBot="1" x14ac:dyDescent="0.25">
      <c r="A172" s="2163" t="s">
        <v>418</v>
      </c>
      <c r="B172" s="2164"/>
      <c r="C172" s="1742">
        <f t="shared" ref="C172:K172" si="6">SUM(C131,C140,C144,C145:C149,C154,C155:C170,C171)</f>
        <v>214040</v>
      </c>
      <c r="D172" s="1742">
        <f t="shared" si="6"/>
        <v>0</v>
      </c>
      <c r="E172" s="1742">
        <f t="shared" si="6"/>
        <v>0</v>
      </c>
      <c r="F172" s="1742">
        <f t="shared" si="6"/>
        <v>296647</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1386031</v>
      </c>
      <c r="D173" s="1735">
        <f>SUM(D121,D172)</f>
        <v>0</v>
      </c>
      <c r="E173" s="1735">
        <f>SUM(E121,E172)</f>
        <v>0</v>
      </c>
      <c r="F173" s="1735">
        <f t="shared" ref="F173:K173" si="7">SUM(F121,F172)</f>
        <v>296647</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5" t="s">
        <v>1571</v>
      </c>
      <c r="B175" s="2166"/>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9" t="s">
        <v>1763</v>
      </c>
      <c r="B178" s="2170"/>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3" t="s">
        <v>1762</v>
      </c>
      <c r="B179" s="2174"/>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71" t="s">
        <v>818</v>
      </c>
      <c r="B184" s="2172"/>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7" t="s">
        <v>1905</v>
      </c>
      <c r="B185" s="2168"/>
      <c r="C185" s="582"/>
      <c r="D185" s="564"/>
      <c r="E185" s="507"/>
      <c r="F185" s="564"/>
      <c r="G185" s="564"/>
      <c r="H185" s="468"/>
      <c r="I185" s="468"/>
      <c r="J185" s="468"/>
      <c r="K185" s="468"/>
    </row>
    <row r="186" spans="1:11" ht="15.75" customHeight="1" x14ac:dyDescent="0.2">
      <c r="A186" s="1623" t="s">
        <v>1691</v>
      </c>
      <c r="B186" s="1624"/>
      <c r="C186" s="520"/>
      <c r="D186" s="519"/>
      <c r="E186" s="507"/>
      <c r="F186" s="519"/>
      <c r="G186" s="519"/>
      <c r="H186" s="468"/>
      <c r="I186" s="468"/>
      <c r="J186" s="468"/>
      <c r="K186" s="468"/>
    </row>
    <row r="187" spans="1:11" ht="12.75" customHeight="1" x14ac:dyDescent="0.2">
      <c r="A187" s="463" t="s">
        <v>1692</v>
      </c>
      <c r="B187" s="470">
        <v>4100</v>
      </c>
      <c r="C187" s="514">
        <v>0</v>
      </c>
      <c r="D187" s="480">
        <v>0</v>
      </c>
      <c r="E187" s="559"/>
      <c r="F187" s="480">
        <v>0</v>
      </c>
      <c r="G187" s="480">
        <v>0</v>
      </c>
      <c r="H187" s="468"/>
      <c r="I187" s="468"/>
      <c r="J187" s="468"/>
      <c r="K187" s="468"/>
    </row>
    <row r="188" spans="1:11" ht="12.75" customHeight="1" x14ac:dyDescent="0.2">
      <c r="A188" s="463" t="s">
        <v>1693</v>
      </c>
      <c r="B188" s="470">
        <v>4105</v>
      </c>
      <c r="C188" s="549">
        <v>0</v>
      </c>
      <c r="D188" s="466">
        <v>0</v>
      </c>
      <c r="E188" s="559"/>
      <c r="F188" s="466">
        <v>0</v>
      </c>
      <c r="G188" s="466">
        <v>0</v>
      </c>
      <c r="H188" s="468"/>
      <c r="I188" s="468"/>
      <c r="J188" s="468"/>
      <c r="K188" s="468"/>
    </row>
    <row r="189" spans="1:11" ht="12.75" customHeight="1" x14ac:dyDescent="0.2">
      <c r="A189" s="463" t="s">
        <v>1695</v>
      </c>
      <c r="B189" s="470">
        <v>4107</v>
      </c>
      <c r="C189" s="549">
        <v>0</v>
      </c>
      <c r="D189" s="466">
        <v>0</v>
      </c>
      <c r="E189" s="559"/>
      <c r="F189" s="466">
        <v>0</v>
      </c>
      <c r="G189" s="466">
        <v>0</v>
      </c>
      <c r="H189" s="468"/>
      <c r="I189" s="468"/>
      <c r="J189" s="468"/>
      <c r="K189" s="468"/>
    </row>
    <row r="190" spans="1:11" ht="12.75" customHeight="1" x14ac:dyDescent="0.2">
      <c r="A190" s="463" t="s">
        <v>1694</v>
      </c>
      <c r="B190" s="470">
        <v>4199</v>
      </c>
      <c r="C190" s="549">
        <v>0</v>
      </c>
      <c r="D190" s="466">
        <v>0</v>
      </c>
      <c r="E190" s="559"/>
      <c r="F190" s="466">
        <v>0</v>
      </c>
      <c r="G190" s="466">
        <v>0</v>
      </c>
      <c r="H190" s="468"/>
      <c r="I190" s="468"/>
      <c r="J190" s="468"/>
      <c r="K190" s="468"/>
    </row>
    <row r="191" spans="1:11" ht="12.75" customHeight="1" thickBot="1" x14ac:dyDescent="0.25">
      <c r="A191" s="1728" t="s">
        <v>1696</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1524</v>
      </c>
      <c r="B193" s="470">
        <v>4200</v>
      </c>
      <c r="C193" s="467">
        <v>0</v>
      </c>
      <c r="D193" s="468"/>
      <c r="E193" s="559"/>
      <c r="F193" s="551"/>
      <c r="G193" s="583">
        <v>0</v>
      </c>
      <c r="H193" s="468"/>
      <c r="I193" s="468"/>
      <c r="J193" s="468"/>
      <c r="K193" s="468"/>
    </row>
    <row r="194" spans="1:11" ht="12.75" customHeight="1" x14ac:dyDescent="0.2">
      <c r="A194" s="463" t="s">
        <v>1118</v>
      </c>
      <c r="B194" s="470">
        <v>4210</v>
      </c>
      <c r="C194" s="466">
        <v>46212</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1525</v>
      </c>
      <c r="B197" s="470">
        <v>4225</v>
      </c>
      <c r="C197" s="549">
        <v>0</v>
      </c>
      <c r="D197" s="468"/>
      <c r="E197" s="559"/>
      <c r="F197" s="468"/>
      <c r="G197" s="583">
        <v>0</v>
      </c>
      <c r="H197" s="468"/>
      <c r="I197" s="468"/>
      <c r="J197" s="468"/>
      <c r="K197" s="468"/>
    </row>
    <row r="198" spans="1:11" ht="12.75" customHeight="1" x14ac:dyDescent="0.2">
      <c r="A198" s="463" t="s">
        <v>1526</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46212</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87042</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87042</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1527</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539</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1528</v>
      </c>
      <c r="B220" s="555">
        <v>4620</v>
      </c>
      <c r="C220" s="549">
        <v>15895</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16434</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588</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588</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143988</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1529</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143988</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1492</v>
      </c>
      <c r="B260" s="586">
        <v>4901</v>
      </c>
      <c r="C260" s="587">
        <v>0</v>
      </c>
      <c r="D260" s="469"/>
      <c r="E260" s="468"/>
      <c r="F260" s="468"/>
      <c r="G260" s="468"/>
      <c r="H260" s="468"/>
      <c r="I260" s="468"/>
      <c r="J260" s="468"/>
      <c r="K260" s="468"/>
    </row>
    <row r="261" spans="1:11" ht="12.75" customHeight="1" thickTop="1" thickBot="1" x14ac:dyDescent="0.25">
      <c r="A261" s="1523" t="s">
        <v>1537</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1530</v>
      </c>
      <c r="B263" s="470">
        <v>4905</v>
      </c>
      <c r="C263" s="571">
        <v>0</v>
      </c>
      <c r="D263" s="468"/>
      <c r="E263" s="468"/>
      <c r="F263" s="576">
        <v>0</v>
      </c>
      <c r="G263" s="571">
        <v>0</v>
      </c>
      <c r="H263" s="468"/>
      <c r="I263" s="468"/>
      <c r="J263" s="468"/>
      <c r="K263" s="468"/>
    </row>
    <row r="264" spans="1:11" ht="12.75" customHeight="1" thickTop="1" thickBot="1" x14ac:dyDescent="0.25">
      <c r="A264" s="463" t="s">
        <v>1531</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10989</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6123</v>
      </c>
      <c r="D270" s="574">
        <v>0</v>
      </c>
      <c r="E270" s="468"/>
      <c r="F270" s="574">
        <v>0</v>
      </c>
      <c r="G270" s="574">
        <v>0</v>
      </c>
      <c r="H270" s="468"/>
      <c r="I270" s="468"/>
      <c r="J270" s="468"/>
      <c r="K270" s="468"/>
    </row>
    <row r="271" spans="1:11" ht="12.75" customHeight="1" thickTop="1" thickBot="1" x14ac:dyDescent="0.25">
      <c r="A271" s="463" t="s">
        <v>395</v>
      </c>
      <c r="B271" s="470">
        <v>4992</v>
      </c>
      <c r="C271" s="573">
        <v>61814</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1764</v>
      </c>
      <c r="B273" s="1747"/>
      <c r="C273" s="1735">
        <f t="shared" ref="C273:H273" si="10">SUM(C191,C201,C211,C216,C224,C228,C229,C259:C272)</f>
        <v>229202</v>
      </c>
      <c r="D273" s="1735">
        <f t="shared" si="10"/>
        <v>0</v>
      </c>
      <c r="E273" s="1735">
        <f t="shared" si="10"/>
        <v>143988</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229202</v>
      </c>
      <c r="D274" s="1735">
        <f>SUM(D178,D184,D273)</f>
        <v>0</v>
      </c>
      <c r="E274" s="1735">
        <f>SUM(E178,E273)</f>
        <v>143988</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5282458</v>
      </c>
      <c r="D275" s="1735">
        <f t="shared" si="12"/>
        <v>590216</v>
      </c>
      <c r="E275" s="1735">
        <f t="shared" si="12"/>
        <v>1117380</v>
      </c>
      <c r="F275" s="1735">
        <f t="shared" si="12"/>
        <v>527592</v>
      </c>
      <c r="G275" s="1735">
        <f t="shared" si="12"/>
        <v>125766</v>
      </c>
      <c r="H275" s="1735">
        <f t="shared" si="12"/>
        <v>158735</v>
      </c>
      <c r="I275" s="1735">
        <f t="shared" si="12"/>
        <v>58874</v>
      </c>
      <c r="J275" s="1735">
        <f t="shared" si="12"/>
        <v>279417</v>
      </c>
      <c r="K275" s="1722">
        <f t="shared" si="12"/>
        <v>58560</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3" t="s">
        <v>1904</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5"/>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1" t="s">
        <v>315</v>
      </c>
      <c r="B3" s="2182"/>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1989580</v>
      </c>
      <c r="D5" s="466">
        <v>287459</v>
      </c>
      <c r="E5" s="466">
        <v>64412</v>
      </c>
      <c r="F5" s="466">
        <v>103916</v>
      </c>
      <c r="G5" s="466">
        <v>25873</v>
      </c>
      <c r="H5" s="466">
        <v>7977</v>
      </c>
      <c r="I5" s="467">
        <v>0</v>
      </c>
      <c r="J5" s="467">
        <v>0</v>
      </c>
      <c r="K5" s="1691">
        <f>SUM(C5:J5)</f>
        <v>2479217</v>
      </c>
      <c r="L5" s="466">
        <v>2708424</v>
      </c>
    </row>
    <row r="6" spans="1:14" x14ac:dyDescent="0.2">
      <c r="A6" s="1524" t="s">
        <v>1507</v>
      </c>
      <c r="B6" s="613" t="s">
        <v>1505</v>
      </c>
      <c r="C6" s="476"/>
      <c r="D6" s="476"/>
      <c r="E6" s="466">
        <v>0</v>
      </c>
      <c r="F6" s="476"/>
      <c r="G6" s="476"/>
      <c r="H6" s="476"/>
      <c r="I6" s="476"/>
      <c r="J6" s="476"/>
      <c r="K6" s="1691">
        <f>SUM(C6,E6)</f>
        <v>0</v>
      </c>
      <c r="L6" s="466">
        <v>0</v>
      </c>
    </row>
    <row r="7" spans="1:14" x14ac:dyDescent="0.2">
      <c r="A7" s="1524" t="s">
        <v>165</v>
      </c>
      <c r="B7" s="613" t="s">
        <v>1024</v>
      </c>
      <c r="C7" s="467">
        <v>52893</v>
      </c>
      <c r="D7" s="467">
        <v>1352</v>
      </c>
      <c r="E7" s="467">
        <v>0</v>
      </c>
      <c r="F7" s="467">
        <v>0</v>
      </c>
      <c r="G7" s="467">
        <v>0</v>
      </c>
      <c r="H7" s="467">
        <v>0</v>
      </c>
      <c r="I7" s="467">
        <v>0</v>
      </c>
      <c r="J7" s="467">
        <v>0</v>
      </c>
      <c r="K7" s="1691">
        <f t="shared" ref="K7:K32" si="0">SUM(C7:J7)</f>
        <v>54245</v>
      </c>
      <c r="L7" s="466">
        <v>70920</v>
      </c>
    </row>
    <row r="8" spans="1:14" x14ac:dyDescent="0.2">
      <c r="A8" s="1524" t="s">
        <v>166</v>
      </c>
      <c r="B8" s="613">
        <v>1200</v>
      </c>
      <c r="C8" s="466">
        <v>460542</v>
      </c>
      <c r="D8" s="466">
        <v>54050</v>
      </c>
      <c r="E8" s="466">
        <v>0</v>
      </c>
      <c r="F8" s="466">
        <v>8300</v>
      </c>
      <c r="G8" s="466">
        <v>0</v>
      </c>
      <c r="H8" s="466">
        <v>0</v>
      </c>
      <c r="I8" s="467">
        <v>0</v>
      </c>
      <c r="J8" s="467">
        <v>0</v>
      </c>
      <c r="K8" s="1691">
        <f t="shared" si="0"/>
        <v>522892</v>
      </c>
      <c r="L8" s="466">
        <v>579110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60</v>
      </c>
      <c r="D10" s="466">
        <v>0</v>
      </c>
      <c r="E10" s="466">
        <v>0</v>
      </c>
      <c r="F10" s="466">
        <v>235</v>
      </c>
      <c r="G10" s="466">
        <v>0</v>
      </c>
      <c r="H10" s="466">
        <v>0</v>
      </c>
      <c r="I10" s="467">
        <v>0</v>
      </c>
      <c r="J10" s="467">
        <v>0</v>
      </c>
      <c r="K10" s="1691">
        <f t="shared" si="0"/>
        <v>295</v>
      </c>
      <c r="L10" s="466">
        <v>12500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191905</v>
      </c>
      <c r="D13" s="466">
        <v>22921</v>
      </c>
      <c r="E13" s="466">
        <v>0</v>
      </c>
      <c r="F13" s="466">
        <v>22069</v>
      </c>
      <c r="G13" s="466">
        <v>1008</v>
      </c>
      <c r="H13" s="466">
        <v>784</v>
      </c>
      <c r="I13" s="467">
        <v>0</v>
      </c>
      <c r="J13" s="467">
        <v>0</v>
      </c>
      <c r="K13" s="1691">
        <f t="shared" si="0"/>
        <v>238687</v>
      </c>
      <c r="L13" s="466">
        <v>250130</v>
      </c>
    </row>
    <row r="14" spans="1:14" x14ac:dyDescent="0.2">
      <c r="A14" s="1524" t="s">
        <v>1020</v>
      </c>
      <c r="B14" s="613">
        <v>1500</v>
      </c>
      <c r="C14" s="467">
        <v>158606</v>
      </c>
      <c r="D14" s="466">
        <v>2969</v>
      </c>
      <c r="E14" s="466">
        <v>57955</v>
      </c>
      <c r="F14" s="466">
        <v>16510</v>
      </c>
      <c r="G14" s="466">
        <v>0</v>
      </c>
      <c r="H14" s="466">
        <v>28667</v>
      </c>
      <c r="I14" s="467">
        <v>0</v>
      </c>
      <c r="J14" s="467">
        <v>0</v>
      </c>
      <c r="K14" s="1691">
        <f t="shared" si="0"/>
        <v>264707</v>
      </c>
      <c r="L14" s="466">
        <v>255075</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19376</v>
      </c>
      <c r="D17" s="467">
        <v>1049</v>
      </c>
      <c r="E17" s="467">
        <v>317</v>
      </c>
      <c r="F17" s="467">
        <v>158</v>
      </c>
      <c r="G17" s="467">
        <v>0</v>
      </c>
      <c r="H17" s="467">
        <v>10</v>
      </c>
      <c r="I17" s="467">
        <v>0</v>
      </c>
      <c r="J17" s="467">
        <v>0</v>
      </c>
      <c r="K17" s="1691">
        <f t="shared" si="0"/>
        <v>20910</v>
      </c>
      <c r="L17" s="466">
        <v>18315</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3880</v>
      </c>
      <c r="I21" s="615"/>
      <c r="J21" s="476"/>
      <c r="K21" s="1691">
        <f t="shared" si="0"/>
        <v>3880</v>
      </c>
      <c r="L21" s="466">
        <v>3000</v>
      </c>
    </row>
    <row r="22" spans="1:12" x14ac:dyDescent="0.2">
      <c r="A22" s="1525" t="s">
        <v>764</v>
      </c>
      <c r="B22" s="601" t="s">
        <v>751</v>
      </c>
      <c r="C22" s="476"/>
      <c r="D22" s="476"/>
      <c r="E22" s="476"/>
      <c r="F22" s="476"/>
      <c r="G22" s="476"/>
      <c r="H22" s="474">
        <v>28145</v>
      </c>
      <c r="I22" s="615"/>
      <c r="J22" s="476"/>
      <c r="K22" s="1691">
        <f t="shared" si="0"/>
        <v>28145</v>
      </c>
      <c r="L22" s="466">
        <v>70000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1766</v>
      </c>
      <c r="B33" s="1689" t="s">
        <v>591</v>
      </c>
      <c r="C33" s="1690">
        <f>SUM(C5:C32)</f>
        <v>2872962</v>
      </c>
      <c r="D33" s="1690">
        <f t="shared" ref="D33:L33" si="1">SUM(D5:D32)</f>
        <v>369800</v>
      </c>
      <c r="E33" s="1690">
        <f t="shared" si="1"/>
        <v>122684</v>
      </c>
      <c r="F33" s="1690">
        <f t="shared" si="1"/>
        <v>151188</v>
      </c>
      <c r="G33" s="1690">
        <f t="shared" si="1"/>
        <v>26881</v>
      </c>
      <c r="H33" s="1690">
        <f t="shared" si="1"/>
        <v>69463</v>
      </c>
      <c r="I33" s="1690">
        <f t="shared" si="1"/>
        <v>0</v>
      </c>
      <c r="J33" s="1690">
        <f t="shared" si="1"/>
        <v>0</v>
      </c>
      <c r="K33" s="1690">
        <f t="shared" si="1"/>
        <v>3612978</v>
      </c>
      <c r="L33" s="1690">
        <f t="shared" si="1"/>
        <v>3967474</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54899</v>
      </c>
      <c r="D37" s="466">
        <v>6435</v>
      </c>
      <c r="E37" s="466">
        <v>0</v>
      </c>
      <c r="F37" s="466">
        <v>778</v>
      </c>
      <c r="G37" s="466">
        <v>0</v>
      </c>
      <c r="H37" s="466">
        <v>0</v>
      </c>
      <c r="I37" s="467">
        <v>0</v>
      </c>
      <c r="J37" s="467">
        <v>0</v>
      </c>
      <c r="K37" s="1691">
        <f t="shared" si="2"/>
        <v>62112</v>
      </c>
      <c r="L37" s="466">
        <v>62960</v>
      </c>
    </row>
    <row r="38" spans="1:14" x14ac:dyDescent="0.2">
      <c r="A38" s="1524" t="s">
        <v>207</v>
      </c>
      <c r="B38" s="613">
        <v>2130</v>
      </c>
      <c r="C38" s="466">
        <v>14949</v>
      </c>
      <c r="D38" s="466">
        <v>0</v>
      </c>
      <c r="E38" s="466">
        <v>0</v>
      </c>
      <c r="F38" s="466">
        <v>1400</v>
      </c>
      <c r="G38" s="466">
        <v>0</v>
      </c>
      <c r="H38" s="466">
        <v>50</v>
      </c>
      <c r="I38" s="467">
        <v>0</v>
      </c>
      <c r="J38" s="467">
        <v>0</v>
      </c>
      <c r="K38" s="1691">
        <f t="shared" si="2"/>
        <v>16399</v>
      </c>
      <c r="L38" s="466">
        <v>24000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65258</v>
      </c>
      <c r="D40" s="466">
        <v>7834</v>
      </c>
      <c r="E40" s="466">
        <v>0</v>
      </c>
      <c r="F40" s="466">
        <v>1574</v>
      </c>
      <c r="G40" s="466">
        <v>0</v>
      </c>
      <c r="H40" s="466">
        <v>0</v>
      </c>
      <c r="I40" s="467">
        <v>0</v>
      </c>
      <c r="J40" s="467">
        <v>0</v>
      </c>
      <c r="K40" s="1691">
        <f t="shared" si="2"/>
        <v>74666</v>
      </c>
      <c r="L40" s="466">
        <v>73985</v>
      </c>
    </row>
    <row r="41" spans="1:14" x14ac:dyDescent="0.2">
      <c r="A41" s="1524" t="s">
        <v>1767</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135106</v>
      </c>
      <c r="D42" s="1690">
        <f t="shared" ref="D42:L42" si="3">SUM(D36:D41)</f>
        <v>14269</v>
      </c>
      <c r="E42" s="1690">
        <f t="shared" si="3"/>
        <v>0</v>
      </c>
      <c r="F42" s="1690">
        <f t="shared" si="3"/>
        <v>3752</v>
      </c>
      <c r="G42" s="1690">
        <f t="shared" si="3"/>
        <v>0</v>
      </c>
      <c r="H42" s="1690">
        <f t="shared" si="3"/>
        <v>50</v>
      </c>
      <c r="I42" s="1690">
        <f t="shared" si="3"/>
        <v>0</v>
      </c>
      <c r="J42" s="1690">
        <f t="shared" si="3"/>
        <v>0</v>
      </c>
      <c r="K42" s="1690">
        <f t="shared" si="3"/>
        <v>153177</v>
      </c>
      <c r="L42" s="1690">
        <f t="shared" si="3"/>
        <v>160945</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4000</v>
      </c>
      <c r="D44" s="480">
        <v>506</v>
      </c>
      <c r="E44" s="480">
        <v>12056</v>
      </c>
      <c r="F44" s="480">
        <v>10697</v>
      </c>
      <c r="G44" s="480">
        <v>0</v>
      </c>
      <c r="H44" s="480">
        <v>0</v>
      </c>
      <c r="I44" s="467">
        <v>0</v>
      </c>
      <c r="J44" s="467">
        <v>0</v>
      </c>
      <c r="K44" s="1692">
        <f>SUM(C44:J44)</f>
        <v>27259</v>
      </c>
      <c r="L44" s="480">
        <v>17100</v>
      </c>
    </row>
    <row r="45" spans="1:14" x14ac:dyDescent="0.2">
      <c r="A45" s="1524" t="s">
        <v>869</v>
      </c>
      <c r="B45" s="613">
        <v>2220</v>
      </c>
      <c r="C45" s="467">
        <v>34261</v>
      </c>
      <c r="D45" s="466">
        <v>5707</v>
      </c>
      <c r="E45" s="466">
        <v>6432</v>
      </c>
      <c r="F45" s="466">
        <v>4123</v>
      </c>
      <c r="G45" s="466">
        <v>0</v>
      </c>
      <c r="H45" s="466">
        <v>0</v>
      </c>
      <c r="I45" s="467">
        <v>0</v>
      </c>
      <c r="J45" s="467">
        <v>0</v>
      </c>
      <c r="K45" s="1692">
        <f>SUM(C45:J45)</f>
        <v>50523</v>
      </c>
      <c r="L45" s="466">
        <v>53750</v>
      </c>
    </row>
    <row r="46" spans="1:14" x14ac:dyDescent="0.2">
      <c r="A46" s="1524" t="s">
        <v>870</v>
      </c>
      <c r="B46" s="613">
        <v>2230</v>
      </c>
      <c r="C46" s="467">
        <v>0</v>
      </c>
      <c r="D46" s="466">
        <v>0</v>
      </c>
      <c r="E46" s="466">
        <v>3120</v>
      </c>
      <c r="F46" s="466">
        <v>425</v>
      </c>
      <c r="G46" s="466">
        <v>0</v>
      </c>
      <c r="H46" s="466">
        <v>0</v>
      </c>
      <c r="I46" s="467">
        <v>0</v>
      </c>
      <c r="J46" s="467">
        <v>0</v>
      </c>
      <c r="K46" s="1692">
        <f>SUM(C46:J46)</f>
        <v>3545</v>
      </c>
      <c r="L46" s="466">
        <v>3300</v>
      </c>
    </row>
    <row r="47" spans="1:14" ht="12.75" customHeight="1" thickBot="1" x14ac:dyDescent="0.25">
      <c r="A47" s="1688" t="s">
        <v>582</v>
      </c>
      <c r="B47" s="1689" t="s">
        <v>32</v>
      </c>
      <c r="C47" s="1690">
        <f>SUM(C44:C46)</f>
        <v>38261</v>
      </c>
      <c r="D47" s="1690">
        <f t="shared" ref="D47:K47" si="4">SUM(D44:D46)</f>
        <v>6213</v>
      </c>
      <c r="E47" s="1690">
        <f t="shared" si="4"/>
        <v>21608</v>
      </c>
      <c r="F47" s="1690">
        <f t="shared" si="4"/>
        <v>15245</v>
      </c>
      <c r="G47" s="1690">
        <f t="shared" si="4"/>
        <v>0</v>
      </c>
      <c r="H47" s="1690">
        <f t="shared" si="4"/>
        <v>0</v>
      </c>
      <c r="I47" s="1690">
        <f t="shared" si="4"/>
        <v>0</v>
      </c>
      <c r="J47" s="1690">
        <f t="shared" si="4"/>
        <v>0</v>
      </c>
      <c r="K47" s="1690">
        <f t="shared" si="4"/>
        <v>81327</v>
      </c>
      <c r="L47" s="1690">
        <f>SUM(L44:L46)</f>
        <v>74150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0</v>
      </c>
      <c r="D49" s="480">
        <v>0</v>
      </c>
      <c r="E49" s="480">
        <v>20153</v>
      </c>
      <c r="F49" s="480">
        <v>34</v>
      </c>
      <c r="G49" s="480">
        <v>0</v>
      </c>
      <c r="H49" s="480">
        <v>9875</v>
      </c>
      <c r="I49" s="467">
        <v>0</v>
      </c>
      <c r="J49" s="467">
        <v>0</v>
      </c>
      <c r="K49" s="1692">
        <f>SUM(C49:J49)</f>
        <v>30062</v>
      </c>
      <c r="L49" s="466">
        <v>49200</v>
      </c>
    </row>
    <row r="50" spans="1:14" x14ac:dyDescent="0.2">
      <c r="A50" s="1524" t="s">
        <v>872</v>
      </c>
      <c r="B50" s="613">
        <v>2320</v>
      </c>
      <c r="C50" s="466">
        <v>62043</v>
      </c>
      <c r="D50" s="466">
        <v>1236</v>
      </c>
      <c r="E50" s="466">
        <v>1218</v>
      </c>
      <c r="F50" s="466">
        <v>0</v>
      </c>
      <c r="G50" s="466">
        <v>0</v>
      </c>
      <c r="H50" s="466">
        <v>340</v>
      </c>
      <c r="I50" s="467">
        <v>0</v>
      </c>
      <c r="J50" s="467">
        <v>0</v>
      </c>
      <c r="K50" s="1692">
        <f>SUM(C50:J50)</f>
        <v>64837</v>
      </c>
      <c r="L50" s="466">
        <v>46850</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62043</v>
      </c>
      <c r="D53" s="1690">
        <f t="shared" ref="D53:L53" si="5">SUM(D49:D52)</f>
        <v>1236</v>
      </c>
      <c r="E53" s="1690">
        <f t="shared" si="5"/>
        <v>21371</v>
      </c>
      <c r="F53" s="1690">
        <f t="shared" si="5"/>
        <v>34</v>
      </c>
      <c r="G53" s="1690">
        <f t="shared" si="5"/>
        <v>0</v>
      </c>
      <c r="H53" s="1690">
        <f t="shared" si="5"/>
        <v>10215</v>
      </c>
      <c r="I53" s="1690">
        <f t="shared" si="5"/>
        <v>0</v>
      </c>
      <c r="J53" s="1690">
        <f t="shared" si="5"/>
        <v>0</v>
      </c>
      <c r="K53" s="1690">
        <f t="shared" si="5"/>
        <v>94899</v>
      </c>
      <c r="L53" s="1690">
        <f t="shared" si="5"/>
        <v>96050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220515</v>
      </c>
      <c r="D55" s="480">
        <v>35953</v>
      </c>
      <c r="E55" s="480">
        <v>14934</v>
      </c>
      <c r="F55" s="480">
        <v>178</v>
      </c>
      <c r="G55" s="480">
        <v>0</v>
      </c>
      <c r="H55" s="480">
        <v>2260</v>
      </c>
      <c r="I55" s="467">
        <v>0</v>
      </c>
      <c r="J55" s="467">
        <v>0</v>
      </c>
      <c r="K55" s="1692">
        <f>SUM(C55:J55)</f>
        <v>273840</v>
      </c>
      <c r="L55" s="480">
        <v>293605</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220515</v>
      </c>
      <c r="D57" s="1694">
        <f t="shared" ref="D57:K57" si="6">SUM(D55:D56)</f>
        <v>35953</v>
      </c>
      <c r="E57" s="1694">
        <f t="shared" si="6"/>
        <v>14934</v>
      </c>
      <c r="F57" s="1694">
        <f t="shared" si="6"/>
        <v>178</v>
      </c>
      <c r="G57" s="1694">
        <f t="shared" si="6"/>
        <v>0</v>
      </c>
      <c r="H57" s="1694">
        <f t="shared" si="6"/>
        <v>2260</v>
      </c>
      <c r="I57" s="1694">
        <f t="shared" si="6"/>
        <v>0</v>
      </c>
      <c r="J57" s="1694">
        <f t="shared" si="6"/>
        <v>0</v>
      </c>
      <c r="K57" s="1694">
        <f t="shared" si="6"/>
        <v>273840</v>
      </c>
      <c r="L57" s="1690">
        <f>SUM(L55:L56)</f>
        <v>293605</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44275</v>
      </c>
      <c r="D60" s="466">
        <v>7918</v>
      </c>
      <c r="E60" s="466">
        <v>2847</v>
      </c>
      <c r="F60" s="466">
        <v>3108</v>
      </c>
      <c r="G60" s="466">
        <v>0</v>
      </c>
      <c r="H60" s="466">
        <v>20326</v>
      </c>
      <c r="I60" s="467">
        <v>0</v>
      </c>
      <c r="J60" s="467">
        <v>0</v>
      </c>
      <c r="K60" s="1692">
        <f t="shared" si="7"/>
        <v>78474</v>
      </c>
      <c r="L60" s="466">
        <v>138700</v>
      </c>
      <c r="M60" s="608"/>
      <c r="N60" s="608"/>
    </row>
    <row r="61" spans="1:14" s="343" customFormat="1" x14ac:dyDescent="0.2">
      <c r="A61" s="1524" t="s">
        <v>206</v>
      </c>
      <c r="B61" s="613">
        <v>2540</v>
      </c>
      <c r="C61" s="467">
        <v>0</v>
      </c>
      <c r="D61" s="466">
        <v>0</v>
      </c>
      <c r="E61" s="466">
        <v>17970</v>
      </c>
      <c r="F61" s="466">
        <v>0</v>
      </c>
      <c r="G61" s="466">
        <v>0</v>
      </c>
      <c r="H61" s="466">
        <v>0</v>
      </c>
      <c r="I61" s="467">
        <v>0</v>
      </c>
      <c r="J61" s="467">
        <v>0</v>
      </c>
      <c r="K61" s="1692">
        <f t="shared" si="7"/>
        <v>17970</v>
      </c>
      <c r="L61" s="466">
        <v>23299</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83826</v>
      </c>
      <c r="D63" s="466">
        <v>6229</v>
      </c>
      <c r="E63" s="466">
        <v>3065</v>
      </c>
      <c r="F63" s="466">
        <v>135198</v>
      </c>
      <c r="G63" s="466">
        <v>0</v>
      </c>
      <c r="H63" s="466">
        <v>1636</v>
      </c>
      <c r="I63" s="467">
        <v>0</v>
      </c>
      <c r="J63" s="467">
        <v>0</v>
      </c>
      <c r="K63" s="1692">
        <f t="shared" si="7"/>
        <v>229954</v>
      </c>
      <c r="L63" s="466">
        <v>259605</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128101</v>
      </c>
      <c r="D65" s="1690">
        <f t="shared" ref="D65:L65" si="8">SUM(D59:D64)</f>
        <v>14147</v>
      </c>
      <c r="E65" s="1690">
        <f t="shared" si="8"/>
        <v>23882</v>
      </c>
      <c r="F65" s="1690">
        <f t="shared" si="8"/>
        <v>138306</v>
      </c>
      <c r="G65" s="1690">
        <f t="shared" si="8"/>
        <v>0</v>
      </c>
      <c r="H65" s="1690">
        <f t="shared" si="8"/>
        <v>21962</v>
      </c>
      <c r="I65" s="1690">
        <f t="shared" si="8"/>
        <v>0</v>
      </c>
      <c r="J65" s="1690">
        <f t="shared" si="8"/>
        <v>0</v>
      </c>
      <c r="K65" s="1690">
        <f t="shared" si="8"/>
        <v>326398</v>
      </c>
      <c r="L65" s="1690">
        <f t="shared" si="8"/>
        <v>421604</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584026</v>
      </c>
      <c r="D74" s="1697">
        <f t="shared" ref="D74:K74" si="10">SUM(D42,D47,D53,D57,D65,D72,D73)</f>
        <v>71818</v>
      </c>
      <c r="E74" s="1697">
        <f t="shared" si="10"/>
        <v>81795</v>
      </c>
      <c r="F74" s="1697">
        <f t="shared" si="10"/>
        <v>157515</v>
      </c>
      <c r="G74" s="1697">
        <f t="shared" si="10"/>
        <v>0</v>
      </c>
      <c r="H74" s="1697">
        <f t="shared" si="10"/>
        <v>34487</v>
      </c>
      <c r="I74" s="1697">
        <f t="shared" si="10"/>
        <v>0</v>
      </c>
      <c r="J74" s="1697">
        <f t="shared" si="10"/>
        <v>0</v>
      </c>
      <c r="K74" s="1697">
        <f t="shared" si="10"/>
        <v>929641</v>
      </c>
      <c r="L74" s="1697">
        <f>SUM(L42,L47,L53,L57,L65,L72,L73)</f>
        <v>1046354</v>
      </c>
    </row>
    <row r="75" spans="1:14" s="259" customFormat="1" ht="15.75" customHeight="1" thickTop="1" thickBot="1" x14ac:dyDescent="0.25">
      <c r="A75" s="1630" t="s">
        <v>49</v>
      </c>
      <c r="B75" s="1631" t="s">
        <v>596</v>
      </c>
      <c r="C75" s="571">
        <v>23598</v>
      </c>
      <c r="D75" s="571">
        <v>144</v>
      </c>
      <c r="E75" s="571">
        <v>0</v>
      </c>
      <c r="F75" s="571">
        <v>2628</v>
      </c>
      <c r="G75" s="571">
        <v>0</v>
      </c>
      <c r="H75" s="571">
        <v>665</v>
      </c>
      <c r="I75" s="529">
        <v>0</v>
      </c>
      <c r="J75" s="529">
        <v>0</v>
      </c>
      <c r="K75" s="1690">
        <f>SUM(C75:J75)</f>
        <v>27035</v>
      </c>
      <c r="L75" s="574">
        <v>36250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91</v>
      </c>
      <c r="F78" s="615"/>
      <c r="G78" s="615"/>
      <c r="H78" s="633">
        <v>0</v>
      </c>
      <c r="I78" s="476"/>
      <c r="J78" s="476"/>
      <c r="K78" s="1691">
        <f t="shared" ref="K78:K83" si="11">SUM(C78:J78)</f>
        <v>91</v>
      </c>
      <c r="L78" s="480">
        <v>1000</v>
      </c>
    </row>
    <row r="79" spans="1:14" x14ac:dyDescent="0.2">
      <c r="A79" s="1524" t="s">
        <v>322</v>
      </c>
      <c r="B79" s="613">
        <v>4120</v>
      </c>
      <c r="C79" s="615"/>
      <c r="D79" s="615"/>
      <c r="E79" s="466">
        <v>0</v>
      </c>
      <c r="F79" s="615"/>
      <c r="G79" s="615"/>
      <c r="H79" s="466">
        <v>0</v>
      </c>
      <c r="I79" s="476"/>
      <c r="J79" s="476"/>
      <c r="K79" s="1691">
        <f t="shared" si="11"/>
        <v>0</v>
      </c>
      <c r="L79" s="466">
        <v>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1100</v>
      </c>
      <c r="F83" s="615"/>
      <c r="G83" s="615"/>
      <c r="H83" s="466">
        <v>0</v>
      </c>
      <c r="I83" s="476"/>
      <c r="J83" s="476"/>
      <c r="K83" s="1691">
        <f t="shared" si="11"/>
        <v>1100</v>
      </c>
      <c r="L83" s="466">
        <v>1000</v>
      </c>
    </row>
    <row r="84" spans="1:12" ht="13.5" thickBot="1" x14ac:dyDescent="0.25">
      <c r="A84" s="1688" t="s">
        <v>1564</v>
      </c>
      <c r="B84" s="1698">
        <v>4100</v>
      </c>
      <c r="C84" s="615"/>
      <c r="D84" s="615"/>
      <c r="E84" s="1690">
        <f>SUM(E78:E83)</f>
        <v>1191</v>
      </c>
      <c r="F84" s="615"/>
      <c r="G84" s="615"/>
      <c r="H84" s="1690">
        <f>SUM(H78:H83)</f>
        <v>0</v>
      </c>
      <c r="I84" s="476"/>
      <c r="J84" s="476"/>
      <c r="K84" s="1690">
        <f>SUM(K78:K83)</f>
        <v>1191</v>
      </c>
      <c r="L84" s="1690">
        <f>SUM(L78:L83)</f>
        <v>2000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298064</v>
      </c>
      <c r="I86" s="476"/>
      <c r="J86" s="476"/>
      <c r="K86" s="1697">
        <f t="shared" ref="K86:K98" si="12">H86</f>
        <v>298064</v>
      </c>
      <c r="L86" s="528">
        <v>325000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1640</v>
      </c>
      <c r="B92" s="1698">
        <v>4200</v>
      </c>
      <c r="C92" s="615"/>
      <c r="D92" s="615"/>
      <c r="E92" s="637"/>
      <c r="F92" s="615"/>
      <c r="G92" s="615"/>
      <c r="H92" s="1690">
        <f>SUM(H85:H91)</f>
        <v>298064</v>
      </c>
      <c r="I92" s="476"/>
      <c r="J92" s="476"/>
      <c r="K92" s="1697">
        <f t="shared" si="12"/>
        <v>298064</v>
      </c>
      <c r="L92" s="1690">
        <f>SUM(L85:L91)</f>
        <v>325000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1567</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1565</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1568</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1566</v>
      </c>
      <c r="B102" s="1698">
        <v>4000</v>
      </c>
      <c r="C102" s="615"/>
      <c r="D102" s="615"/>
      <c r="E102" s="1697">
        <f>SUM(E84,E92,E100,E101)</f>
        <v>1191</v>
      </c>
      <c r="F102" s="615"/>
      <c r="G102" s="615"/>
      <c r="H102" s="1697">
        <f>SUM(H84,H92,H100,H101)</f>
        <v>298064</v>
      </c>
      <c r="I102" s="476"/>
      <c r="J102" s="476"/>
      <c r="K102" s="1697">
        <f>SUM(K84,K92,K100,K101)</f>
        <v>299255</v>
      </c>
      <c r="L102" s="1697">
        <f>SUM(L84,L92,L100,L101)</f>
        <v>327000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50000</v>
      </c>
      <c r="M113" s="612"/>
      <c r="N113" s="612"/>
    </row>
    <row r="114" spans="1:14" ht="12.75" customHeight="1" thickTop="1" thickBot="1" x14ac:dyDescent="0.25">
      <c r="A114" s="1688" t="s">
        <v>50</v>
      </c>
      <c r="B114" s="1702"/>
      <c r="C114" s="1690">
        <f>SUM(C33,C74,C75,C102,C112,C113)</f>
        <v>3480586</v>
      </c>
      <c r="D114" s="1690">
        <f t="shared" ref="D114:K114" si="13">SUM(D33,D74,D75,D102,D112,D113)</f>
        <v>441762</v>
      </c>
      <c r="E114" s="1690">
        <f t="shared" si="13"/>
        <v>205670</v>
      </c>
      <c r="F114" s="1690">
        <f t="shared" si="13"/>
        <v>311331</v>
      </c>
      <c r="G114" s="1690">
        <f t="shared" si="13"/>
        <v>26881</v>
      </c>
      <c r="H114" s="1690">
        <f>SUM(H33,H74,H75,H102,H112,H113)</f>
        <v>402679</v>
      </c>
      <c r="I114" s="1690">
        <f t="shared" si="13"/>
        <v>0</v>
      </c>
      <c r="J114" s="1690">
        <f t="shared" si="13"/>
        <v>0</v>
      </c>
      <c r="K114" s="1690">
        <f t="shared" si="13"/>
        <v>4868909</v>
      </c>
      <c r="L114" s="1690">
        <f>SUM(L33,L74,L75,L102,L112,L113)</f>
        <v>5427078</v>
      </c>
    </row>
    <row r="115" spans="1:14" ht="13.5" thickTop="1" x14ac:dyDescent="0.2">
      <c r="A115" s="2200" t="s">
        <v>1053</v>
      </c>
      <c r="B115" s="2201"/>
      <c r="C115" s="617"/>
      <c r="D115" s="617"/>
      <c r="E115" s="617"/>
      <c r="F115" s="617"/>
      <c r="G115" s="617"/>
      <c r="H115" s="617"/>
      <c r="I115" s="617"/>
      <c r="J115" s="617"/>
      <c r="K115" s="1704">
        <f>'Revenues 9-14'!C275-'Expenditures 15-22'!K114</f>
        <v>413549</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8" t="s">
        <v>314</v>
      </c>
      <c r="B117" s="2179"/>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173973</v>
      </c>
      <c r="D124" s="466">
        <v>30192</v>
      </c>
      <c r="E124" s="466">
        <v>126763</v>
      </c>
      <c r="F124" s="466">
        <v>172694</v>
      </c>
      <c r="G124" s="466">
        <v>3032</v>
      </c>
      <c r="H124" s="466">
        <v>91</v>
      </c>
      <c r="I124" s="467">
        <v>0</v>
      </c>
      <c r="J124" s="467">
        <v>0</v>
      </c>
      <c r="K124" s="1690">
        <f>SUM(C124:J124)</f>
        <v>506745</v>
      </c>
      <c r="L124" s="466">
        <v>698100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173973</v>
      </c>
      <c r="D127" s="1690">
        <f t="shared" ref="D127:L127" si="14">SUM(D122:D126)</f>
        <v>30192</v>
      </c>
      <c r="E127" s="1690">
        <f t="shared" si="14"/>
        <v>126763</v>
      </c>
      <c r="F127" s="1690">
        <f t="shared" si="14"/>
        <v>172694</v>
      </c>
      <c r="G127" s="1690">
        <f t="shared" si="14"/>
        <v>3032</v>
      </c>
      <c r="H127" s="1690">
        <f t="shared" si="14"/>
        <v>91</v>
      </c>
      <c r="I127" s="1690">
        <f t="shared" si="14"/>
        <v>0</v>
      </c>
      <c r="J127" s="1690">
        <f t="shared" si="14"/>
        <v>0</v>
      </c>
      <c r="K127" s="1690">
        <f t="shared" si="14"/>
        <v>506745</v>
      </c>
      <c r="L127" s="1690">
        <f t="shared" si="14"/>
        <v>698100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173973</v>
      </c>
      <c r="D129" s="1697">
        <f t="shared" ref="D129:L129" si="15">SUM(D120,D127,D128)</f>
        <v>30192</v>
      </c>
      <c r="E129" s="1697">
        <f t="shared" si="15"/>
        <v>126763</v>
      </c>
      <c r="F129" s="1697">
        <f t="shared" si="15"/>
        <v>172694</v>
      </c>
      <c r="G129" s="1697">
        <f t="shared" si="15"/>
        <v>3032</v>
      </c>
      <c r="H129" s="1697">
        <f t="shared" si="15"/>
        <v>91</v>
      </c>
      <c r="I129" s="1697">
        <f t="shared" si="15"/>
        <v>0</v>
      </c>
      <c r="J129" s="1697">
        <f t="shared" si="15"/>
        <v>0</v>
      </c>
      <c r="K129" s="1697">
        <f t="shared" si="15"/>
        <v>506745</v>
      </c>
      <c r="L129" s="1697">
        <f t="shared" si="15"/>
        <v>698100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1956</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1117</v>
      </c>
      <c r="F136" s="615"/>
      <c r="G136" s="615"/>
      <c r="H136" s="466">
        <v>0</v>
      </c>
      <c r="I136" s="476"/>
      <c r="J136" s="615"/>
      <c r="K136" s="1692">
        <f>SUM(E136,H136)</f>
        <v>1117</v>
      </c>
      <c r="L136" s="466">
        <v>1400</v>
      </c>
    </row>
    <row r="137" spans="1:14" ht="12.75" customHeight="1" thickBot="1" x14ac:dyDescent="0.25">
      <c r="A137" s="1688" t="s">
        <v>501</v>
      </c>
      <c r="B137" s="1698">
        <v>4100</v>
      </c>
      <c r="C137" s="615"/>
      <c r="D137" s="615"/>
      <c r="E137" s="1690">
        <f>SUM(E133:E136)</f>
        <v>1117</v>
      </c>
      <c r="F137" s="615"/>
      <c r="G137" s="615"/>
      <c r="H137" s="1690">
        <f>SUM(H133:H136)</f>
        <v>0</v>
      </c>
      <c r="I137" s="476"/>
      <c r="J137" s="615"/>
      <c r="K137" s="1690">
        <f>SUM(K133:K136)</f>
        <v>1117</v>
      </c>
      <c r="L137" s="1690">
        <f>SUM(L133:L136)</f>
        <v>1400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1566</v>
      </c>
      <c r="B139" s="1698">
        <v>4000</v>
      </c>
      <c r="C139" s="615"/>
      <c r="D139" s="615"/>
      <c r="E139" s="1690">
        <f>SUM(E137,E138)</f>
        <v>1117</v>
      </c>
      <c r="F139" s="615"/>
      <c r="G139" s="615"/>
      <c r="H139" s="1699">
        <f>SUM(H137:H138)</f>
        <v>0</v>
      </c>
      <c r="I139" s="476"/>
      <c r="J139" s="615"/>
      <c r="K139" s="1692">
        <f>SUM(K137,K138)</f>
        <v>1117</v>
      </c>
      <c r="L139" s="1699">
        <f>SUM(L137,L138)</f>
        <v>1400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20000</v>
      </c>
    </row>
    <row r="151" spans="1:14" ht="12.75" customHeight="1" thickTop="1" thickBot="1" x14ac:dyDescent="0.25">
      <c r="A151" s="2190" t="s">
        <v>641</v>
      </c>
      <c r="B151" s="2172"/>
      <c r="C151" s="1690">
        <f>SUM(C129,C130,C139,C149,C150)</f>
        <v>173973</v>
      </c>
      <c r="D151" s="1690">
        <f t="shared" ref="D151:K151" si="16">SUM(D129,D130,D139,D149,D150)</f>
        <v>30192</v>
      </c>
      <c r="E151" s="1690">
        <f t="shared" si="16"/>
        <v>127880</v>
      </c>
      <c r="F151" s="1690">
        <f t="shared" si="16"/>
        <v>172694</v>
      </c>
      <c r="G151" s="1690">
        <f t="shared" si="16"/>
        <v>3032</v>
      </c>
      <c r="H151" s="1690">
        <f t="shared" si="16"/>
        <v>91</v>
      </c>
      <c r="I151" s="1690">
        <f t="shared" si="16"/>
        <v>0</v>
      </c>
      <c r="J151" s="1690">
        <f t="shared" si="16"/>
        <v>0</v>
      </c>
      <c r="K151" s="1690">
        <f t="shared" si="16"/>
        <v>507862</v>
      </c>
      <c r="L151" s="1690">
        <f>SUM(L129,L130,L139,L149,L150)</f>
        <v>719500</v>
      </c>
    </row>
    <row r="152" spans="1:14" ht="12.75" customHeight="1" thickTop="1" x14ac:dyDescent="0.2">
      <c r="A152" s="2193" t="s">
        <v>1240</v>
      </c>
      <c r="B152" s="2194"/>
      <c r="C152" s="617"/>
      <c r="D152" s="617"/>
      <c r="E152" s="617"/>
      <c r="F152" s="617"/>
      <c r="G152" s="617"/>
      <c r="H152" s="617"/>
      <c r="I152" s="617"/>
      <c r="J152" s="615"/>
      <c r="K152" s="1704">
        <f>'Revenues 9-14'!D275-'Expenditures 15-22'!K151</f>
        <v>82354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8" t="s">
        <v>642</v>
      </c>
      <c r="B154" s="2180"/>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1957</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1956</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1958</v>
      </c>
      <c r="C158" s="615"/>
      <c r="D158" s="615"/>
      <c r="E158" s="615"/>
      <c r="F158" s="615"/>
      <c r="G158" s="615"/>
      <c r="H158" s="467">
        <v>0</v>
      </c>
      <c r="I158" s="615"/>
      <c r="J158" s="615"/>
      <c r="K158" s="1691">
        <f>H158</f>
        <v>0</v>
      </c>
      <c r="L158" s="467">
        <v>0</v>
      </c>
      <c r="M158" s="618"/>
      <c r="N158" s="618"/>
    </row>
    <row r="159" spans="1:14" s="619" customFormat="1" ht="12" x14ac:dyDescent="0.2">
      <c r="A159" s="1847" t="s">
        <v>1959</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1960</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763240</v>
      </c>
      <c r="I169" s="615"/>
      <c r="J169" s="615"/>
      <c r="K169" s="1691">
        <f>SUM(C169:H169)</f>
        <v>763240</v>
      </c>
      <c r="L169" s="655">
        <v>763240</v>
      </c>
    </row>
    <row r="170" spans="1:14" ht="33.75" customHeight="1" x14ac:dyDescent="0.2">
      <c r="A170" s="668" t="s">
        <v>1768</v>
      </c>
      <c r="B170" s="670" t="s">
        <v>31</v>
      </c>
      <c r="C170" s="615"/>
      <c r="D170" s="615"/>
      <c r="E170" s="615"/>
      <c r="F170" s="615"/>
      <c r="G170" s="615"/>
      <c r="H170" s="567">
        <v>317933</v>
      </c>
      <c r="I170" s="615"/>
      <c r="J170" s="615"/>
      <c r="K170" s="1691">
        <f>SUM(C170:J170)</f>
        <v>317933</v>
      </c>
      <c r="L170" s="567">
        <v>317933</v>
      </c>
    </row>
    <row r="171" spans="1:14" ht="15.7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1081173</v>
      </c>
      <c r="I172" s="637"/>
      <c r="J172" s="615"/>
      <c r="K172" s="1697">
        <f>SUM(K168,K169,K170,K171)</f>
        <v>1081173</v>
      </c>
      <c r="L172" s="1697">
        <f>SUM(L168,L169,L170,L171)</f>
        <v>1081173</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1081173</v>
      </c>
      <c r="I174" s="637"/>
      <c r="J174" s="615"/>
      <c r="K174" s="1697">
        <f>SUM(K160,K172,K173)</f>
        <v>1081173</v>
      </c>
      <c r="L174" s="1697">
        <f>SUM(L160,L172,L173)</f>
        <v>1081173</v>
      </c>
    </row>
    <row r="175" spans="1:14" ht="13.5" thickTop="1" x14ac:dyDescent="0.2">
      <c r="A175" s="2200" t="s">
        <v>1053</v>
      </c>
      <c r="B175" s="2201"/>
      <c r="C175" s="615"/>
      <c r="D175" s="615"/>
      <c r="E175" s="615"/>
      <c r="F175" s="615"/>
      <c r="G175" s="615"/>
      <c r="H175" s="617"/>
      <c r="I175" s="615"/>
      <c r="J175" s="615"/>
      <c r="K175" s="1704">
        <f>'Revenues 9-14'!E275-'Expenditures 15-22'!K174</f>
        <v>36207</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417574</v>
      </c>
      <c r="F182" s="467">
        <v>44692</v>
      </c>
      <c r="G182" s="467">
        <v>0</v>
      </c>
      <c r="H182" s="466">
        <v>0</v>
      </c>
      <c r="I182" s="467">
        <v>0</v>
      </c>
      <c r="J182" s="467">
        <v>0</v>
      </c>
      <c r="K182" s="1691">
        <f>SUM(C182:J182)</f>
        <v>462266</v>
      </c>
      <c r="L182" s="466">
        <v>512805</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417574</v>
      </c>
      <c r="F184" s="1697">
        <f t="shared" si="17"/>
        <v>44692</v>
      </c>
      <c r="G184" s="1697">
        <f t="shared" si="17"/>
        <v>0</v>
      </c>
      <c r="H184" s="1697">
        <f t="shared" si="17"/>
        <v>0</v>
      </c>
      <c r="I184" s="1697">
        <f t="shared" si="17"/>
        <v>0</v>
      </c>
      <c r="J184" s="1697">
        <f t="shared" si="17"/>
        <v>0</v>
      </c>
      <c r="K184" s="1697">
        <f>SUM(K180,K182,K183)</f>
        <v>462266</v>
      </c>
      <c r="L184" s="1697">
        <f>SUM(L180, L182:L183)</f>
        <v>512805</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1566</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1769</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15000</v>
      </c>
    </row>
    <row r="210" spans="1:14" ht="12.75" customHeight="1" thickTop="1" thickBot="1" x14ac:dyDescent="0.25">
      <c r="A210" s="1712" t="s">
        <v>295</v>
      </c>
      <c r="B210" s="1713"/>
      <c r="C210" s="1690">
        <f>SUM(C184,C185)</f>
        <v>0</v>
      </c>
      <c r="D210" s="1690">
        <f>SUM(D184,D185)</f>
        <v>0</v>
      </c>
      <c r="E210" s="1690">
        <f>SUM(E184,E185,E196)</f>
        <v>417574</v>
      </c>
      <c r="F210" s="1690">
        <f>SUM(F184,F185)</f>
        <v>44692</v>
      </c>
      <c r="G210" s="1690">
        <f>SUM(G184,G185)</f>
        <v>0</v>
      </c>
      <c r="H210" s="1690">
        <f>SUM(H184,H185,H196,H208,H209)</f>
        <v>0</v>
      </c>
      <c r="I210" s="1690">
        <f>SUM(I184,I185)</f>
        <v>0</v>
      </c>
      <c r="J210" s="1690">
        <f>SUM(J184,J185)</f>
        <v>0</v>
      </c>
      <c r="K210" s="1691">
        <f>SUM(K184,K185,K196,K208,K209)</f>
        <v>462266</v>
      </c>
      <c r="L210" s="1690">
        <f>SUM(L184,L185,L196,L208,L209)</f>
        <v>527805</v>
      </c>
    </row>
    <row r="211" spans="1:14" ht="13.5" thickTop="1" x14ac:dyDescent="0.2">
      <c r="A211" s="2200" t="s">
        <v>1053</v>
      </c>
      <c r="B211" s="2201"/>
      <c r="C211" s="617"/>
      <c r="D211" s="617"/>
      <c r="E211" s="617"/>
      <c r="F211" s="617"/>
      <c r="G211" s="617"/>
      <c r="H211" s="617"/>
      <c r="I211" s="615"/>
      <c r="J211" s="615"/>
      <c r="K211" s="1704">
        <f>'Revenues 9-14'!F275-'Expenditures 15-22'!K210</f>
        <v>65326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5" t="s">
        <v>1022</v>
      </c>
      <c r="B213" s="2196"/>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49719</v>
      </c>
      <c r="E215" s="615"/>
      <c r="F215" s="615"/>
      <c r="G215" s="615"/>
      <c r="H215" s="615"/>
      <c r="I215" s="615"/>
      <c r="J215" s="615"/>
      <c r="K215" s="1691">
        <f>D215</f>
        <v>49719</v>
      </c>
      <c r="L215" s="466">
        <v>59700</v>
      </c>
    </row>
    <row r="216" spans="1:14" x14ac:dyDescent="0.2">
      <c r="A216" s="1524" t="s">
        <v>165</v>
      </c>
      <c r="B216" s="613" t="s">
        <v>1024</v>
      </c>
      <c r="C216" s="615"/>
      <c r="D216" s="467">
        <v>4474</v>
      </c>
      <c r="E216" s="615"/>
      <c r="F216" s="615"/>
      <c r="G216" s="615"/>
      <c r="H216" s="615"/>
      <c r="I216" s="615"/>
      <c r="J216" s="615"/>
      <c r="K216" s="1691">
        <f t="shared" ref="K216:K228" si="19">D216</f>
        <v>4474</v>
      </c>
      <c r="L216" s="466">
        <v>4800</v>
      </c>
    </row>
    <row r="217" spans="1:14" x14ac:dyDescent="0.2">
      <c r="A217" s="1524" t="s">
        <v>166</v>
      </c>
      <c r="B217" s="613">
        <v>1200</v>
      </c>
      <c r="C217" s="615"/>
      <c r="D217" s="466">
        <v>21386</v>
      </c>
      <c r="E217" s="615"/>
      <c r="F217" s="615"/>
      <c r="G217" s="615"/>
      <c r="H217" s="615"/>
      <c r="I217" s="615"/>
      <c r="J217" s="615"/>
      <c r="K217" s="1691">
        <f t="shared" si="19"/>
        <v>21386</v>
      </c>
      <c r="L217" s="466">
        <v>17600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5</v>
      </c>
      <c r="E219" s="615"/>
      <c r="F219" s="615"/>
      <c r="G219" s="615"/>
      <c r="H219" s="615"/>
      <c r="I219" s="615"/>
      <c r="J219" s="615"/>
      <c r="K219" s="1691">
        <f t="shared" si="19"/>
        <v>5</v>
      </c>
      <c r="L219" s="466">
        <v>500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2740</v>
      </c>
      <c r="E222" s="615"/>
      <c r="F222" s="615"/>
      <c r="G222" s="615"/>
      <c r="H222" s="615"/>
      <c r="I222" s="615"/>
      <c r="J222" s="615"/>
      <c r="K222" s="1691">
        <f t="shared" si="19"/>
        <v>2740</v>
      </c>
      <c r="L222" s="466">
        <v>3000</v>
      </c>
    </row>
    <row r="223" spans="1:14" x14ac:dyDescent="0.2">
      <c r="A223" s="1524" t="s">
        <v>1020</v>
      </c>
      <c r="B223" s="613">
        <v>1500</v>
      </c>
      <c r="C223" s="615"/>
      <c r="D223" s="466">
        <v>5693</v>
      </c>
      <c r="E223" s="615"/>
      <c r="F223" s="615"/>
      <c r="G223" s="615"/>
      <c r="H223" s="615"/>
      <c r="I223" s="615"/>
      <c r="J223" s="615"/>
      <c r="K223" s="1691">
        <f t="shared" si="19"/>
        <v>5693</v>
      </c>
      <c r="L223" s="466">
        <v>5800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281</v>
      </c>
      <c r="E226" s="615"/>
      <c r="F226" s="615"/>
      <c r="G226" s="615"/>
      <c r="H226" s="615"/>
      <c r="I226" s="615"/>
      <c r="J226" s="615"/>
      <c r="K226" s="1691">
        <f t="shared" si="19"/>
        <v>281</v>
      </c>
      <c r="L226" s="466">
        <v>300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84298</v>
      </c>
      <c r="E229" s="615"/>
      <c r="F229" s="615"/>
      <c r="G229" s="615"/>
      <c r="H229" s="615"/>
      <c r="I229" s="615"/>
      <c r="J229" s="615"/>
      <c r="K229" s="1690">
        <f>SUM(K215:K228)</f>
        <v>84298</v>
      </c>
      <c r="L229" s="1690">
        <f>SUM(L215:L228)</f>
        <v>91700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788</v>
      </c>
      <c r="E233" s="615"/>
      <c r="F233" s="615"/>
      <c r="G233" s="615"/>
      <c r="H233" s="615"/>
      <c r="I233" s="615"/>
      <c r="J233" s="615"/>
      <c r="K233" s="1691">
        <f t="shared" si="20"/>
        <v>788</v>
      </c>
      <c r="L233" s="466">
        <v>825</v>
      </c>
    </row>
    <row r="234" spans="1:12" x14ac:dyDescent="0.2">
      <c r="A234" s="1524" t="s">
        <v>207</v>
      </c>
      <c r="B234" s="613">
        <v>2130</v>
      </c>
      <c r="C234" s="615"/>
      <c r="D234" s="466">
        <v>4461</v>
      </c>
      <c r="E234" s="615"/>
      <c r="F234" s="615"/>
      <c r="G234" s="615"/>
      <c r="H234" s="615"/>
      <c r="I234" s="615"/>
      <c r="J234" s="615"/>
      <c r="K234" s="1691">
        <f t="shared" si="20"/>
        <v>4461</v>
      </c>
      <c r="L234" s="466">
        <v>4600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932</v>
      </c>
      <c r="E236" s="615"/>
      <c r="F236" s="615"/>
      <c r="G236" s="615"/>
      <c r="H236" s="615"/>
      <c r="I236" s="615"/>
      <c r="J236" s="615"/>
      <c r="K236" s="1691">
        <f t="shared" si="20"/>
        <v>932</v>
      </c>
      <c r="L236" s="466">
        <v>1000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6181</v>
      </c>
      <c r="E238" s="615"/>
      <c r="F238" s="615"/>
      <c r="G238" s="615"/>
      <c r="H238" s="615"/>
      <c r="I238" s="615"/>
      <c r="J238" s="615"/>
      <c r="K238" s="1690">
        <f>SUM(K232:K237)</f>
        <v>6181</v>
      </c>
      <c r="L238" s="1690">
        <f>SUM(L232:L237)</f>
        <v>6425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58</v>
      </c>
      <c r="E240" s="615"/>
      <c r="F240" s="615"/>
      <c r="G240" s="615"/>
      <c r="H240" s="615"/>
      <c r="I240" s="615"/>
      <c r="J240" s="615"/>
      <c r="K240" s="1692">
        <f>D240</f>
        <v>58</v>
      </c>
      <c r="L240" s="480">
        <v>50</v>
      </c>
    </row>
    <row r="241" spans="1:12" x14ac:dyDescent="0.2">
      <c r="A241" s="1524" t="s">
        <v>869</v>
      </c>
      <c r="B241" s="613">
        <v>2220</v>
      </c>
      <c r="C241" s="615"/>
      <c r="D241" s="466">
        <v>1673</v>
      </c>
      <c r="E241" s="615"/>
      <c r="F241" s="615"/>
      <c r="G241" s="615"/>
      <c r="H241" s="615"/>
      <c r="I241" s="615"/>
      <c r="J241" s="615"/>
      <c r="K241" s="1692">
        <f>D241</f>
        <v>1673</v>
      </c>
      <c r="L241" s="466">
        <v>2100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1731</v>
      </c>
      <c r="E243" s="615"/>
      <c r="F243" s="615"/>
      <c r="G243" s="615"/>
      <c r="H243" s="615"/>
      <c r="I243" s="615"/>
      <c r="J243" s="615"/>
      <c r="K243" s="1690">
        <f>SUM(K240:K242)</f>
        <v>1731</v>
      </c>
      <c r="L243" s="1690">
        <f>SUM(L240:L242)</f>
        <v>2150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0</v>
      </c>
      <c r="E245" s="615"/>
      <c r="F245" s="615"/>
      <c r="G245" s="615"/>
      <c r="H245" s="615"/>
      <c r="I245" s="615"/>
      <c r="J245" s="615"/>
      <c r="K245" s="1692">
        <f>D245</f>
        <v>0</v>
      </c>
      <c r="L245" s="480">
        <v>0</v>
      </c>
    </row>
    <row r="246" spans="1:12" x14ac:dyDescent="0.2">
      <c r="A246" s="1524" t="s">
        <v>872</v>
      </c>
      <c r="B246" s="613">
        <v>2320</v>
      </c>
      <c r="C246" s="615"/>
      <c r="D246" s="466">
        <v>4147</v>
      </c>
      <c r="E246" s="615"/>
      <c r="F246" s="615"/>
      <c r="G246" s="615"/>
      <c r="H246" s="615"/>
      <c r="I246" s="615"/>
      <c r="J246" s="615"/>
      <c r="K246" s="1692">
        <f t="shared" ref="K246:K256" si="21">D246</f>
        <v>4147</v>
      </c>
      <c r="L246" s="466">
        <v>900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1907</v>
      </c>
      <c r="B249" s="682" t="s">
        <v>300</v>
      </c>
      <c r="C249" s="615"/>
      <c r="D249" s="474">
        <v>0</v>
      </c>
      <c r="E249" s="615"/>
      <c r="F249" s="615"/>
      <c r="G249" s="615"/>
      <c r="H249" s="615"/>
      <c r="I249" s="615"/>
      <c r="J249" s="615"/>
      <c r="K249" s="1692">
        <f t="shared" si="21"/>
        <v>0</v>
      </c>
      <c r="L249" s="466">
        <v>0</v>
      </c>
    </row>
    <row r="250" spans="1:12" x14ac:dyDescent="0.2">
      <c r="A250" s="1525" t="s">
        <v>1908</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4147</v>
      </c>
      <c r="E257" s="615"/>
      <c r="F257" s="615"/>
      <c r="G257" s="615"/>
      <c r="H257" s="615"/>
      <c r="I257" s="615"/>
      <c r="J257" s="615"/>
      <c r="K257" s="1690">
        <f>SUM(K245:K256)</f>
        <v>4147</v>
      </c>
      <c r="L257" s="1690">
        <f>SUM(L245:L256)</f>
        <v>900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13860</v>
      </c>
      <c r="E259" s="615"/>
      <c r="F259" s="615"/>
      <c r="G259" s="615"/>
      <c r="H259" s="615"/>
      <c r="I259" s="615"/>
      <c r="J259" s="615"/>
      <c r="K259" s="1692">
        <f>D259</f>
        <v>13860</v>
      </c>
      <c r="L259" s="480">
        <v>14000</v>
      </c>
    </row>
    <row r="260" spans="1:14" s="596" customFormat="1" x14ac:dyDescent="0.2">
      <c r="A260" s="1542" t="s">
        <v>1906</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13860</v>
      </c>
      <c r="E261" s="615"/>
      <c r="F261" s="615"/>
      <c r="G261" s="615"/>
      <c r="H261" s="615"/>
      <c r="I261" s="615"/>
      <c r="J261" s="615"/>
      <c r="K261" s="1690">
        <f>SUM(K259:K260)</f>
        <v>13860</v>
      </c>
      <c r="L261" s="1690">
        <f>SUM(L259:L260)</f>
        <v>14000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9805</v>
      </c>
      <c r="E264" s="615"/>
      <c r="F264" s="615"/>
      <c r="G264" s="615"/>
      <c r="H264" s="615"/>
      <c r="I264" s="615"/>
      <c r="J264" s="615"/>
      <c r="K264" s="1692">
        <f t="shared" ref="K264:K269" si="22">D264</f>
        <v>9805</v>
      </c>
      <c r="L264" s="466">
        <v>22500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41160</v>
      </c>
      <c r="E266" s="615"/>
      <c r="F266" s="615"/>
      <c r="G266" s="615"/>
      <c r="H266" s="615"/>
      <c r="I266" s="615"/>
      <c r="J266" s="615"/>
      <c r="K266" s="1692">
        <f t="shared" si="22"/>
        <v>41160</v>
      </c>
      <c r="L266" s="466">
        <v>40000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17593</v>
      </c>
      <c r="E268" s="615"/>
      <c r="F268" s="615"/>
      <c r="G268" s="615"/>
      <c r="H268" s="615"/>
      <c r="I268" s="615"/>
      <c r="J268" s="615"/>
      <c r="K268" s="1692">
        <f t="shared" si="22"/>
        <v>17593</v>
      </c>
      <c r="L268" s="466">
        <v>20000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68558</v>
      </c>
      <c r="E270" s="615"/>
      <c r="F270" s="615"/>
      <c r="G270" s="615"/>
      <c r="H270" s="615"/>
      <c r="I270" s="615"/>
      <c r="J270" s="615"/>
      <c r="K270" s="1690">
        <f>SUM(K263:K269)</f>
        <v>68558</v>
      </c>
      <c r="L270" s="1690">
        <f>SUM(L263:L269)</f>
        <v>82500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94477</v>
      </c>
      <c r="E279" s="615"/>
      <c r="F279" s="615"/>
      <c r="G279" s="615"/>
      <c r="H279" s="615"/>
      <c r="I279" s="615"/>
      <c r="J279" s="615"/>
      <c r="K279" s="1697">
        <f>SUM(K238,K243,K257,K261,K270,K277,K278)</f>
        <v>94477</v>
      </c>
      <c r="L279" s="1697">
        <f>SUM(L238,L243,L257,L261,L270,L277,L278)</f>
        <v>105975</v>
      </c>
    </row>
    <row r="280" spans="1:12" ht="15.75" customHeight="1" thickTop="1" thickBot="1" x14ac:dyDescent="0.25">
      <c r="A280" s="1644" t="s">
        <v>930</v>
      </c>
      <c r="B280" s="1633">
        <v>3000</v>
      </c>
      <c r="C280" s="615"/>
      <c r="D280" s="574">
        <v>3859</v>
      </c>
      <c r="E280" s="615"/>
      <c r="F280" s="615"/>
      <c r="G280" s="615"/>
      <c r="H280" s="615"/>
      <c r="I280" s="615"/>
      <c r="J280" s="615"/>
      <c r="K280" s="1699">
        <f>D280</f>
        <v>3859</v>
      </c>
      <c r="L280" s="574">
        <v>5550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1956</v>
      </c>
      <c r="C282" s="615"/>
      <c r="D282" s="467">
        <v>0</v>
      </c>
      <c r="E282" s="615"/>
      <c r="F282" s="615"/>
      <c r="G282" s="615"/>
      <c r="H282" s="615"/>
      <c r="I282" s="615"/>
      <c r="J282" s="615"/>
      <c r="K282" s="1691">
        <f>D282</f>
        <v>0</v>
      </c>
      <c r="L282" s="467">
        <v>0</v>
      </c>
    </row>
    <row r="283" spans="1:12" x14ac:dyDescent="0.2">
      <c r="A283" s="1524" t="s">
        <v>322</v>
      </c>
      <c r="B283" s="613">
        <v>4120</v>
      </c>
      <c r="C283" s="615"/>
      <c r="D283" s="466">
        <v>4150</v>
      </c>
      <c r="E283" s="615"/>
      <c r="F283" s="615"/>
      <c r="G283" s="615"/>
      <c r="H283" s="615"/>
      <c r="I283" s="615"/>
      <c r="J283" s="615"/>
      <c r="K283" s="1691">
        <f>D283</f>
        <v>4150</v>
      </c>
      <c r="L283" s="466">
        <v>8000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1566</v>
      </c>
      <c r="B285" s="1689" t="s">
        <v>915</v>
      </c>
      <c r="C285" s="615"/>
      <c r="D285" s="1690">
        <f>SUM(D282:D284)</f>
        <v>4150</v>
      </c>
      <c r="E285" s="615"/>
      <c r="F285" s="615"/>
      <c r="G285" s="615"/>
      <c r="H285" s="615"/>
      <c r="I285" s="615"/>
      <c r="J285" s="615"/>
      <c r="K285" s="1690">
        <f>SUM(K282:K284)</f>
        <v>4150</v>
      </c>
      <c r="L285" s="1690">
        <f>SUM(L282:L284)</f>
        <v>8000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20000</v>
      </c>
    </row>
    <row r="295" spans="1:14" ht="12.75" customHeight="1" thickTop="1" thickBot="1" x14ac:dyDescent="0.25">
      <c r="A295" s="2191" t="s">
        <v>526</v>
      </c>
      <c r="B295" s="2192"/>
      <c r="C295" s="615"/>
      <c r="D295" s="1690">
        <f>SUM(D229,D279,D280,D285)</f>
        <v>186784</v>
      </c>
      <c r="E295" s="615"/>
      <c r="F295" s="615"/>
      <c r="G295" s="615"/>
      <c r="H295" s="1690">
        <f>H293</f>
        <v>0</v>
      </c>
      <c r="I295" s="615"/>
      <c r="J295" s="615"/>
      <c r="K295" s="1690">
        <f>SUM(K229,K279,K280,K285,K293,K294)</f>
        <v>186784</v>
      </c>
      <c r="L295" s="1690">
        <f>SUM(L229,L279,L280,L285,L293,L294)</f>
        <v>231225</v>
      </c>
    </row>
    <row r="296" spans="1:14" ht="13.5" thickTop="1" x14ac:dyDescent="0.2">
      <c r="A296" s="2200" t="s">
        <v>1053</v>
      </c>
      <c r="B296" s="2201"/>
      <c r="C296" s="615"/>
      <c r="D296" s="617"/>
      <c r="E296" s="615"/>
      <c r="F296" s="615"/>
      <c r="G296" s="615"/>
      <c r="H296" s="686"/>
      <c r="I296" s="615"/>
      <c r="J296" s="615"/>
      <c r="K296" s="1704">
        <f>'Revenues 9-14'!G275-'Expenditures 15-22'!K295</f>
        <v>-61018</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3" t="s">
        <v>145</v>
      </c>
      <c r="B298" s="2177"/>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1961</v>
      </c>
      <c r="B306" s="689" t="s">
        <v>1956</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1566</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8" t="s">
        <v>295</v>
      </c>
      <c r="B312" s="2189"/>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84" t="s">
        <v>1053</v>
      </c>
      <c r="B313" s="2185"/>
      <c r="C313" s="625"/>
      <c r="D313" s="625"/>
      <c r="E313" s="625"/>
      <c r="F313" s="625"/>
      <c r="G313" s="625"/>
      <c r="H313" s="625"/>
      <c r="I313" s="625"/>
      <c r="J313" s="625"/>
      <c r="K313" s="1705">
        <f>'Revenues 9-14'!H275-'Expenditures 15-22'!K312</f>
        <v>158735</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7" t="s">
        <v>151</v>
      </c>
      <c r="B315" s="2198"/>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9" t="s">
        <v>954</v>
      </c>
      <c r="B317" s="2198"/>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1907</v>
      </c>
      <c r="B320" s="697" t="s">
        <v>300</v>
      </c>
      <c r="C320" s="467">
        <v>0</v>
      </c>
      <c r="D320" s="467">
        <v>0</v>
      </c>
      <c r="E320" s="467">
        <v>24050</v>
      </c>
      <c r="F320" s="467">
        <v>0</v>
      </c>
      <c r="G320" s="467">
        <v>0</v>
      </c>
      <c r="H320" s="467">
        <v>0</v>
      </c>
      <c r="I320" s="467">
        <v>0</v>
      </c>
      <c r="J320" s="467">
        <v>0</v>
      </c>
      <c r="K320" s="1691">
        <f t="shared" ref="K320:K327" si="24">SUM(C320:J320)</f>
        <v>24050</v>
      </c>
      <c r="L320" s="467">
        <v>40000</v>
      </c>
      <c r="M320" s="664"/>
      <c r="N320" s="664"/>
    </row>
    <row r="321" spans="1:14" s="673" customFormat="1" x14ac:dyDescent="0.2">
      <c r="A321" s="1539" t="s">
        <v>318</v>
      </c>
      <c r="B321" s="696" t="s">
        <v>301</v>
      </c>
      <c r="C321" s="467">
        <v>0</v>
      </c>
      <c r="D321" s="467">
        <v>0</v>
      </c>
      <c r="E321" s="467">
        <v>12443</v>
      </c>
      <c r="F321" s="467">
        <v>0</v>
      </c>
      <c r="G321" s="467">
        <v>0</v>
      </c>
      <c r="H321" s="467">
        <v>0</v>
      </c>
      <c r="I321" s="467">
        <v>0</v>
      </c>
      <c r="J321" s="467">
        <v>0</v>
      </c>
      <c r="K321" s="1691">
        <f t="shared" si="24"/>
        <v>12443</v>
      </c>
      <c r="L321" s="467">
        <v>25000</v>
      </c>
      <c r="M321" s="664"/>
      <c r="N321" s="664"/>
    </row>
    <row r="322" spans="1:14" s="673" customFormat="1" x14ac:dyDescent="0.2">
      <c r="A322" s="1539" t="s">
        <v>256</v>
      </c>
      <c r="B322" s="696" t="s">
        <v>302</v>
      </c>
      <c r="C322" s="467">
        <v>0</v>
      </c>
      <c r="D322" s="467">
        <v>0</v>
      </c>
      <c r="E322" s="467">
        <v>43119</v>
      </c>
      <c r="F322" s="467">
        <v>0</v>
      </c>
      <c r="G322" s="467">
        <v>0</v>
      </c>
      <c r="H322" s="467">
        <v>0</v>
      </c>
      <c r="I322" s="467">
        <v>0</v>
      </c>
      <c r="J322" s="467">
        <v>0</v>
      </c>
      <c r="K322" s="1691">
        <f t="shared" si="24"/>
        <v>43119</v>
      </c>
      <c r="L322" s="467">
        <v>55000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160000</v>
      </c>
      <c r="D325" s="467">
        <v>0</v>
      </c>
      <c r="E325" s="467">
        <v>3806</v>
      </c>
      <c r="F325" s="467">
        <v>0</v>
      </c>
      <c r="G325" s="467">
        <v>0</v>
      </c>
      <c r="H325" s="467">
        <v>0</v>
      </c>
      <c r="I325" s="467">
        <v>0</v>
      </c>
      <c r="J325" s="467">
        <v>0</v>
      </c>
      <c r="K325" s="1691">
        <f t="shared" si="24"/>
        <v>163806</v>
      </c>
      <c r="L325" s="467">
        <v>179500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7468</v>
      </c>
      <c r="F327" s="467">
        <v>0</v>
      </c>
      <c r="G327" s="467">
        <v>0</v>
      </c>
      <c r="H327" s="467">
        <v>0</v>
      </c>
      <c r="I327" s="467">
        <v>0</v>
      </c>
      <c r="J327" s="467">
        <v>0</v>
      </c>
      <c r="K327" s="1691">
        <f t="shared" si="24"/>
        <v>7468</v>
      </c>
      <c r="L327" s="467">
        <v>10000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160000</v>
      </c>
      <c r="D330" s="1690">
        <f t="shared" ref="D330:J330" si="25">SUM(D319:D329)</f>
        <v>0</v>
      </c>
      <c r="E330" s="1690">
        <f t="shared" si="25"/>
        <v>90886</v>
      </c>
      <c r="F330" s="1690">
        <f t="shared" si="25"/>
        <v>0</v>
      </c>
      <c r="G330" s="1690">
        <f t="shared" si="25"/>
        <v>0</v>
      </c>
      <c r="H330" s="1690">
        <f t="shared" si="25"/>
        <v>0</v>
      </c>
      <c r="I330" s="1690">
        <f t="shared" si="25"/>
        <v>0</v>
      </c>
      <c r="J330" s="1690">
        <f t="shared" si="25"/>
        <v>0</v>
      </c>
      <c r="K330" s="1690">
        <f>SUM(K319:K329)</f>
        <v>250886</v>
      </c>
      <c r="L330" s="1690">
        <f>SUM(L319:L329)</f>
        <v>309500</v>
      </c>
      <c r="M330" s="664"/>
      <c r="N330" s="664"/>
    </row>
    <row r="331" spans="1:14" s="673" customFormat="1" ht="12.75" customHeight="1" thickTop="1" x14ac:dyDescent="0.2">
      <c r="A331" s="1852" t="s">
        <v>1962</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1956</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1958</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1963</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20000</v>
      </c>
    </row>
    <row r="342" spans="1:14" ht="12.75" customHeight="1" thickTop="1" thickBot="1" x14ac:dyDescent="0.25">
      <c r="A342" s="1706" t="s">
        <v>526</v>
      </c>
      <c r="B342" s="1721"/>
      <c r="C342" s="1690">
        <f>SUM(C330)</f>
        <v>160000</v>
      </c>
      <c r="D342" s="1690">
        <f>SUM(D330)</f>
        <v>0</v>
      </c>
      <c r="E342" s="1690">
        <f>SUM(E330)</f>
        <v>90886</v>
      </c>
      <c r="F342" s="1690">
        <f>SUM(F330)</f>
        <v>0</v>
      </c>
      <c r="G342" s="1690">
        <f>SUM(G330)</f>
        <v>0</v>
      </c>
      <c r="H342" s="1690">
        <f>SUM(H330,H334,H340)</f>
        <v>0</v>
      </c>
      <c r="I342" s="1690">
        <f>SUM(I330)</f>
        <v>0</v>
      </c>
      <c r="J342" s="1690">
        <f>SUM(J330)</f>
        <v>0</v>
      </c>
      <c r="K342" s="1690">
        <f>SUM(K330,K334,K340)</f>
        <v>250886</v>
      </c>
      <c r="L342" s="1697">
        <f>SUM(L330,L340,L341)</f>
        <v>329500</v>
      </c>
    </row>
    <row r="343" spans="1:14" ht="12.75" customHeight="1" thickTop="1" x14ac:dyDescent="0.2">
      <c r="A343" s="2186" t="s">
        <v>1053</v>
      </c>
      <c r="B343" s="2187"/>
      <c r="C343" s="615"/>
      <c r="D343" s="615"/>
      <c r="E343" s="615"/>
      <c r="F343" s="615"/>
      <c r="G343" s="615"/>
      <c r="H343" s="615"/>
      <c r="I343" s="615"/>
      <c r="J343" s="615"/>
      <c r="K343" s="1704">
        <f>'Revenues 9-14'!J275-'Expenditures 15-22'!K342</f>
        <v>28531</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6" t="s">
        <v>1023</v>
      </c>
      <c r="B345" s="2177"/>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140000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140000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140000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1964</v>
      </c>
      <c r="B354" s="682" t="s">
        <v>1956</v>
      </c>
      <c r="C354" s="615"/>
      <c r="D354" s="615"/>
      <c r="E354" s="615"/>
      <c r="F354" s="615"/>
      <c r="G354" s="615"/>
      <c r="H354" s="474">
        <v>0</v>
      </c>
      <c r="I354" s="700"/>
      <c r="J354" s="615"/>
      <c r="K354" s="1719">
        <f>H354</f>
        <v>0</v>
      </c>
      <c r="L354" s="471">
        <v>0</v>
      </c>
    </row>
    <row r="355" spans="1:14" ht="12.75" customHeight="1" x14ac:dyDescent="0.2">
      <c r="A355" s="1533" t="s">
        <v>1965</v>
      </c>
      <c r="B355" s="689" t="s">
        <v>1958</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1566</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1770</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140000</v>
      </c>
    </row>
    <row r="368" spans="1:14" ht="13.5" thickTop="1" x14ac:dyDescent="0.2">
      <c r="A368" s="2200" t="s">
        <v>1053</v>
      </c>
      <c r="B368" s="2201"/>
      <c r="C368" s="653"/>
      <c r="D368" s="653"/>
      <c r="E368" s="625"/>
      <c r="F368" s="625"/>
      <c r="G368" s="625"/>
      <c r="H368" s="625"/>
      <c r="I368" s="625"/>
      <c r="J368" s="622"/>
      <c r="K368" s="1691">
        <f>'Revenues 9-14'!K275-'Expenditures 15-22'!K367</f>
        <v>58560</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2" t="s">
        <v>1904</v>
      </c>
      <c r="B2" s="1548" t="s">
        <v>2036</v>
      </c>
      <c r="C2" s="713" t="s">
        <v>1909</v>
      </c>
      <c r="D2" s="713" t="s">
        <v>1910</v>
      </c>
      <c r="E2" s="713" t="s">
        <v>1911</v>
      </c>
      <c r="F2" s="713" t="s">
        <v>1912</v>
      </c>
    </row>
    <row r="3" spans="1:6" ht="12" customHeight="1" x14ac:dyDescent="0.2">
      <c r="A3" s="2203"/>
      <c r="B3" s="1545"/>
      <c r="C3" s="1546"/>
      <c r="D3" s="1547" t="s">
        <v>274</v>
      </c>
      <c r="E3" s="1546"/>
      <c r="F3" s="1547" t="s">
        <v>275</v>
      </c>
    </row>
    <row r="4" spans="1:6" ht="13.7" customHeight="1" x14ac:dyDescent="0.2">
      <c r="A4" s="714" t="s">
        <v>1217</v>
      </c>
      <c r="B4" s="1769">
        <f>'Revenues 9-14'!C5</f>
        <v>2835519</v>
      </c>
      <c r="C4" s="1544">
        <v>1231545</v>
      </c>
      <c r="D4" s="1772">
        <f>B4-C4</f>
        <v>1603974</v>
      </c>
      <c r="E4" s="1544">
        <v>2835995</v>
      </c>
      <c r="F4" s="1772">
        <f>E4-C4</f>
        <v>1604450</v>
      </c>
    </row>
    <row r="5" spans="1:6" ht="13.7" customHeight="1" x14ac:dyDescent="0.2">
      <c r="A5" s="714" t="s">
        <v>925</v>
      </c>
      <c r="B5" s="1770">
        <f>'Revenues 9-14'!D5</f>
        <v>567104</v>
      </c>
      <c r="C5" s="583">
        <v>246309</v>
      </c>
      <c r="D5" s="1773">
        <f t="shared" ref="D5:D18" si="0">B5-C5</f>
        <v>320795</v>
      </c>
      <c r="E5" s="583">
        <v>567199</v>
      </c>
      <c r="F5" s="1773">
        <f>E5-C5</f>
        <v>320890</v>
      </c>
    </row>
    <row r="6" spans="1:6" ht="13.7" customHeight="1" x14ac:dyDescent="0.2">
      <c r="A6" s="714" t="s">
        <v>431</v>
      </c>
      <c r="B6" s="1770">
        <f>'Revenues 9-14'!E5</f>
        <v>960854</v>
      </c>
      <c r="C6" s="583">
        <v>426336</v>
      </c>
      <c r="D6" s="1773">
        <f t="shared" si="0"/>
        <v>534518</v>
      </c>
      <c r="E6" s="583">
        <v>981765</v>
      </c>
      <c r="F6" s="1773">
        <f t="shared" ref="F6:F18" si="1">E6-C6</f>
        <v>555429</v>
      </c>
    </row>
    <row r="7" spans="1:6" ht="13.7" customHeight="1" x14ac:dyDescent="0.2">
      <c r="A7" s="714" t="s">
        <v>157</v>
      </c>
      <c r="B7" s="1770">
        <f>'Revenues 9-14'!F5</f>
        <v>226842</v>
      </c>
      <c r="C7" s="583">
        <v>98524</v>
      </c>
      <c r="D7" s="1773">
        <f t="shared" si="0"/>
        <v>128318</v>
      </c>
      <c r="E7" s="583">
        <v>226880</v>
      </c>
      <c r="F7" s="1773">
        <f t="shared" si="1"/>
        <v>128356</v>
      </c>
    </row>
    <row r="8" spans="1:6" ht="13.7" customHeight="1" x14ac:dyDescent="0.2">
      <c r="A8" s="714" t="s">
        <v>1241</v>
      </c>
      <c r="B8" s="1770">
        <f>'Revenues 9-14'!G5</f>
        <v>45229</v>
      </c>
      <c r="C8" s="583">
        <v>19542</v>
      </c>
      <c r="D8" s="1773">
        <f t="shared" si="0"/>
        <v>25687</v>
      </c>
      <c r="E8" s="583">
        <v>45002</v>
      </c>
      <c r="F8" s="1773">
        <f t="shared" si="1"/>
        <v>25460</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56710</v>
      </c>
      <c r="C10" s="583">
        <v>24631</v>
      </c>
      <c r="D10" s="1773">
        <f t="shared" si="0"/>
        <v>32079</v>
      </c>
      <c r="E10" s="583">
        <v>56720</v>
      </c>
      <c r="F10" s="1773">
        <f t="shared" si="1"/>
        <v>32089</v>
      </c>
    </row>
    <row r="11" spans="1:6" x14ac:dyDescent="0.2">
      <c r="A11" s="714" t="s">
        <v>429</v>
      </c>
      <c r="B11" s="1770">
        <f>'Revenues 9-14'!J5</f>
        <v>275151</v>
      </c>
      <c r="C11" s="583">
        <v>118337</v>
      </c>
      <c r="D11" s="1773">
        <f t="shared" si="0"/>
        <v>156814</v>
      </c>
      <c r="E11" s="583">
        <v>272505</v>
      </c>
      <c r="F11" s="1773">
        <f t="shared" si="1"/>
        <v>154168</v>
      </c>
    </row>
    <row r="12" spans="1:6" ht="13.7" customHeight="1" x14ac:dyDescent="0.2">
      <c r="A12" s="714" t="s">
        <v>159</v>
      </c>
      <c r="B12" s="1770">
        <f>'Revenues 9-14'!K5</f>
        <v>56710</v>
      </c>
      <c r="C12" s="583">
        <v>24631</v>
      </c>
      <c r="D12" s="1773">
        <f t="shared" si="0"/>
        <v>32079</v>
      </c>
      <c r="E12" s="583">
        <v>56720</v>
      </c>
      <c r="F12" s="1773">
        <f t="shared" si="1"/>
        <v>32089</v>
      </c>
    </row>
    <row r="13" spans="1:6" ht="13.7" customHeight="1" x14ac:dyDescent="0.2">
      <c r="A13" s="714" t="s">
        <v>993</v>
      </c>
      <c r="B13" s="1770">
        <f>SUM('Revenues 9-14'!C6:D6)</f>
        <v>56710</v>
      </c>
      <c r="C13" s="583">
        <v>24630</v>
      </c>
      <c r="D13" s="1773">
        <f t="shared" si="0"/>
        <v>32080</v>
      </c>
      <c r="E13" s="583">
        <v>56720</v>
      </c>
      <c r="F13" s="1773">
        <f t="shared" si="1"/>
        <v>32090</v>
      </c>
    </row>
    <row r="14" spans="1:6" ht="13.7" customHeight="1" x14ac:dyDescent="0.2">
      <c r="A14" s="714" t="s">
        <v>430</v>
      </c>
      <c r="B14" s="1770">
        <f>SUM('Revenues 9-14'!C7:D7,'Revenues 9-14'!F7:H7)</f>
        <v>283553</v>
      </c>
      <c r="C14" s="583">
        <v>123155</v>
      </c>
      <c r="D14" s="1773">
        <f t="shared" si="0"/>
        <v>160398</v>
      </c>
      <c r="E14" s="583">
        <v>283599</v>
      </c>
      <c r="F14" s="1773">
        <f t="shared" si="1"/>
        <v>160444</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67842</v>
      </c>
      <c r="C16" s="583">
        <v>29316</v>
      </c>
      <c r="D16" s="1773">
        <f t="shared" si="0"/>
        <v>38526</v>
      </c>
      <c r="E16" s="583">
        <v>67508</v>
      </c>
      <c r="F16" s="1773">
        <f t="shared" si="1"/>
        <v>38192</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5432224</v>
      </c>
      <c r="C19" s="1771">
        <f>SUM(C4:C18)</f>
        <v>2366956</v>
      </c>
      <c r="D19" s="1771">
        <f>SUM(D4:D18)</f>
        <v>3065268</v>
      </c>
      <c r="E19" s="1771">
        <f>SUM(E4:E18)</f>
        <v>5450613</v>
      </c>
      <c r="F19" s="1771">
        <f>SUM(F4:F18)</f>
        <v>3083657</v>
      </c>
    </row>
    <row r="20" spans="1:6" ht="13.5" thickTop="1" x14ac:dyDescent="0.2">
      <c r="B20" s="712"/>
      <c r="F20" s="715"/>
    </row>
    <row r="21" spans="1:6" x14ac:dyDescent="0.2">
      <c r="A21" s="716" t="s">
        <v>1914</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650</v>
      </c>
      <c r="B1" s="2209"/>
      <c r="C1" s="720"/>
    </row>
    <row r="2" spans="1:7" ht="33.75" x14ac:dyDescent="0.2">
      <c r="A2" s="2217" t="s">
        <v>1904</v>
      </c>
      <c r="B2" s="2218"/>
      <c r="C2" s="1907" t="s">
        <v>2037</v>
      </c>
      <c r="D2" s="722" t="s">
        <v>2044</v>
      </c>
      <c r="E2" s="722" t="s">
        <v>2045</v>
      </c>
      <c r="F2" s="1907" t="s">
        <v>2038</v>
      </c>
    </row>
    <row r="3" spans="1:7" ht="15.75" customHeight="1" x14ac:dyDescent="0.2">
      <c r="A3" s="2221" t="s">
        <v>1176</v>
      </c>
      <c r="B3" s="2222"/>
      <c r="C3" s="2210"/>
      <c r="D3" s="2211"/>
      <c r="E3" s="2211"/>
      <c r="F3" s="2212"/>
    </row>
    <row r="4" spans="1:7" ht="12.75" customHeight="1" thickBot="1" x14ac:dyDescent="0.25">
      <c r="A4" s="2219" t="s">
        <v>651</v>
      </c>
      <c r="B4" s="2220"/>
      <c r="C4" s="579"/>
      <c r="D4" s="579"/>
      <c r="E4" s="579"/>
      <c r="F4" s="1775">
        <f>SUM(C4+D4)-E4</f>
        <v>0</v>
      </c>
    </row>
    <row r="5" spans="1:7" ht="15.75" customHeight="1" thickTop="1" x14ac:dyDescent="0.2">
      <c r="A5" s="2204" t="s">
        <v>1172</v>
      </c>
      <c r="B5" s="2205"/>
      <c r="C5" s="2213"/>
      <c r="D5" s="2214"/>
      <c r="E5" s="2214"/>
      <c r="F5" s="2215"/>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6" t="s">
        <v>652</v>
      </c>
      <c r="B15" s="2207"/>
      <c r="C15" s="1775">
        <f>SUM(C6:C14)</f>
        <v>0</v>
      </c>
      <c r="D15" s="1775">
        <f>SUM(D6:D14)</f>
        <v>0</v>
      </c>
      <c r="E15" s="1775">
        <f>SUM(E6:E14)</f>
        <v>0</v>
      </c>
      <c r="F15" s="1775">
        <f>SUM(F6:F14)</f>
        <v>0</v>
      </c>
      <c r="G15" s="550"/>
    </row>
    <row r="16" spans="1:7" s="202" customFormat="1" ht="15.75" customHeight="1" thickTop="1" x14ac:dyDescent="0.2">
      <c r="A16" s="2216" t="s">
        <v>1173</v>
      </c>
      <c r="B16" s="2205"/>
      <c r="C16" s="2213"/>
      <c r="D16" s="2214"/>
      <c r="E16" s="2214"/>
      <c r="F16" s="2215"/>
    </row>
    <row r="17" spans="1:11" ht="12.75" customHeight="1" thickBot="1" x14ac:dyDescent="0.25">
      <c r="A17" s="2229" t="s">
        <v>66</v>
      </c>
      <c r="B17" s="2230"/>
      <c r="C17" s="725"/>
      <c r="D17" s="583"/>
      <c r="E17" s="725"/>
      <c r="F17" s="1775">
        <f>SUM(C17+D17)-E17</f>
        <v>0</v>
      </c>
    </row>
    <row r="18" spans="1:11" ht="12.75" customHeight="1" thickTop="1" thickBot="1" x14ac:dyDescent="0.25">
      <c r="A18" s="2229" t="s">
        <v>6</v>
      </c>
      <c r="B18" s="2230"/>
      <c r="C18" s="725"/>
      <c r="D18" s="583"/>
      <c r="E18" s="725"/>
      <c r="F18" s="1775">
        <f>SUM(C18+D18)-E18</f>
        <v>0</v>
      </c>
    </row>
    <row r="19" spans="1:11" ht="12.75" customHeight="1" thickTop="1" thickBot="1" x14ac:dyDescent="0.25">
      <c r="A19" s="2229" t="s">
        <v>406</v>
      </c>
      <c r="B19" s="2230"/>
      <c r="C19" s="725"/>
      <c r="D19" s="583"/>
      <c r="E19" s="725"/>
      <c r="F19" s="1775">
        <f>SUM(C19+D19)-E19</f>
        <v>0</v>
      </c>
    </row>
    <row r="20" spans="1:11" ht="12.75" customHeight="1" thickTop="1" thickBot="1" x14ac:dyDescent="0.25">
      <c r="A20" s="2229" t="s">
        <v>468</v>
      </c>
      <c r="B20" s="2230"/>
      <c r="C20" s="725"/>
      <c r="D20" s="583"/>
      <c r="E20" s="725"/>
      <c r="F20" s="1775">
        <f>SUM(C20+D20)-E20</f>
        <v>0</v>
      </c>
    </row>
    <row r="21" spans="1:11" ht="14.25" thickTop="1" thickBot="1" x14ac:dyDescent="0.25">
      <c r="A21" s="2206" t="s">
        <v>653</v>
      </c>
      <c r="B21" s="2207"/>
      <c r="C21" s="1775">
        <f>SUM(C17:C20)</f>
        <v>0</v>
      </c>
      <c r="D21" s="1775">
        <f>SUM(D17:D20)</f>
        <v>0</v>
      </c>
      <c r="E21" s="1775">
        <f>SUM(E17:E20)</f>
        <v>0</v>
      </c>
      <c r="F21" s="1775">
        <f>SUM(F17:F20)</f>
        <v>0</v>
      </c>
      <c r="G21" s="550"/>
    </row>
    <row r="22" spans="1:11" ht="15.75" customHeight="1" thickTop="1" x14ac:dyDescent="0.2">
      <c r="A22" s="2231" t="s">
        <v>1174</v>
      </c>
      <c r="B22" s="2205"/>
      <c r="C22" s="2213"/>
      <c r="D22" s="2214"/>
      <c r="E22" s="2214"/>
      <c r="F22" s="2215"/>
    </row>
    <row r="23" spans="1:11" ht="13.5" thickBot="1" x14ac:dyDescent="0.25">
      <c r="A23" s="2219" t="s">
        <v>654</v>
      </c>
      <c r="B23" s="2220"/>
      <c r="C23" s="579"/>
      <c r="D23" s="579"/>
      <c r="E23" s="579"/>
      <c r="F23" s="1775">
        <f>SUM(C23+D23)-E23</f>
        <v>0</v>
      </c>
      <c r="G23" s="550"/>
    </row>
    <row r="24" spans="1:11" ht="15.75" customHeight="1" thickTop="1" x14ac:dyDescent="0.2">
      <c r="A24" s="2231" t="s">
        <v>1175</v>
      </c>
      <c r="B24" s="2205"/>
      <c r="C24" s="2213"/>
      <c r="D24" s="2214"/>
      <c r="E24" s="2214"/>
      <c r="F24" s="2215"/>
    </row>
    <row r="25" spans="1:11" ht="13.5" thickBot="1" x14ac:dyDescent="0.25">
      <c r="A25" s="2219" t="s">
        <v>655</v>
      </c>
      <c r="B25" s="2220"/>
      <c r="C25" s="579"/>
      <c r="D25" s="579"/>
      <c r="E25" s="579"/>
      <c r="F25" s="1775">
        <f>SUM(C25+D25)-E25</f>
        <v>0</v>
      </c>
      <c r="G25" s="550"/>
    </row>
    <row r="26" spans="1:11" ht="15.75" customHeight="1" thickTop="1" x14ac:dyDescent="0.2">
      <c r="A26" s="2204" t="s">
        <v>678</v>
      </c>
      <c r="B26" s="2205"/>
      <c r="C26" s="726"/>
      <c r="D26" s="726"/>
      <c r="E26" s="726"/>
      <c r="F26" s="727"/>
    </row>
    <row r="27" spans="1:11" ht="13.5" thickBot="1" x14ac:dyDescent="0.25">
      <c r="A27" s="2206" t="s">
        <v>1130</v>
      </c>
      <c r="B27" s="2207"/>
      <c r="C27" s="583"/>
      <c r="D27" s="583"/>
      <c r="E27" s="583"/>
      <c r="F27" s="1775">
        <f>SUM(C27+D27)-E27</f>
        <v>0</v>
      </c>
      <c r="G27" s="550"/>
    </row>
    <row r="28" spans="1:11" ht="7.5" customHeight="1" thickTop="1" x14ac:dyDescent="0.2">
      <c r="A28" s="592"/>
    </row>
    <row r="29" spans="1:11" ht="23.25" customHeight="1" x14ac:dyDescent="0.2">
      <c r="A29" s="2232" t="s">
        <v>603</v>
      </c>
      <c r="B29" s="2209"/>
      <c r="C29" s="728"/>
      <c r="D29" s="728"/>
      <c r="E29" s="728"/>
      <c r="F29" s="728"/>
      <c r="G29" s="728"/>
      <c r="H29" s="728"/>
      <c r="I29" s="728"/>
      <c r="J29" s="728"/>
    </row>
    <row r="30" spans="1:11" ht="33.75" x14ac:dyDescent="0.2">
      <c r="A30" s="1549" t="s">
        <v>1131</v>
      </c>
      <c r="B30" s="729" t="s">
        <v>1186</v>
      </c>
      <c r="C30" s="1908" t="s">
        <v>604</v>
      </c>
      <c r="D30" s="1908" t="s">
        <v>1771</v>
      </c>
      <c r="E30" s="1908" t="s">
        <v>2039</v>
      </c>
      <c r="F30" s="1908" t="s">
        <v>2040</v>
      </c>
      <c r="G30" s="1908" t="s">
        <v>2043</v>
      </c>
      <c r="H30" s="1908" t="s">
        <v>2041</v>
      </c>
      <c r="I30" s="1908" t="s">
        <v>2042</v>
      </c>
      <c r="J30" s="1909" t="s">
        <v>2</v>
      </c>
      <c r="K30" s="730"/>
    </row>
    <row r="31" spans="1:11" ht="12" customHeight="1" x14ac:dyDescent="0.2">
      <c r="A31" s="731" t="s">
        <v>2092</v>
      </c>
      <c r="B31" s="732">
        <v>40288</v>
      </c>
      <c r="C31" s="733">
        <v>4238109</v>
      </c>
      <c r="D31" s="734" t="s">
        <v>2095</v>
      </c>
      <c r="E31" s="733">
        <v>2339455</v>
      </c>
      <c r="F31" s="733"/>
      <c r="G31" s="733"/>
      <c r="H31" s="733">
        <v>317933</v>
      </c>
      <c r="I31" s="1776">
        <f>((E31+F31)-H31)+G31</f>
        <v>2021522</v>
      </c>
      <c r="J31" s="733">
        <f>I31-225219</f>
        <v>1796303</v>
      </c>
      <c r="K31" s="735"/>
    </row>
    <row r="32" spans="1:11" ht="12" customHeight="1" x14ac:dyDescent="0.2">
      <c r="A32" s="731" t="s">
        <v>2093</v>
      </c>
      <c r="B32" s="732">
        <v>40288</v>
      </c>
      <c r="C32" s="733">
        <v>6260000</v>
      </c>
      <c r="D32" s="734" t="s">
        <v>2095</v>
      </c>
      <c r="E32" s="733">
        <v>6260000</v>
      </c>
      <c r="F32" s="733"/>
      <c r="G32" s="733"/>
      <c r="H32" s="733"/>
      <c r="I32" s="1776">
        <f>((E32+F32)-H32)+G32</f>
        <v>6260000</v>
      </c>
      <c r="J32" s="733">
        <f>I32-165385</f>
        <v>6094615</v>
      </c>
      <c r="K32" s="735"/>
    </row>
    <row r="33" spans="1:11" ht="12" customHeight="1" x14ac:dyDescent="0.2">
      <c r="A33" s="731" t="s">
        <v>2094</v>
      </c>
      <c r="B33" s="732">
        <v>40288</v>
      </c>
      <c r="C33" s="733">
        <v>1710000</v>
      </c>
      <c r="D33" s="734" t="s">
        <v>2096</v>
      </c>
      <c r="E33" s="733">
        <v>1710000</v>
      </c>
      <c r="F33" s="733"/>
      <c r="G33" s="733"/>
      <c r="H33" s="733"/>
      <c r="I33" s="1776">
        <f t="shared" ref="I33:I48" si="1">((E33+F33)-H33)+G33</f>
        <v>1710000</v>
      </c>
      <c r="J33" s="733">
        <f>I33-36285</f>
        <v>1673715</v>
      </c>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12208109</v>
      </c>
      <c r="D49" s="744"/>
      <c r="E49" s="1776">
        <f t="shared" ref="E49:J49" si="2">SUM(E31:E48)</f>
        <v>10309455</v>
      </c>
      <c r="F49" s="1776">
        <f t="shared" si="2"/>
        <v>0</v>
      </c>
      <c r="G49" s="1776">
        <f t="shared" si="2"/>
        <v>0</v>
      </c>
      <c r="H49" s="1776">
        <f t="shared" si="2"/>
        <v>317933</v>
      </c>
      <c r="I49" s="1776">
        <f t="shared" si="2"/>
        <v>9991522</v>
      </c>
      <c r="J49" s="1776">
        <f t="shared" si="2"/>
        <v>9564633</v>
      </c>
      <c r="K49" s="736"/>
    </row>
    <row r="50" spans="1:11" ht="6" customHeight="1" x14ac:dyDescent="0.2">
      <c r="A50" s="745"/>
      <c r="B50" s="735"/>
      <c r="C50" s="735"/>
      <c r="D50" s="735"/>
      <c r="E50" s="735"/>
      <c r="F50" s="735"/>
      <c r="G50" s="735"/>
      <c r="H50" s="735"/>
      <c r="I50" s="735"/>
      <c r="J50" s="745"/>
    </row>
    <row r="51" spans="1:11" x14ac:dyDescent="0.2">
      <c r="A51" s="746" t="s">
        <v>1913</v>
      </c>
      <c r="B51" s="745"/>
      <c r="C51" s="736"/>
      <c r="D51" s="736"/>
      <c r="E51" s="736"/>
      <c r="F51" s="736"/>
      <c r="G51" s="736"/>
      <c r="H51" s="735"/>
      <c r="I51" s="735"/>
      <c r="J51" s="745"/>
    </row>
    <row r="52" spans="1:11" ht="11.25" customHeight="1" x14ac:dyDescent="0.2">
      <c r="A52" s="747" t="s">
        <v>968</v>
      </c>
      <c r="B52" s="2223" t="s">
        <v>605</v>
      </c>
      <c r="C52" s="2224"/>
      <c r="D52" s="2224"/>
      <c r="E52" s="748" t="s">
        <v>900</v>
      </c>
      <c r="F52" s="2225"/>
      <c r="G52" s="2226"/>
      <c r="H52" s="735"/>
      <c r="I52" s="735"/>
      <c r="J52" s="745"/>
    </row>
    <row r="53" spans="1:11" ht="11.25" customHeight="1" x14ac:dyDescent="0.2">
      <c r="A53" s="749" t="s">
        <v>969</v>
      </c>
      <c r="B53" s="750" t="s">
        <v>1008</v>
      </c>
      <c r="C53" s="745"/>
      <c r="D53" s="736"/>
      <c r="E53" s="748" t="s">
        <v>518</v>
      </c>
      <c r="F53" s="2227"/>
      <c r="G53" s="2228"/>
      <c r="H53" s="735"/>
      <c r="I53" s="735"/>
      <c r="J53" s="745"/>
    </row>
    <row r="54" spans="1:11" ht="11.25" customHeight="1" x14ac:dyDescent="0.2">
      <c r="A54" s="751" t="s">
        <v>970</v>
      </c>
      <c r="B54" s="746" t="s">
        <v>1009</v>
      </c>
      <c r="C54" s="745"/>
      <c r="D54" s="736"/>
      <c r="E54" s="748" t="s">
        <v>519</v>
      </c>
      <c r="F54" s="2227"/>
      <c r="G54" s="2228"/>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911</v>
      </c>
      <c r="B1" s="2258"/>
      <c r="C1" s="2258"/>
      <c r="D1" s="2258"/>
      <c r="E1" s="2258"/>
      <c r="F1" s="2258"/>
      <c r="G1" s="2259"/>
      <c r="H1" s="1550"/>
      <c r="I1" s="759"/>
      <c r="J1" s="433"/>
    </row>
    <row r="2" spans="1:11" ht="26.25" x14ac:dyDescent="0.2">
      <c r="A2" s="2236" t="s">
        <v>1775</v>
      </c>
      <c r="B2" s="2237"/>
      <c r="C2" s="2237"/>
      <c r="D2" s="2237"/>
      <c r="E2" s="2238"/>
      <c r="F2" s="760" t="s">
        <v>960</v>
      </c>
      <c r="G2" s="761" t="s">
        <v>1772</v>
      </c>
      <c r="H2" s="761" t="s">
        <v>430</v>
      </c>
      <c r="I2" s="761" t="s">
        <v>1220</v>
      </c>
      <c r="J2" s="761" t="s">
        <v>1918</v>
      </c>
      <c r="K2" s="761" t="s">
        <v>140</v>
      </c>
    </row>
    <row r="3" spans="1:11" x14ac:dyDescent="0.2">
      <c r="A3" s="2239" t="s">
        <v>1697</v>
      </c>
      <c r="B3" s="2240"/>
      <c r="C3" s="2240"/>
      <c r="D3" s="2240"/>
      <c r="E3" s="2241"/>
      <c r="F3" s="762"/>
      <c r="G3" s="763"/>
      <c r="H3" s="763"/>
      <c r="I3" s="763"/>
      <c r="J3" s="764"/>
      <c r="K3" s="764">
        <v>23363</v>
      </c>
    </row>
    <row r="4" spans="1:11" x14ac:dyDescent="0.2">
      <c r="A4" s="2242" t="s">
        <v>387</v>
      </c>
      <c r="B4" s="2243"/>
      <c r="C4" s="2243"/>
      <c r="D4" s="2243"/>
      <c r="E4" s="2224"/>
      <c r="F4" s="765"/>
      <c r="G4" s="766"/>
      <c r="H4" s="767"/>
      <c r="I4" s="766"/>
      <c r="J4" s="768"/>
      <c r="K4" s="768"/>
    </row>
    <row r="5" spans="1:11" x14ac:dyDescent="0.2">
      <c r="A5" s="2260" t="s">
        <v>1129</v>
      </c>
      <c r="B5" s="2233"/>
      <c r="C5" s="2233"/>
      <c r="D5" s="2233"/>
      <c r="E5" s="2261"/>
      <c r="F5" s="769" t="s">
        <v>903</v>
      </c>
      <c r="G5" s="770"/>
      <c r="H5" s="763">
        <v>283553</v>
      </c>
      <c r="I5" s="771"/>
      <c r="J5" s="772"/>
      <c r="K5" s="772"/>
    </row>
    <row r="6" spans="1:11" x14ac:dyDescent="0.2">
      <c r="A6" s="773" t="s">
        <v>744</v>
      </c>
      <c r="B6" s="774"/>
      <c r="C6" s="774"/>
      <c r="D6" s="774"/>
      <c r="E6" s="775"/>
      <c r="F6" s="776" t="s">
        <v>904</v>
      </c>
      <c r="G6" s="763"/>
      <c r="H6" s="763">
        <v>120</v>
      </c>
      <c r="I6" s="763"/>
      <c r="J6" s="764"/>
      <c r="K6" s="764">
        <v>159</v>
      </c>
    </row>
    <row r="7" spans="1:11" x14ac:dyDescent="0.2">
      <c r="A7" s="777" t="s">
        <v>264</v>
      </c>
      <c r="B7" s="778"/>
      <c r="C7" s="778"/>
      <c r="D7" s="778"/>
      <c r="E7" s="779"/>
      <c r="F7" s="769" t="s">
        <v>905</v>
      </c>
      <c r="G7" s="766"/>
      <c r="H7" s="766"/>
      <c r="I7" s="766"/>
      <c r="J7" s="780"/>
      <c r="K7" s="764">
        <v>6605</v>
      </c>
    </row>
    <row r="8" spans="1:11" x14ac:dyDescent="0.2">
      <c r="A8" s="777" t="s">
        <v>363</v>
      </c>
      <c r="B8" s="778"/>
      <c r="C8" s="778"/>
      <c r="D8" s="778"/>
      <c r="E8" s="779"/>
      <c r="F8" s="769" t="s">
        <v>906</v>
      </c>
      <c r="G8" s="781"/>
      <c r="H8" s="781"/>
      <c r="I8" s="781"/>
      <c r="J8" s="764">
        <f>6500+158735</f>
        <v>165235</v>
      </c>
      <c r="K8" s="768"/>
    </row>
    <row r="9" spans="1:11" x14ac:dyDescent="0.2">
      <c r="A9" s="777" t="s">
        <v>140</v>
      </c>
      <c r="B9" s="778"/>
      <c r="C9" s="778"/>
      <c r="D9" s="778"/>
      <c r="E9" s="779"/>
      <c r="F9" s="776" t="s">
        <v>908</v>
      </c>
      <c r="G9" s="781"/>
      <c r="H9" s="770"/>
      <c r="I9" s="770"/>
      <c r="J9" s="780"/>
      <c r="K9" s="764">
        <v>7995</v>
      </c>
    </row>
    <row r="10" spans="1:11" x14ac:dyDescent="0.2">
      <c r="A10" s="2260" t="s">
        <v>1919</v>
      </c>
      <c r="B10" s="2233"/>
      <c r="C10" s="2233"/>
      <c r="D10" s="2233"/>
      <c r="E10" s="2262"/>
      <c r="F10" s="782" t="s">
        <v>917</v>
      </c>
      <c r="G10" s="781"/>
      <c r="H10" s="783"/>
      <c r="I10" s="763"/>
      <c r="J10" s="764"/>
      <c r="K10" s="764"/>
    </row>
    <row r="11" spans="1:11" x14ac:dyDescent="0.2">
      <c r="A11" s="2260" t="s">
        <v>162</v>
      </c>
      <c r="B11" s="2233"/>
      <c r="C11" s="2233"/>
      <c r="D11" s="2233"/>
      <c r="E11" s="2261"/>
      <c r="F11" s="769" t="s">
        <v>907</v>
      </c>
      <c r="G11" s="770"/>
      <c r="H11" s="763"/>
      <c r="I11" s="763"/>
      <c r="J11" s="764"/>
      <c r="K11" s="772"/>
    </row>
    <row r="12" spans="1:11" ht="13.5" thickBot="1" x14ac:dyDescent="0.25">
      <c r="A12" s="2250" t="s">
        <v>961</v>
      </c>
      <c r="B12" s="2251"/>
      <c r="C12" s="2251"/>
      <c r="D12" s="2251"/>
      <c r="E12" s="2252"/>
      <c r="F12" s="1777"/>
      <c r="G12" s="1778">
        <f>SUM(G5:G11)</f>
        <v>0</v>
      </c>
      <c r="H12" s="1778">
        <f>SUM(H5:H11)</f>
        <v>283673</v>
      </c>
      <c r="I12" s="1778">
        <f>SUM(I5:I11)</f>
        <v>0</v>
      </c>
      <c r="J12" s="1778">
        <f>SUM(J5:J11)</f>
        <v>165235</v>
      </c>
      <c r="K12" s="1778">
        <f>SUM(K5:K11)</f>
        <v>14759</v>
      </c>
    </row>
    <row r="13" spans="1:11" ht="13.5" thickTop="1" x14ac:dyDescent="0.2">
      <c r="A13" s="2244" t="s">
        <v>388</v>
      </c>
      <c r="B13" s="2245"/>
      <c r="C13" s="2245"/>
      <c r="D13" s="2245"/>
      <c r="E13" s="2246"/>
      <c r="F13" s="784"/>
      <c r="G13" s="785"/>
      <c r="H13" s="786"/>
      <c r="I13" s="787"/>
      <c r="J13" s="787"/>
      <c r="K13" s="787"/>
    </row>
    <row r="14" spans="1:11" x14ac:dyDescent="0.2">
      <c r="A14" s="2266" t="s">
        <v>476</v>
      </c>
      <c r="B14" s="2266"/>
      <c r="C14" s="2266"/>
      <c r="D14" s="2266"/>
      <c r="E14" s="2267"/>
      <c r="F14" s="788" t="s">
        <v>909</v>
      </c>
      <c r="G14" s="781"/>
      <c r="H14" s="763">
        <v>283673</v>
      </c>
      <c r="I14" s="770"/>
      <c r="J14" s="772"/>
      <c r="K14" s="764">
        <v>20910</v>
      </c>
    </row>
    <row r="15" spans="1:11" x14ac:dyDescent="0.2">
      <c r="A15" s="2233" t="s">
        <v>4</v>
      </c>
      <c r="B15" s="2233"/>
      <c r="C15" s="2233"/>
      <c r="D15" s="2233"/>
      <c r="E15" s="2261"/>
      <c r="F15" s="788" t="s">
        <v>910</v>
      </c>
      <c r="G15" s="770"/>
      <c r="H15" s="763"/>
      <c r="I15" s="763"/>
      <c r="J15" s="764"/>
      <c r="K15" s="764"/>
    </row>
    <row r="16" spans="1:11" x14ac:dyDescent="0.2">
      <c r="A16" s="2233" t="s">
        <v>316</v>
      </c>
      <c r="B16" s="2233"/>
      <c r="C16" s="2233"/>
      <c r="D16" s="2233"/>
      <c r="E16" s="2261"/>
      <c r="F16" s="788" t="s">
        <v>980</v>
      </c>
      <c r="G16" s="771"/>
      <c r="H16" s="766"/>
      <c r="I16" s="766"/>
      <c r="J16" s="768"/>
      <c r="K16" s="768"/>
    </row>
    <row r="17" spans="1:11" x14ac:dyDescent="0.2">
      <c r="A17" s="2255" t="s">
        <v>992</v>
      </c>
      <c r="B17" s="2255"/>
      <c r="C17" s="2255"/>
      <c r="D17" s="2255"/>
      <c r="E17" s="2256"/>
      <c r="F17" s="789"/>
      <c r="G17" s="790"/>
      <c r="H17" s="791"/>
      <c r="I17" s="791"/>
      <c r="J17" s="792"/>
      <c r="K17" s="793"/>
    </row>
    <row r="18" spans="1:11" x14ac:dyDescent="0.2">
      <c r="A18" s="2247" t="s">
        <v>386</v>
      </c>
      <c r="B18" s="2248"/>
      <c r="C18" s="2248"/>
      <c r="D18" s="2248"/>
      <c r="E18" s="2249"/>
      <c r="F18" s="788" t="s">
        <v>989</v>
      </c>
      <c r="G18" s="781"/>
      <c r="H18" s="781"/>
      <c r="I18" s="781"/>
      <c r="J18" s="764">
        <v>6500</v>
      </c>
      <c r="K18" s="794"/>
    </row>
    <row r="19" spans="1:11" ht="21.75" customHeight="1" x14ac:dyDescent="0.2">
      <c r="A19" s="2268" t="s">
        <v>1915</v>
      </c>
      <c r="B19" s="2268"/>
      <c r="C19" s="2268"/>
      <c r="D19" s="2268"/>
      <c r="E19" s="2269"/>
      <c r="F19" s="788" t="s">
        <v>990</v>
      </c>
      <c r="G19" s="781"/>
      <c r="H19" s="781"/>
      <c r="I19" s="781"/>
      <c r="J19" s="764"/>
      <c r="K19" s="794"/>
    </row>
    <row r="20" spans="1:11" x14ac:dyDescent="0.2">
      <c r="A20" s="2247" t="s">
        <v>1920</v>
      </c>
      <c r="B20" s="2248"/>
      <c r="C20" s="2248"/>
      <c r="D20" s="2248"/>
      <c r="E20" s="2249"/>
      <c r="F20" s="788" t="s">
        <v>991</v>
      </c>
      <c r="G20" s="781"/>
      <c r="H20" s="781"/>
      <c r="I20" s="781"/>
      <c r="J20" s="764"/>
      <c r="K20" s="794"/>
    </row>
    <row r="21" spans="1:11" ht="13.5" thickBot="1" x14ac:dyDescent="0.25">
      <c r="A21" s="2253" t="s">
        <v>659</v>
      </c>
      <c r="B21" s="2253"/>
      <c r="C21" s="2253"/>
      <c r="D21" s="2253"/>
      <c r="E21" s="2253"/>
      <c r="F21" s="1779"/>
      <c r="G21" s="791"/>
      <c r="H21" s="795"/>
      <c r="I21" s="795"/>
      <c r="J21" s="1780">
        <f>SUM(J18:J20)</f>
        <v>6500</v>
      </c>
      <c r="K21" s="792"/>
    </row>
    <row r="22" spans="1:11" ht="13.5" thickTop="1" x14ac:dyDescent="0.2">
      <c r="A22" s="2233" t="s">
        <v>1921</v>
      </c>
      <c r="B22" s="2233"/>
      <c r="C22" s="2233"/>
      <c r="D22" s="2233"/>
      <c r="E22" s="2261"/>
      <c r="F22" s="788" t="s">
        <v>917</v>
      </c>
      <c r="G22" s="781"/>
      <c r="H22" s="763"/>
      <c r="I22" s="763"/>
      <c r="J22" s="796"/>
      <c r="K22" s="764"/>
    </row>
    <row r="23" spans="1:11" ht="13.5" thickBot="1" x14ac:dyDescent="0.25">
      <c r="A23" s="2254" t="s">
        <v>962</v>
      </c>
      <c r="B23" s="2253"/>
      <c r="C23" s="2253"/>
      <c r="D23" s="2253"/>
      <c r="E23" s="2253"/>
      <c r="F23" s="1781"/>
      <c r="G23" s="1778">
        <f>SUM(G14:G16,G21,G22)</f>
        <v>0</v>
      </c>
      <c r="H23" s="1778">
        <f>SUM(H14:H16,H21,H22)</f>
        <v>283673</v>
      </c>
      <c r="I23" s="1778">
        <f>SUM(I14:I16,I21,I22)</f>
        <v>0</v>
      </c>
      <c r="J23" s="1778">
        <f>SUM(J14:J16,J21,J22)</f>
        <v>6500</v>
      </c>
      <c r="K23" s="1778">
        <f>SUM(K14:K16,K21,K22)</f>
        <v>20910</v>
      </c>
    </row>
    <row r="24" spans="1:11" ht="14.25" thickTop="1" thickBot="1" x14ac:dyDescent="0.25">
      <c r="A24" s="2254" t="s">
        <v>2025</v>
      </c>
      <c r="B24" s="2253"/>
      <c r="C24" s="2253"/>
      <c r="D24" s="2253"/>
      <c r="E24" s="2253"/>
      <c r="F24" s="1782"/>
      <c r="G24" s="1783">
        <f>SUM(G3,G12)-G23</f>
        <v>0</v>
      </c>
      <c r="H24" s="1783">
        <f>SUM(H3,H12)-H23</f>
        <v>0</v>
      </c>
      <c r="I24" s="1783">
        <f>SUM(I3,I12)-I23</f>
        <v>0</v>
      </c>
      <c r="J24" s="1783">
        <f>SUM(J3,J12)-J23</f>
        <v>158735</v>
      </c>
      <c r="K24" s="1783">
        <f>SUM(K3,K12)-K23</f>
        <v>17212</v>
      </c>
    </row>
    <row r="25" spans="1:11" ht="13.5" thickTop="1" x14ac:dyDescent="0.2">
      <c r="A25" s="797" t="s">
        <v>440</v>
      </c>
      <c r="B25" s="798"/>
      <c r="C25" s="798"/>
      <c r="D25" s="798"/>
      <c r="E25" s="799"/>
      <c r="F25" s="800">
        <v>714</v>
      </c>
      <c r="G25" s="801"/>
      <c r="H25" s="801"/>
      <c r="I25" s="801"/>
      <c r="J25" s="796">
        <v>158735</v>
      </c>
      <c r="K25" s="796">
        <v>17212</v>
      </c>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2035</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3"/>
      <c r="I31" s="2264"/>
      <c r="J31" s="2264"/>
      <c r="K31" s="2264"/>
    </row>
    <row r="32" spans="1:11" x14ac:dyDescent="0.2">
      <c r="A32" s="808"/>
      <c r="B32" s="237"/>
      <c r="C32" s="237"/>
      <c r="D32" s="237"/>
      <c r="E32" s="804"/>
      <c r="F32" s="810" t="s">
        <v>561</v>
      </c>
      <c r="G32" s="763"/>
      <c r="H32" s="2265"/>
      <c r="I32" s="2264"/>
      <c r="J32" s="2264"/>
      <c r="K32" s="2264"/>
    </row>
    <row r="33" spans="1:11" ht="1.5" customHeight="1" x14ac:dyDescent="0.2">
      <c r="A33" s="811" t="s">
        <v>1231</v>
      </c>
      <c r="B33" s="364"/>
      <c r="C33" s="364"/>
      <c r="D33" s="364"/>
      <c r="E33" s="364"/>
      <c r="F33" s="364"/>
      <c r="G33" s="812"/>
      <c r="H33" s="2265"/>
      <c r="I33" s="2264"/>
      <c r="J33" s="2264"/>
      <c r="K33" s="2264"/>
    </row>
    <row r="34" spans="1:11" x14ac:dyDescent="0.2">
      <c r="A34" s="813" t="s">
        <v>1922</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3" t="s">
        <v>562</v>
      </c>
      <c r="B41" s="2234"/>
      <c r="C41" s="2234"/>
      <c r="D41" s="2234"/>
      <c r="E41" s="2234"/>
      <c r="F41" s="2235"/>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1916</v>
      </c>
      <c r="B46" s="408" t="s">
        <v>1773</v>
      </c>
    </row>
    <row r="47" spans="1:11" s="822" customFormat="1" ht="12.75" customHeight="1" x14ac:dyDescent="0.2">
      <c r="A47" s="820"/>
      <c r="B47" s="821" t="s">
        <v>1774</v>
      </c>
      <c r="E47" s="821"/>
      <c r="K47" s="823"/>
    </row>
    <row r="48" spans="1:11" ht="12.75" customHeight="1" x14ac:dyDescent="0.2">
      <c r="A48" s="1552" t="s">
        <v>1917</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2034</v>
      </c>
      <c r="B1" s="2273"/>
      <c r="C1" s="2274"/>
      <c r="D1" s="825"/>
      <c r="E1" s="826"/>
      <c r="F1" s="826"/>
      <c r="G1" s="827"/>
      <c r="H1" s="828"/>
      <c r="I1" s="829"/>
      <c r="J1" s="2270"/>
      <c r="K1" s="2271"/>
      <c r="L1" s="2271"/>
    </row>
    <row r="2" spans="1:14" ht="69.75" customHeight="1" x14ac:dyDescent="0.2">
      <c r="A2" s="830" t="s">
        <v>1776</v>
      </c>
      <c r="B2" s="831" t="s">
        <v>396</v>
      </c>
      <c r="C2" s="832" t="s">
        <v>2029</v>
      </c>
      <c r="D2" s="832" t="s">
        <v>2026</v>
      </c>
      <c r="E2" s="832" t="s">
        <v>2027</v>
      </c>
      <c r="F2" s="832" t="s">
        <v>2028</v>
      </c>
      <c r="G2" s="832" t="s">
        <v>626</v>
      </c>
      <c r="H2" s="832" t="s">
        <v>2030</v>
      </c>
      <c r="I2" s="832" t="s">
        <v>2031</v>
      </c>
      <c r="J2" s="832" t="s">
        <v>2046</v>
      </c>
      <c r="K2" s="832" t="s">
        <v>2032</v>
      </c>
      <c r="L2" s="832" t="s">
        <v>2033</v>
      </c>
      <c r="M2" s="833"/>
      <c r="N2" s="833"/>
    </row>
    <row r="3" spans="1:14" ht="13.5" thickBot="1" x14ac:dyDescent="0.25">
      <c r="A3" s="1649" t="s">
        <v>948</v>
      </c>
      <c r="B3" s="1650">
        <v>210</v>
      </c>
      <c r="C3" s="834">
        <v>0</v>
      </c>
      <c r="D3" s="834">
        <v>0</v>
      </c>
      <c r="E3" s="834">
        <v>0</v>
      </c>
      <c r="F3" s="1780">
        <f>(C3+D3)-E3</f>
        <v>0</v>
      </c>
      <c r="G3" s="835"/>
      <c r="H3" s="834">
        <v>0</v>
      </c>
      <c r="I3" s="834">
        <v>0</v>
      </c>
      <c r="J3" s="834">
        <v>0</v>
      </c>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773994</v>
      </c>
      <c r="D5" s="840">
        <v>0</v>
      </c>
      <c r="E5" s="840">
        <v>0</v>
      </c>
      <c r="F5" s="1780">
        <f>(C5+D5)-E5</f>
        <v>773994</v>
      </c>
      <c r="G5" s="836"/>
      <c r="H5" s="841"/>
      <c r="I5" s="841"/>
      <c r="J5" s="841"/>
      <c r="K5" s="792"/>
      <c r="L5" s="1789">
        <f>F5-K5</f>
        <v>773994</v>
      </c>
    </row>
    <row r="6" spans="1:14" ht="14.25" thickTop="1" thickBot="1" x14ac:dyDescent="0.25">
      <c r="A6" s="777" t="s">
        <v>1179</v>
      </c>
      <c r="B6" s="839">
        <v>222</v>
      </c>
      <c r="C6" s="764">
        <v>0</v>
      </c>
      <c r="D6" s="764">
        <v>0</v>
      </c>
      <c r="E6" s="764">
        <v>0</v>
      </c>
      <c r="F6" s="1780">
        <f>(C6+D6)-E6</f>
        <v>0</v>
      </c>
      <c r="G6" s="836">
        <v>50</v>
      </c>
      <c r="H6" s="764">
        <v>0</v>
      </c>
      <c r="I6" s="764">
        <v>0</v>
      </c>
      <c r="J6" s="764">
        <v>0</v>
      </c>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19401629</v>
      </c>
      <c r="D8" s="843">
        <v>0</v>
      </c>
      <c r="E8" s="843">
        <v>0</v>
      </c>
      <c r="F8" s="1780">
        <f>(C8+D8)-E8</f>
        <v>19401629</v>
      </c>
      <c r="G8" s="842">
        <v>50</v>
      </c>
      <c r="H8" s="764">
        <v>4340472</v>
      </c>
      <c r="I8" s="764">
        <v>370926</v>
      </c>
      <c r="J8" s="764">
        <v>0</v>
      </c>
      <c r="K8" s="1789">
        <f>(H8+I8)-J8</f>
        <v>4711398</v>
      </c>
      <c r="L8" s="1789">
        <f>F8-K8</f>
        <v>14690231</v>
      </c>
    </row>
    <row r="9" spans="1:14" ht="14.25" thickTop="1" thickBot="1" x14ac:dyDescent="0.25">
      <c r="A9" s="777" t="s">
        <v>1181</v>
      </c>
      <c r="B9" s="839">
        <v>232</v>
      </c>
      <c r="C9" s="764">
        <v>0</v>
      </c>
      <c r="D9" s="764">
        <v>0</v>
      </c>
      <c r="E9" s="764">
        <v>0</v>
      </c>
      <c r="F9" s="1780">
        <f>(C9+D9)-E9</f>
        <v>0</v>
      </c>
      <c r="G9" s="842">
        <v>20</v>
      </c>
      <c r="H9" s="764">
        <v>0</v>
      </c>
      <c r="I9" s="764">
        <v>0</v>
      </c>
      <c r="J9" s="764">
        <v>0</v>
      </c>
      <c r="K9" s="1789">
        <f>(H9+I9)-J9</f>
        <v>0</v>
      </c>
      <c r="L9" s="1789">
        <f>F9-K9</f>
        <v>0</v>
      </c>
    </row>
    <row r="10" spans="1:14" ht="24" thickTop="1" thickBot="1" x14ac:dyDescent="0.25">
      <c r="A10" s="844" t="s">
        <v>1182</v>
      </c>
      <c r="B10" s="839">
        <v>240</v>
      </c>
      <c r="C10" s="845">
        <v>1054072</v>
      </c>
      <c r="D10" s="845">
        <v>0</v>
      </c>
      <c r="E10" s="845">
        <v>0</v>
      </c>
      <c r="F10" s="1784">
        <f>(C10+D10)-E10</f>
        <v>1054072</v>
      </c>
      <c r="G10" s="842">
        <v>20</v>
      </c>
      <c r="H10" s="846">
        <v>600043</v>
      </c>
      <c r="I10" s="846">
        <v>51930</v>
      </c>
      <c r="J10" s="846">
        <v>0</v>
      </c>
      <c r="K10" s="1789">
        <f>(H10+I10)-J10</f>
        <v>651973</v>
      </c>
      <c r="L10" s="1789">
        <f>F10-K10</f>
        <v>402099</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944127</v>
      </c>
      <c r="D12" s="843">
        <v>29914</v>
      </c>
      <c r="E12" s="843">
        <v>2514</v>
      </c>
      <c r="F12" s="1780">
        <f>(C12+D12)-E12</f>
        <v>971527</v>
      </c>
      <c r="G12" s="842">
        <v>10</v>
      </c>
      <c r="H12" s="764">
        <v>573257</v>
      </c>
      <c r="I12" s="764">
        <v>97156</v>
      </c>
      <c r="J12" s="764">
        <v>2514</v>
      </c>
      <c r="K12" s="1789">
        <f>(H12+I12)-J12</f>
        <v>667899</v>
      </c>
      <c r="L12" s="1789">
        <f>F12-K12</f>
        <v>303628</v>
      </c>
    </row>
    <row r="13" spans="1:14" ht="14.25" thickTop="1" thickBot="1" x14ac:dyDescent="0.25">
      <c r="A13" s="847" t="s">
        <v>1184</v>
      </c>
      <c r="B13" s="839">
        <v>252</v>
      </c>
      <c r="C13" s="843">
        <v>0</v>
      </c>
      <c r="D13" s="843">
        <v>0</v>
      </c>
      <c r="E13" s="843">
        <v>0</v>
      </c>
      <c r="F13" s="1780">
        <f>(C13+D13)-E13</f>
        <v>0</v>
      </c>
      <c r="G13" s="842">
        <v>5</v>
      </c>
      <c r="H13" s="764">
        <v>0</v>
      </c>
      <c r="I13" s="764">
        <v>0</v>
      </c>
      <c r="J13" s="764">
        <v>0</v>
      </c>
      <c r="K13" s="1789">
        <f>(H13+I13)-J13</f>
        <v>0</v>
      </c>
      <c r="L13" s="1789">
        <f>F13-K13</f>
        <v>0</v>
      </c>
    </row>
    <row r="14" spans="1:14" ht="14.25" thickTop="1" thickBot="1" x14ac:dyDescent="0.25">
      <c r="A14" s="847" t="s">
        <v>1185</v>
      </c>
      <c r="B14" s="839">
        <v>253</v>
      </c>
      <c r="C14" s="764">
        <v>0</v>
      </c>
      <c r="D14" s="764">
        <v>0</v>
      </c>
      <c r="E14" s="764">
        <v>0</v>
      </c>
      <c r="F14" s="1780">
        <f>(C14+D14)-E14</f>
        <v>0</v>
      </c>
      <c r="G14" s="842">
        <v>3</v>
      </c>
      <c r="H14" s="764">
        <v>0</v>
      </c>
      <c r="I14" s="764">
        <v>0</v>
      </c>
      <c r="J14" s="764">
        <v>0</v>
      </c>
      <c r="K14" s="1789">
        <f>(H14+I14)-J14</f>
        <v>0</v>
      </c>
      <c r="L14" s="1789">
        <f>F14-K14</f>
        <v>0</v>
      </c>
    </row>
    <row r="15" spans="1:14" ht="15" customHeight="1" thickTop="1" thickBot="1" x14ac:dyDescent="0.25">
      <c r="A15" s="1651" t="s">
        <v>549</v>
      </c>
      <c r="B15" s="1650">
        <v>260</v>
      </c>
      <c r="C15" s="843">
        <v>0</v>
      </c>
      <c r="D15" s="843">
        <v>0</v>
      </c>
      <c r="E15" s="843">
        <v>0</v>
      </c>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22173822</v>
      </c>
      <c r="D16" s="1780">
        <f>SUM(D3,D5:D6,D8:D10,D12:D15)</f>
        <v>29914</v>
      </c>
      <c r="E16" s="1780">
        <f>SUM(E3,E5:E6,E8:E10,E12:E15)</f>
        <v>2514</v>
      </c>
      <c r="F16" s="1780">
        <f>SUM(F3,F5:F6,F8:F10,F12:F15)</f>
        <v>22201222</v>
      </c>
      <c r="G16" s="842"/>
      <c r="H16" s="1780">
        <f>SUM(H3,H6,H8:H10,H12:H14,)</f>
        <v>5513772</v>
      </c>
      <c r="I16" s="1780">
        <f>SUM(I3,I6,I8:I10,I12:I14,)</f>
        <v>520012</v>
      </c>
      <c r="J16" s="1780">
        <f>SUM(J3,J6,J8:J10,J12:J14,)</f>
        <v>2514</v>
      </c>
      <c r="K16" s="1780">
        <f>(H16+I16)-J16</f>
        <v>6031270</v>
      </c>
      <c r="L16" s="1780">
        <f>F16-K16</f>
        <v>16169952</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520012</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31" sqref="J3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8" t="s">
        <v>1698</v>
      </c>
      <c r="B1" s="2279"/>
      <c r="C1" s="2279"/>
      <c r="D1" s="2279"/>
      <c r="E1" s="2279"/>
      <c r="F1" s="2280"/>
      <c r="G1" s="854"/>
    </row>
    <row r="2" spans="1:7" ht="15" customHeight="1" thickBot="1" x14ac:dyDescent="0.25">
      <c r="A2" s="2281" t="s">
        <v>498</v>
      </c>
      <c r="B2" s="2282"/>
      <c r="C2" s="2282"/>
      <c r="D2" s="2282"/>
      <c r="E2" s="2282"/>
      <c r="F2" s="2283"/>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4"/>
    </row>
    <row r="7" spans="1:7" s="864" customFormat="1" ht="12" thickTop="1" x14ac:dyDescent="0.2">
      <c r="A7" s="865" t="s">
        <v>523</v>
      </c>
      <c r="B7" s="866"/>
      <c r="C7" s="867"/>
      <c r="D7" s="866"/>
      <c r="E7" s="867"/>
      <c r="F7" s="866"/>
    </row>
    <row r="8" spans="1:7" x14ac:dyDescent="0.2">
      <c r="A8" s="868" t="s">
        <v>479</v>
      </c>
      <c r="B8" s="869" t="s">
        <v>1543</v>
      </c>
      <c r="C8" s="870"/>
      <c r="D8" s="868" t="s">
        <v>522</v>
      </c>
      <c r="E8" s="867" t="s">
        <v>1015</v>
      </c>
      <c r="F8" s="1932">
        <f>'Expenditures 15-22'!K114</f>
        <v>4868909</v>
      </c>
      <c r="G8" s="864"/>
    </row>
    <row r="9" spans="1:7" x14ac:dyDescent="0.2">
      <c r="A9" s="868" t="s">
        <v>480</v>
      </c>
      <c r="B9" s="869" t="s">
        <v>1988</v>
      </c>
      <c r="C9" s="870"/>
      <c r="D9" s="868" t="s">
        <v>522</v>
      </c>
      <c r="E9" s="867"/>
      <c r="F9" s="1933">
        <f>'Expenditures 15-22'!K151</f>
        <v>507862</v>
      </c>
      <c r="G9" s="871"/>
    </row>
    <row r="10" spans="1:7" x14ac:dyDescent="0.2">
      <c r="A10" s="868" t="s">
        <v>520</v>
      </c>
      <c r="B10" s="869" t="s">
        <v>1989</v>
      </c>
      <c r="C10" s="870"/>
      <c r="D10" s="868" t="s">
        <v>522</v>
      </c>
      <c r="E10" s="867"/>
      <c r="F10" s="1933">
        <f>'Expenditures 15-22'!K174</f>
        <v>1081173</v>
      </c>
      <c r="G10" s="871"/>
    </row>
    <row r="11" spans="1:7" x14ac:dyDescent="0.2">
      <c r="A11" s="868" t="s">
        <v>481</v>
      </c>
      <c r="B11" s="869" t="s">
        <v>1990</v>
      </c>
      <c r="C11" s="870"/>
      <c r="D11" s="868" t="s">
        <v>522</v>
      </c>
      <c r="E11" s="867"/>
      <c r="F11" s="1933">
        <f>'Expenditures 15-22'!K210</f>
        <v>462266</v>
      </c>
      <c r="G11" s="871"/>
    </row>
    <row r="12" spans="1:7" x14ac:dyDescent="0.2">
      <c r="A12" s="868" t="s">
        <v>482</v>
      </c>
      <c r="B12" s="869" t="s">
        <v>1991</v>
      </c>
      <c r="C12" s="870"/>
      <c r="D12" s="868" t="s">
        <v>522</v>
      </c>
      <c r="E12" s="867"/>
      <c r="F12" s="1933">
        <f>'Expenditures 15-22'!K295</f>
        <v>186784</v>
      </c>
      <c r="G12" s="871"/>
    </row>
    <row r="13" spans="1:7" x14ac:dyDescent="0.2">
      <c r="A13" s="868" t="s">
        <v>108</v>
      </c>
      <c r="B13" s="869" t="s">
        <v>1992</v>
      </c>
      <c r="C13" s="870"/>
      <c r="D13" s="868" t="s">
        <v>522</v>
      </c>
      <c r="E13" s="867"/>
      <c r="F13" s="1933">
        <f>'Expenditures 15-22'!K342</f>
        <v>250886</v>
      </c>
      <c r="G13" s="872"/>
    </row>
    <row r="14" spans="1:7" ht="12" customHeight="1" thickBot="1" x14ac:dyDescent="0.25">
      <c r="A14" s="1790"/>
      <c r="B14" s="1791"/>
      <c r="C14" s="1792"/>
      <c r="D14" s="1793" t="s">
        <v>522</v>
      </c>
      <c r="E14" s="1794" t="s">
        <v>1015</v>
      </c>
      <c r="F14" s="1795">
        <f>SUM(F8:F13)</f>
        <v>7357880</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1682</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1544</v>
      </c>
      <c r="C34" s="885" t="str">
        <f>'Expenditures 15-22'!B7</f>
        <v>1125</v>
      </c>
      <c r="D34" s="886" t="str">
        <f>'Expenditures 15-22'!A7</f>
        <v>Pre-K Programs</v>
      </c>
      <c r="E34" s="867"/>
      <c r="F34" s="1937">
        <f>'Expenditures 15-22'!K7-SUM('Expenditures 15-22'!G7,'Expenditures 15-22'!I7)</f>
        <v>54245</v>
      </c>
      <c r="G34" s="864"/>
    </row>
    <row r="35" spans="1:7" x14ac:dyDescent="0.2">
      <c r="A35" s="868" t="s">
        <v>479</v>
      </c>
      <c r="B35" s="868" t="s">
        <v>1545</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1546</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1547</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3880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28145</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1548</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1549</v>
      </c>
      <c r="C52" s="888" t="str">
        <f>'Expenditures 15-22'!B75</f>
        <v>3000</v>
      </c>
      <c r="D52" s="887" t="s">
        <v>469</v>
      </c>
      <c r="E52" s="867"/>
      <c r="F52" s="1937">
        <f>'Expenditures 15-22'!K75-SUM('Expenditures 15-22'!G75,'Expenditures 15-22'!I75)</f>
        <v>27035</v>
      </c>
      <c r="G52" s="864"/>
    </row>
    <row r="53" spans="1:7" x14ac:dyDescent="0.2">
      <c r="A53" s="868" t="s">
        <v>479</v>
      </c>
      <c r="B53" s="868" t="s">
        <v>1550</v>
      </c>
      <c r="C53" s="888">
        <f>'Expenditures 15-22'!B102</f>
        <v>4000</v>
      </c>
      <c r="D53" s="887" t="str">
        <f>'Expenditures 15-22'!A102</f>
        <v>Total Payments to Other Govt Units</v>
      </c>
      <c r="E53" s="867"/>
      <c r="F53" s="1937">
        <f>'Expenditures 15-22'!K102</f>
        <v>299255</v>
      </c>
      <c r="G53" s="864"/>
    </row>
    <row r="54" spans="1:7" x14ac:dyDescent="0.2">
      <c r="A54" s="868" t="s">
        <v>479</v>
      </c>
      <c r="B54" s="868" t="s">
        <v>1551</v>
      </c>
      <c r="C54" s="888" t="s">
        <v>1039</v>
      </c>
      <c r="D54" s="884" t="s">
        <v>1157</v>
      </c>
      <c r="E54" s="867"/>
      <c r="F54" s="1937">
        <f>'Expenditures 15-22'!G114</f>
        <v>26881</v>
      </c>
      <c r="G54" s="864"/>
    </row>
    <row r="55" spans="1:7" x14ac:dyDescent="0.2">
      <c r="A55" s="868" t="s">
        <v>479</v>
      </c>
      <c r="B55" s="868" t="s">
        <v>1552</v>
      </c>
      <c r="C55" s="888" t="s">
        <v>1039</v>
      </c>
      <c r="D55" s="884" t="s">
        <v>309</v>
      </c>
      <c r="E55" s="867"/>
      <c r="F55" s="1937">
        <f>'Expenditures 15-22'!I114</f>
        <v>0</v>
      </c>
      <c r="G55" s="864"/>
    </row>
    <row r="56" spans="1:7" x14ac:dyDescent="0.2">
      <c r="A56" s="868" t="s">
        <v>480</v>
      </c>
      <c r="B56" s="868" t="s">
        <v>1553</v>
      </c>
      <c r="C56" s="885" t="str">
        <f>'Expenditures 15-22'!B130</f>
        <v>3000</v>
      </c>
      <c r="D56" s="891" t="s">
        <v>469</v>
      </c>
      <c r="E56" s="867"/>
      <c r="F56" s="1937">
        <f>'Expenditures 15-22'!K130-SUM('Expenditures 15-22'!G130+'Expenditures 15-22'!I130)</f>
        <v>0</v>
      </c>
      <c r="G56" s="864"/>
    </row>
    <row r="57" spans="1:7" x14ac:dyDescent="0.2">
      <c r="A57" s="868" t="s">
        <v>480</v>
      </c>
      <c r="B57" s="868" t="s">
        <v>1993</v>
      </c>
      <c r="C57" s="888">
        <f>'Expenditures 15-22'!B139</f>
        <v>4000</v>
      </c>
      <c r="D57" s="886" t="str">
        <f>'Expenditures 15-22'!A139</f>
        <v>Total Payments to Other Govt Units</v>
      </c>
      <c r="E57" s="867"/>
      <c r="F57" s="1937">
        <f>'Expenditures 15-22'!K139</f>
        <v>1117</v>
      </c>
      <c r="G57" s="864"/>
    </row>
    <row r="58" spans="1:7" x14ac:dyDescent="0.2">
      <c r="A58" s="868" t="s">
        <v>480</v>
      </c>
      <c r="B58" s="868" t="s">
        <v>1994</v>
      </c>
      <c r="C58" s="885" t="s">
        <v>1039</v>
      </c>
      <c r="D58" s="884" t="s">
        <v>1157</v>
      </c>
      <c r="E58" s="867"/>
      <c r="F58" s="1939">
        <f>'Expenditures 15-22'!G151</f>
        <v>3032</v>
      </c>
      <c r="G58" s="864"/>
    </row>
    <row r="59" spans="1:7" x14ac:dyDescent="0.2">
      <c r="A59" s="892" t="s">
        <v>480</v>
      </c>
      <c r="B59" s="855" t="s">
        <v>1995</v>
      </c>
      <c r="C59" s="893" t="s">
        <v>1039</v>
      </c>
      <c r="D59" s="855" t="s">
        <v>309</v>
      </c>
      <c r="F59" s="1940">
        <f>'Expenditures 15-22'!I151</f>
        <v>0</v>
      </c>
      <c r="G59" s="864"/>
    </row>
    <row r="60" spans="1:7" x14ac:dyDescent="0.2">
      <c r="A60" s="892" t="s">
        <v>520</v>
      </c>
      <c r="B60" s="855" t="s">
        <v>1996</v>
      </c>
      <c r="C60" s="893">
        <v>4000</v>
      </c>
      <c r="D60" s="855" t="s">
        <v>330</v>
      </c>
      <c r="F60" s="1938">
        <f>'Expenditures 15-22'!K160</f>
        <v>0</v>
      </c>
      <c r="G60" s="864"/>
    </row>
    <row r="61" spans="1:7" x14ac:dyDescent="0.2">
      <c r="A61" s="894" t="s">
        <v>520</v>
      </c>
      <c r="B61" s="894" t="s">
        <v>1997</v>
      </c>
      <c r="C61" s="895" t="str">
        <f>'Expenditures 15-22'!B170</f>
        <v>5300</v>
      </c>
      <c r="D61" s="896" t="s">
        <v>329</v>
      </c>
      <c r="E61" s="878"/>
      <c r="F61" s="1937">
        <f>'Expenditures 15-22'!K170</f>
        <v>317933</v>
      </c>
      <c r="G61" s="864"/>
    </row>
    <row r="62" spans="1:7" x14ac:dyDescent="0.2">
      <c r="A62" s="868" t="s">
        <v>481</v>
      </c>
      <c r="B62" s="868" t="s">
        <v>1998</v>
      </c>
      <c r="C62" s="885">
        <f>'Expenditures 15-22'!B185</f>
        <v>3000</v>
      </c>
      <c r="D62" s="875" t="s">
        <v>469</v>
      </c>
      <c r="E62" s="867"/>
      <c r="F62" s="1937">
        <f>'Expenditures 15-22'!K185-SUM('Expenditures 15-22'!G185,'Expenditures 15-22'!I185)</f>
        <v>0</v>
      </c>
      <c r="G62" s="864"/>
    </row>
    <row r="63" spans="1:7" x14ac:dyDescent="0.2">
      <c r="A63" s="868" t="s">
        <v>481</v>
      </c>
      <c r="B63" s="868" t="s">
        <v>1999</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2000</v>
      </c>
      <c r="C64" s="895" t="str">
        <f>'Expenditures 15-22'!B206</f>
        <v>5300</v>
      </c>
      <c r="D64" s="891" t="s">
        <v>329</v>
      </c>
      <c r="E64" s="867"/>
      <c r="F64" s="1937">
        <f>'Expenditures 15-22'!K206</f>
        <v>0</v>
      </c>
      <c r="G64" s="864"/>
    </row>
    <row r="65" spans="1:8" x14ac:dyDescent="0.2">
      <c r="A65" s="868" t="s">
        <v>481</v>
      </c>
      <c r="B65" s="868" t="s">
        <v>2001</v>
      </c>
      <c r="C65" s="885" t="s">
        <v>1039</v>
      </c>
      <c r="D65" s="884" t="s">
        <v>1157</v>
      </c>
      <c r="E65" s="867"/>
      <c r="F65" s="1937">
        <f>'Expenditures 15-22'!G210</f>
        <v>0</v>
      </c>
      <c r="G65" s="864"/>
    </row>
    <row r="66" spans="1:8" x14ac:dyDescent="0.2">
      <c r="A66" s="868" t="s">
        <v>481</v>
      </c>
      <c r="B66" s="868" t="s">
        <v>2002</v>
      </c>
      <c r="C66" s="885" t="s">
        <v>1039</v>
      </c>
      <c r="D66" s="884" t="s">
        <v>309</v>
      </c>
      <c r="E66" s="867"/>
      <c r="F66" s="1937">
        <f>'Expenditures 15-22'!I210</f>
        <v>0</v>
      </c>
      <c r="G66" s="864"/>
    </row>
    <row r="67" spans="1:8" x14ac:dyDescent="0.2">
      <c r="A67" s="868" t="s">
        <v>482</v>
      </c>
      <c r="B67" s="868" t="s">
        <v>2003</v>
      </c>
      <c r="C67" s="885" t="str">
        <f>'Expenditures 15-22'!B216</f>
        <v>1125</v>
      </c>
      <c r="D67" s="891" t="str">
        <f>'Expenditures 15-22'!A216</f>
        <v>Pre-K Programs</v>
      </c>
      <c r="E67" s="867"/>
      <c r="F67" s="1937">
        <f>'Expenditures 15-22'!K216</f>
        <v>4474</v>
      </c>
      <c r="G67" s="864"/>
    </row>
    <row r="68" spans="1:8" x14ac:dyDescent="0.2">
      <c r="A68" s="868" t="s">
        <v>482</v>
      </c>
      <c r="B68" s="868" t="s">
        <v>1554</v>
      </c>
      <c r="C68" s="885" t="str">
        <f>'Expenditures 15-22'!B218</f>
        <v>1225</v>
      </c>
      <c r="D68" s="891" t="str">
        <f>'Expenditures 15-22'!A218</f>
        <v>Special Education Programs - Pre-K</v>
      </c>
      <c r="E68" s="867"/>
      <c r="F68" s="1937">
        <f>'Expenditures 15-22'!K218</f>
        <v>0</v>
      </c>
      <c r="G68" s="864"/>
    </row>
    <row r="69" spans="1:8" x14ac:dyDescent="0.2">
      <c r="A69" s="868" t="s">
        <v>482</v>
      </c>
      <c r="B69" s="868" t="s">
        <v>2004</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2005</v>
      </c>
      <c r="C70" s="885">
        <f>'Expenditures 15-22'!B221</f>
        <v>1300</v>
      </c>
      <c r="D70" s="886" t="str">
        <f>'Expenditures 15-22'!A221</f>
        <v>Adult/Continuing Education Programs</v>
      </c>
      <c r="E70" s="867"/>
      <c r="F70" s="1937">
        <f>'Expenditures 15-22'!K221</f>
        <v>0</v>
      </c>
      <c r="G70" s="864"/>
    </row>
    <row r="71" spans="1:8" x14ac:dyDescent="0.2">
      <c r="A71" s="868" t="s">
        <v>482</v>
      </c>
      <c r="B71" s="868" t="s">
        <v>2006</v>
      </c>
      <c r="C71" s="885">
        <f>'Expenditures 15-22'!B224</f>
        <v>1600</v>
      </c>
      <c r="D71" s="886" t="str">
        <f>'Expenditures 15-22'!A224</f>
        <v>Summer School Programs</v>
      </c>
      <c r="E71" s="867"/>
      <c r="F71" s="1937">
        <f>'Expenditures 15-22'!K224</f>
        <v>0</v>
      </c>
      <c r="G71" s="864"/>
    </row>
    <row r="72" spans="1:8" x14ac:dyDescent="0.2">
      <c r="A72" s="868" t="s">
        <v>482</v>
      </c>
      <c r="B72" s="868" t="s">
        <v>2007</v>
      </c>
      <c r="C72" s="885">
        <f>'Expenditures 15-22'!B280</f>
        <v>3000</v>
      </c>
      <c r="D72" s="875" t="s">
        <v>469</v>
      </c>
      <c r="E72" s="867"/>
      <c r="F72" s="1937">
        <f>'Expenditures 15-22'!K280</f>
        <v>3859</v>
      </c>
      <c r="G72" s="864"/>
    </row>
    <row r="73" spans="1:8" x14ac:dyDescent="0.2">
      <c r="A73" s="868" t="s">
        <v>482</v>
      </c>
      <c r="B73" s="868" t="s">
        <v>2008</v>
      </c>
      <c r="C73" s="885" t="str">
        <f>'Expenditures 15-22'!B285</f>
        <v>4000</v>
      </c>
      <c r="D73" s="886" t="str">
        <f>'Expenditures 15-22'!A285</f>
        <v>Total Payments to Other Govt Units</v>
      </c>
      <c r="E73" s="867"/>
      <c r="F73" s="1937">
        <f>'Expenditures 15-22'!K285</f>
        <v>4150</v>
      </c>
      <c r="G73" s="864"/>
    </row>
    <row r="74" spans="1:8" x14ac:dyDescent="0.2">
      <c r="A74" s="868" t="s">
        <v>456</v>
      </c>
      <c r="B74" s="868" t="s">
        <v>2009</v>
      </c>
      <c r="C74" s="885" t="s">
        <v>915</v>
      </c>
      <c r="D74" s="886" t="s">
        <v>1566</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2010</v>
      </c>
      <c r="E76" s="1794" t="s">
        <v>1015</v>
      </c>
      <c r="F76" s="1798">
        <f>SUM(F18:F74)</f>
        <v>774006</v>
      </c>
      <c r="G76" s="864"/>
    </row>
    <row r="77" spans="1:8" s="892" customFormat="1" ht="12" customHeight="1" thickTop="1" thickBot="1" x14ac:dyDescent="0.25">
      <c r="A77" s="1799"/>
      <c r="B77" s="1796"/>
      <c r="C77" s="1792"/>
      <c r="D77" s="1797" t="s">
        <v>2011</v>
      </c>
      <c r="E77" s="1794"/>
      <c r="F77" s="1800">
        <f>(F14-F76)</f>
        <v>6583874</v>
      </c>
      <c r="G77" s="868"/>
    </row>
    <row r="78" spans="1:8" s="892" customFormat="1" ht="12" customHeight="1" thickTop="1" x14ac:dyDescent="0.2">
      <c r="A78" s="1801"/>
      <c r="B78" s="1796"/>
      <c r="C78" s="1792"/>
      <c r="D78" s="1797" t="s">
        <v>2058</v>
      </c>
      <c r="E78" s="1794"/>
      <c r="F78" s="897">
        <v>636.85</v>
      </c>
      <c r="G78" s="898"/>
      <c r="H78" s="868"/>
    </row>
    <row r="79" spans="1:8" s="892" customFormat="1" ht="12" customHeight="1" thickBot="1" x14ac:dyDescent="0.25">
      <c r="A79" s="1802"/>
      <c r="B79" s="1796"/>
      <c r="C79" s="1792"/>
      <c r="D79" s="1797" t="s">
        <v>2012</v>
      </c>
      <c r="E79" s="1794" t="s">
        <v>1015</v>
      </c>
      <c r="F79" s="1803">
        <f>IF(F78&gt;0,F77/F78," Complete Line 78")</f>
        <v>10338.18638611918</v>
      </c>
      <c r="G79" s="868"/>
    </row>
    <row r="80" spans="1:8" s="892" customFormat="1" ht="8.25" customHeight="1" thickTop="1" x14ac:dyDescent="0.2">
      <c r="A80" s="899"/>
      <c r="B80" s="868"/>
      <c r="C80" s="870"/>
      <c r="D80" s="900"/>
      <c r="E80" s="867"/>
      <c r="F80" s="901"/>
      <c r="G80" s="868"/>
    </row>
    <row r="81" spans="1:7" s="892" customFormat="1" ht="12" thickBot="1" x14ac:dyDescent="0.25">
      <c r="A81" s="2275" t="s">
        <v>1167</v>
      </c>
      <c r="B81" s="2276"/>
      <c r="C81" s="2276"/>
      <c r="D81" s="2276"/>
      <c r="E81" s="2276"/>
      <c r="F81" s="2277"/>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191890</v>
      </c>
      <c r="G94" s="911"/>
    </row>
    <row r="95" spans="1:7" x14ac:dyDescent="0.2">
      <c r="A95" s="907" t="s">
        <v>142</v>
      </c>
      <c r="B95" s="907" t="s">
        <v>177</v>
      </c>
      <c r="C95" s="909">
        <v>1700</v>
      </c>
      <c r="D95" s="917" t="str">
        <f>'Revenues 9-14'!A82</f>
        <v>Total District/School Activity Income</v>
      </c>
      <c r="E95" s="905"/>
      <c r="F95" s="1809">
        <f>SUM('Revenues 9-14'!C82,'Revenues 9-14'!D82)</f>
        <v>96534</v>
      </c>
      <c r="G95" s="911"/>
    </row>
    <row r="96" spans="1:7" x14ac:dyDescent="0.2">
      <c r="A96" s="907" t="s">
        <v>479</v>
      </c>
      <c r="B96" s="907" t="s">
        <v>178</v>
      </c>
      <c r="C96" s="909">
        <f>'Revenues 9-14'!B84</f>
        <v>1811</v>
      </c>
      <c r="D96" s="910" t="str">
        <f>'Revenues 9-14'!A84</f>
        <v>Rentals - Regular Textbooks</v>
      </c>
      <c r="E96" s="905"/>
      <c r="F96" s="1809">
        <f>'Revenues 9-14'!C84</f>
        <v>42010</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3813</v>
      </c>
      <c r="G103" s="911"/>
    </row>
    <row r="104" spans="1:7" x14ac:dyDescent="0.2">
      <c r="A104" s="907" t="s">
        <v>479</v>
      </c>
      <c r="B104" s="907" t="s">
        <v>841</v>
      </c>
      <c r="C104" s="909">
        <f>'Revenues 9-14'!B106</f>
        <v>1993</v>
      </c>
      <c r="D104" s="910" t="str">
        <f>'Revenues 9-14'!A106</f>
        <v>Other Local Fees (Describe &amp; Itemize)</v>
      </c>
      <c r="E104" s="905"/>
      <c r="F104" s="1809">
        <f>('Revenues 9-14'!C106)</f>
        <v>32141</v>
      </c>
      <c r="G104" s="911"/>
    </row>
    <row r="105" spans="1:7" x14ac:dyDescent="0.2">
      <c r="A105" s="907" t="s">
        <v>524</v>
      </c>
      <c r="B105" s="907" t="s">
        <v>842</v>
      </c>
      <c r="C105" s="912">
        <v>3100</v>
      </c>
      <c r="D105" s="918" t="str">
        <f>'Revenues 9-14'!A131</f>
        <v>Total Special Education</v>
      </c>
      <c r="E105" s="905"/>
      <c r="F105" s="1809">
        <f>SUM('Revenues 9-14'!C131:D131,'Revenues 9-14'!F131)</f>
        <v>111171</v>
      </c>
      <c r="G105" s="911"/>
    </row>
    <row r="106" spans="1:7" x14ac:dyDescent="0.2">
      <c r="A106" s="907" t="s">
        <v>694</v>
      </c>
      <c r="B106" s="907" t="s">
        <v>1482</v>
      </c>
      <c r="C106" s="919">
        <v>3200</v>
      </c>
      <c r="D106" s="910" t="str">
        <f>'Revenues 9-14'!A140</f>
        <v>Total Career and Technical Education</v>
      </c>
      <c r="E106" s="905"/>
      <c r="F106" s="1809">
        <f>SUM('Revenues 9-14'!C140,'Revenues 9-14'!D140,'Revenues 9-14'!G140)</f>
        <v>16629</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516</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7995</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279047</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750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46212</v>
      </c>
      <c r="G129" s="929"/>
    </row>
    <row r="130" spans="1:7" x14ac:dyDescent="0.2">
      <c r="A130" s="926" t="s">
        <v>689</v>
      </c>
      <c r="B130" s="926" t="s">
        <v>804</v>
      </c>
      <c r="C130" s="931">
        <v>4300</v>
      </c>
      <c r="D130" s="932" t="str">
        <f>'Revenues 9-14'!A211</f>
        <v>Total Title I</v>
      </c>
      <c r="E130" s="905"/>
      <c r="F130" s="1809">
        <f>SUM('Revenues 9-14'!C211,'Revenues 9-14'!D211,'Revenues 9-14'!F211,'Revenues 9-14'!G211)</f>
        <v>87042</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15895</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588</v>
      </c>
      <c r="G136" s="929">
        <v>6303</v>
      </c>
    </row>
    <row r="137" spans="1:7" s="866" customFormat="1" hidden="1" x14ac:dyDescent="0.2">
      <c r="A137" s="933" t="s">
        <v>215</v>
      </c>
      <c r="B137" s="933" t="s">
        <v>1483</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1484</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1485</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1486</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1487</v>
      </c>
      <c r="C150" s="934" t="s">
        <v>236</v>
      </c>
      <c r="D150" s="935" t="str">
        <f>'Revenues 9-14'!A247</f>
        <v>Build America Bond Interest Reimbursement</v>
      </c>
      <c r="E150" s="936"/>
      <c r="F150" s="1809">
        <f>SUM('Revenues 9-14'!C247:G247,'Revenues 9-14'!J247)</f>
        <v>143988</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1488</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1563</v>
      </c>
      <c r="C161" s="939" t="s">
        <v>896</v>
      </c>
      <c r="D161" s="940" t="s">
        <v>808</v>
      </c>
      <c r="E161" s="941"/>
      <c r="F161" s="1809">
        <f>SUM(F137:F160)</f>
        <v>143988</v>
      </c>
      <c r="G161" s="904"/>
    </row>
    <row r="162" spans="1:7" s="866" customFormat="1" x14ac:dyDescent="0.2">
      <c r="A162" s="937" t="s">
        <v>479</v>
      </c>
      <c r="B162" s="938" t="s">
        <v>1500</v>
      </c>
      <c r="C162" s="939" t="s">
        <v>1498</v>
      </c>
      <c r="D162" s="940" t="s">
        <v>1499</v>
      </c>
      <c r="E162" s="941"/>
      <c r="F162" s="1809">
        <f>SUM('Revenues 9-14'!C260)</f>
        <v>0</v>
      </c>
      <c r="G162" s="904"/>
    </row>
    <row r="163" spans="1:7" s="866" customFormat="1" x14ac:dyDescent="0.2">
      <c r="A163" s="937" t="s">
        <v>521</v>
      </c>
      <c r="B163" s="938" t="s">
        <v>1540</v>
      </c>
      <c r="C163" s="939" t="s">
        <v>1541</v>
      </c>
      <c r="D163" s="940" t="s">
        <v>1542</v>
      </c>
      <c r="E163" s="941"/>
      <c r="F163" s="1809">
        <f>SUM('Revenues 9-14'!C261:H261,'Revenues 9-14'!J261:K261)</f>
        <v>0</v>
      </c>
      <c r="G163" s="904"/>
    </row>
    <row r="164" spans="1:7" x14ac:dyDescent="0.2">
      <c r="A164" s="926" t="s">
        <v>1067</v>
      </c>
      <c r="B164" s="926" t="s">
        <v>1555</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1501</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1556</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10989</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6123</v>
      </c>
      <c r="G172" s="946">
        <v>6320</v>
      </c>
    </row>
    <row r="173" spans="1:7" x14ac:dyDescent="0.2">
      <c r="A173" s="926" t="s">
        <v>689</v>
      </c>
      <c r="B173" s="926" t="s">
        <v>1502</v>
      </c>
      <c r="C173" s="931">
        <f>'Revenues 9-14'!B271</f>
        <v>4992</v>
      </c>
      <c r="D173" s="932" t="str">
        <f>'Revenues 9-14'!A271</f>
        <v>Medicaid Matching Funds - Fee-for-Service Program</v>
      </c>
      <c r="E173" s="905"/>
      <c r="F173" s="1809">
        <f>SUM('Revenues 9-14'!C271:D271,'Revenues 9-14'!F271:G271)</f>
        <v>61814</v>
      </c>
      <c r="G173" s="946"/>
    </row>
    <row r="174" spans="1:7" x14ac:dyDescent="0.2">
      <c r="A174" s="947" t="s">
        <v>689</v>
      </c>
      <c r="B174" s="943" t="s">
        <v>1557</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2057</v>
      </c>
      <c r="C175" s="1944">
        <v>3100</v>
      </c>
      <c r="D175" s="1945" t="s">
        <v>2060</v>
      </c>
      <c r="E175" s="905"/>
      <c r="F175" s="1929">
        <v>150865.82</v>
      </c>
      <c r="G175" s="926"/>
    </row>
    <row r="176" spans="1:7" x14ac:dyDescent="0.2">
      <c r="A176" s="1942" t="s">
        <v>685</v>
      </c>
      <c r="B176" s="1943" t="s">
        <v>2057</v>
      </c>
      <c r="C176" s="1944">
        <v>3300</v>
      </c>
      <c r="D176" s="1945" t="s">
        <v>2061</v>
      </c>
      <c r="E176" s="905"/>
      <c r="F176" s="1929">
        <v>2.2599999999999998</v>
      </c>
      <c r="G176" s="926"/>
    </row>
    <row r="177" spans="1:7" ht="6" customHeight="1" x14ac:dyDescent="0.2">
      <c r="A177" s="926"/>
      <c r="B177" s="926"/>
      <c r="C177" s="948"/>
      <c r="D177" s="926"/>
      <c r="E177" s="905"/>
      <c r="F177" s="949"/>
      <c r="G177" s="946"/>
    </row>
    <row r="178" spans="1:7" x14ac:dyDescent="0.2">
      <c r="A178" s="1790"/>
      <c r="B178" s="1804"/>
      <c r="C178" s="1805"/>
      <c r="D178" s="1806" t="s">
        <v>2013</v>
      </c>
      <c r="E178" s="1807" t="s">
        <v>1015</v>
      </c>
      <c r="F178" s="1808">
        <f>SUM(F84:F136,F161:F176)</f>
        <v>1306015.08</v>
      </c>
    </row>
    <row r="179" spans="1:7" ht="12" customHeight="1" x14ac:dyDescent="0.2">
      <c r="A179" s="1790"/>
      <c r="B179" s="1804"/>
      <c r="C179" s="1805"/>
      <c r="D179" s="1806" t="s">
        <v>2014</v>
      </c>
      <c r="E179" s="1807"/>
      <c r="F179" s="1809">
        <f>'PCTC-OEPP 27-28'!F77-F178</f>
        <v>5277858.92</v>
      </c>
    </row>
    <row r="180" spans="1:7" ht="12" customHeight="1" x14ac:dyDescent="0.2">
      <c r="A180" s="1790"/>
      <c r="B180" s="1804"/>
      <c r="C180" s="1805"/>
      <c r="D180" s="1806" t="s">
        <v>1923</v>
      </c>
      <c r="E180" s="1807"/>
      <c r="F180" s="1809">
        <f>'Cap Outlay Deprec 26'!I18</f>
        <v>520012</v>
      </c>
    </row>
    <row r="181" spans="1:7" ht="12" customHeight="1" x14ac:dyDescent="0.2">
      <c r="A181" s="1790"/>
      <c r="B181" s="1804"/>
      <c r="C181" s="1805"/>
      <c r="D181" s="1806" t="s">
        <v>2015</v>
      </c>
      <c r="E181" s="1807"/>
      <c r="F181" s="1809">
        <f>F179+F180</f>
        <v>5797870.9199999999</v>
      </c>
    </row>
    <row r="182" spans="1:7" ht="12" customHeight="1" x14ac:dyDescent="0.2">
      <c r="A182" s="1790"/>
      <c r="B182" s="1810"/>
      <c r="C182" s="1805"/>
      <c r="D182" s="1806" t="str">
        <f>D78</f>
        <v>9 Month ADA from District Average Daily Attendance/Prior General State Aid Inquiry 2017-2018</v>
      </c>
      <c r="E182" s="1807"/>
      <c r="F182" s="1811">
        <f>'PCTC-OEPP 27-28'!F78</f>
        <v>636.85</v>
      </c>
      <c r="G182" s="929"/>
    </row>
    <row r="183" spans="1:7" ht="12" customHeight="1" thickBot="1" x14ac:dyDescent="0.25">
      <c r="A183" s="1790"/>
      <c r="B183" s="1810"/>
      <c r="C183" s="1805"/>
      <c r="D183" s="1806" t="s">
        <v>2016</v>
      </c>
      <c r="E183" s="1807" t="s">
        <v>1625</v>
      </c>
      <c r="F183" s="1812">
        <f>F181/F182</f>
        <v>9103.981973777185</v>
      </c>
      <c r="G183" s="855">
        <v>6323</v>
      </c>
    </row>
    <row r="184" spans="1:7" ht="12" thickTop="1" x14ac:dyDescent="0.2">
      <c r="B184" s="929"/>
      <c r="C184" s="948"/>
      <c r="D184" s="929"/>
      <c r="E184" s="948"/>
      <c r="F184" s="929"/>
      <c r="G184" s="950">
        <v>6326</v>
      </c>
    </row>
    <row r="185" spans="1:7" ht="12.2" customHeight="1" x14ac:dyDescent="0.2">
      <c r="A185" s="929" t="s">
        <v>2059</v>
      </c>
      <c r="B185" s="929"/>
      <c r="C185" s="948"/>
      <c r="D185" s="929"/>
      <c r="E185" s="948"/>
      <c r="F185" s="929"/>
      <c r="G185" s="929"/>
    </row>
    <row r="186" spans="1:7" s="1946" customFormat="1" ht="12.2" customHeight="1" x14ac:dyDescent="0.2">
      <c r="A186" s="1946" t="s">
        <v>2064</v>
      </c>
      <c r="B186" s="1947"/>
      <c r="C186" s="1948"/>
      <c r="D186" s="1947"/>
      <c r="E186" s="1948"/>
      <c r="F186" s="1947"/>
      <c r="G186" s="1947"/>
    </row>
    <row r="187" spans="1:7" s="1946" customFormat="1" ht="12.2" customHeight="1" x14ac:dyDescent="0.2">
      <c r="A187" s="1949" t="s">
        <v>2065</v>
      </c>
      <c r="C187" s="1948"/>
      <c r="D187" s="1947"/>
      <c r="E187" s="1948"/>
      <c r="F187" s="1947"/>
      <c r="G187" s="1947"/>
    </row>
    <row r="188" spans="1:7" ht="12" customHeight="1" x14ac:dyDescent="0.2">
      <c r="C188" s="948"/>
      <c r="D188" s="929"/>
      <c r="E188" s="948"/>
      <c r="F188" s="929"/>
      <c r="G188" s="929"/>
    </row>
    <row r="189" spans="1:7" x14ac:dyDescent="0.2">
      <c r="A189" s="1950" t="s">
        <v>2063</v>
      </c>
      <c r="B189" s="1951" t="s">
        <v>2062</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1939</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9" t="s">
        <v>1924</v>
      </c>
      <c r="B4" s="2290"/>
      <c r="C4" s="2290"/>
      <c r="D4" s="2290"/>
      <c r="E4" s="2290"/>
      <c r="F4" s="2290"/>
      <c r="G4" s="2291"/>
    </row>
    <row r="5" spans="1:7" x14ac:dyDescent="0.25">
      <c r="A5" s="2292"/>
      <c r="B5" s="2293"/>
      <c r="C5" s="2293"/>
      <c r="D5" s="2293"/>
      <c r="E5" s="2293"/>
      <c r="F5" s="2293"/>
      <c r="G5" s="2294"/>
    </row>
    <row r="6" spans="1:7" ht="18.75" x14ac:dyDescent="0.25">
      <c r="A6" s="1554" t="s">
        <v>1925</v>
      </c>
      <c r="B6" s="1555"/>
      <c r="C6" s="1555"/>
      <c r="D6" s="1555"/>
      <c r="E6" s="1555"/>
      <c r="F6" s="1555"/>
      <c r="G6" s="1556"/>
    </row>
    <row r="7" spans="1:7" ht="30.75" customHeight="1" x14ac:dyDescent="0.25">
      <c r="A7" s="2295" t="s">
        <v>2074</v>
      </c>
      <c r="B7" s="2296"/>
      <c r="C7" s="2296"/>
      <c r="D7" s="2296"/>
      <c r="E7" s="2296"/>
      <c r="F7" s="2296"/>
      <c r="G7" s="2297"/>
    </row>
    <row r="8" spans="1:7" ht="15.75" customHeight="1" x14ac:dyDescent="0.25">
      <c r="A8" s="2298" t="s">
        <v>2023</v>
      </c>
      <c r="B8" s="2299"/>
      <c r="C8" s="2299"/>
      <c r="D8" s="2299"/>
      <c r="E8" s="2299"/>
      <c r="F8" s="2299"/>
      <c r="G8" s="2300"/>
    </row>
    <row r="9" spans="1:7" ht="35.25" customHeight="1" x14ac:dyDescent="0.25">
      <c r="A9" s="2295" t="s">
        <v>2022</v>
      </c>
      <c r="B9" s="2296"/>
      <c r="C9" s="2296"/>
      <c r="D9" s="2296"/>
      <c r="E9" s="2296"/>
      <c r="F9" s="2296"/>
      <c r="G9" s="2297"/>
    </row>
    <row r="10" spans="1:7" ht="15" customHeight="1" x14ac:dyDescent="0.25">
      <c r="A10" s="1557" t="s">
        <v>1926</v>
      </c>
      <c r="B10" s="1558"/>
      <c r="C10" s="1558"/>
      <c r="D10" s="1558"/>
      <c r="E10" s="1558"/>
      <c r="F10" s="1558"/>
      <c r="G10" s="1559"/>
    </row>
    <row r="11" spans="1:7" ht="17.25" customHeight="1" x14ac:dyDescent="0.25">
      <c r="A11" s="2295" t="s">
        <v>1940</v>
      </c>
      <c r="B11" s="2296"/>
      <c r="C11" s="2296"/>
      <c r="D11" s="2296"/>
      <c r="E11" s="2296"/>
      <c r="F11" s="2296"/>
      <c r="G11" s="2297"/>
    </row>
    <row r="12" spans="1:7" ht="15" customHeight="1" x14ac:dyDescent="0.25">
      <c r="A12" s="1557" t="s">
        <v>1931</v>
      </c>
      <c r="B12" s="1558"/>
      <c r="C12" s="1558"/>
      <c r="D12" s="1558"/>
      <c r="E12" s="1558"/>
      <c r="F12" s="1558"/>
      <c r="G12" s="1559"/>
    </row>
    <row r="13" spans="1:7" ht="32.25" customHeight="1" x14ac:dyDescent="0.25">
      <c r="A13" s="2286" t="s">
        <v>1932</v>
      </c>
      <c r="B13" s="2287"/>
      <c r="C13" s="2287"/>
      <c r="D13" s="2287"/>
      <c r="E13" s="2287"/>
      <c r="F13" s="2287"/>
      <c r="G13" s="2288"/>
    </row>
    <row r="14" spans="1:7" x14ac:dyDescent="0.25">
      <c r="A14" s="1681" t="s">
        <v>1941</v>
      </c>
      <c r="B14" s="1682"/>
      <c r="C14" s="1682"/>
      <c r="D14" s="1682"/>
      <c r="E14" s="1682"/>
      <c r="F14" s="1682"/>
      <c r="G14" s="1683"/>
    </row>
    <row r="15" spans="1:7" ht="61.5" customHeight="1" x14ac:dyDescent="0.25">
      <c r="A15" s="1566" t="s">
        <v>1933</v>
      </c>
      <c r="B15" s="1566" t="s">
        <v>1934</v>
      </c>
      <c r="C15" s="1566" t="s">
        <v>1935</v>
      </c>
      <c r="D15" s="1567" t="s">
        <v>1936</v>
      </c>
      <c r="E15" s="1567" t="s">
        <v>1927</v>
      </c>
      <c r="F15" s="1567" t="s">
        <v>1937</v>
      </c>
      <c r="G15" s="1567" t="s">
        <v>1938</v>
      </c>
    </row>
    <row r="16" spans="1:7" x14ac:dyDescent="0.25">
      <c r="A16" s="1668" t="s">
        <v>1942</v>
      </c>
      <c r="B16" s="1669" t="s">
        <v>1930</v>
      </c>
      <c r="C16" s="1670" t="s">
        <v>1928</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675"/>
      <c r="B17" s="1866"/>
      <c r="C17" s="1676"/>
      <c r="D17" s="1865"/>
      <c r="E17" s="1560">
        <f t="shared" ref="E17:E141" si="1">IF(D17&lt;=25000,D17,IF(D17&gt;25000,25000,0))</f>
        <v>0</v>
      </c>
      <c r="F17" s="1813">
        <f t="shared" si="0"/>
        <v>0</v>
      </c>
      <c r="G17" s="1814">
        <f>IF(F17=0,0,D17-F17)</f>
        <v>0</v>
      </c>
      <c r="H17" s="1667"/>
    </row>
    <row r="18" spans="1:8" x14ac:dyDescent="0.25">
      <c r="A18" s="1958" t="s">
        <v>2125</v>
      </c>
      <c r="B18" s="1957" t="s">
        <v>2124</v>
      </c>
      <c r="C18" s="1956" t="s">
        <v>2123</v>
      </c>
      <c r="D18" s="1959">
        <f>432487-1529-39620.17</f>
        <v>391337.83</v>
      </c>
      <c r="E18" s="1560">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366337.83</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391337.83</v>
      </c>
      <c r="E141" s="1561">
        <f t="shared" si="1"/>
        <v>25000</v>
      </c>
      <c r="F141" s="1815">
        <f>SUM(F17:F140)</f>
        <v>25000</v>
      </c>
      <c r="G141" s="1816">
        <f>SUM(G17:G140)</f>
        <v>366337.83</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1422</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1" t="s">
        <v>1777</v>
      </c>
      <c r="B5" s="2302"/>
      <c r="C5" s="2302"/>
      <c r="D5" s="2302"/>
      <c r="E5" s="2302"/>
      <c r="F5" s="2302"/>
      <c r="G5" s="2303"/>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2075</v>
      </c>
      <c r="B10" s="970"/>
      <c r="C10" s="975"/>
      <c r="D10" s="971"/>
      <c r="E10" s="972">
        <v>119720</v>
      </c>
      <c r="F10" s="973"/>
      <c r="G10" s="974"/>
      <c r="H10" s="162"/>
      <c r="I10" s="162"/>
    </row>
    <row r="11" spans="1:9" s="667" customFormat="1" ht="22.5" customHeight="1" x14ac:dyDescent="0.2">
      <c r="A11" s="2306" t="s">
        <v>1944</v>
      </c>
      <c r="B11" s="2307"/>
      <c r="C11" s="2307"/>
      <c r="D11" s="2308"/>
      <c r="E11" s="976">
        <v>16826</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1442</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3670395</v>
      </c>
      <c r="F19" s="1820"/>
      <c r="G19" s="1822">
        <f>'Expenditures 15-22'!K33-SUM('Expenditures 15-22'!G33,'Expenditures 15-22'!I33)+'Expenditures 15-22'!D229</f>
        <v>3670395</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159358</v>
      </c>
      <c r="F21" s="1823"/>
      <c r="G21" s="1826">
        <f>'Expenditures 15-22'!K42-SUM('Expenditures 15-22'!G42,'Expenditures 15-22'!I42)+'Expenditures 15-22'!K120-SUM('Expenditures 15-22'!G120,'Expenditures 15-22'!I120)+'Expenditures 15-22'!K180-SUM('Expenditures 15-22'!G180,'Expenditures 15-22'!I180)+'Expenditures 15-22'!D238</f>
        <v>159358</v>
      </c>
      <c r="H21" s="986"/>
      <c r="I21" s="162"/>
    </row>
    <row r="22" spans="1:9" s="667" customFormat="1" ht="12" customHeight="1" x14ac:dyDescent="0.2">
      <c r="A22" s="993" t="s">
        <v>585</v>
      </c>
      <c r="B22" s="994"/>
      <c r="C22" s="992">
        <v>2200</v>
      </c>
      <c r="D22" s="1823"/>
      <c r="E22" s="1825">
        <f>'Expenditures 15-22'!K47-SUM('Expenditures 15-22'!G47,'Expenditures 15-22'!I47)+'Expenditures 15-22'!D243</f>
        <v>83058</v>
      </c>
      <c r="F22" s="1823"/>
      <c r="G22" s="1826">
        <f>'Expenditures 15-22'!K47-SUM('Expenditures 15-22'!G47,'Expenditures 15-22'!I47)+'Expenditures 15-22'!D243</f>
        <v>83058</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349932</v>
      </c>
      <c r="F23" s="1823"/>
      <c r="G23" s="1825">
        <f>'Expenditures 15-22'!K53-SUM('Expenditures 15-22'!G53,'Expenditures 15-22'!I53)+'Expenditures 15-22'!D257+'Expenditures 15-22'!K330-SUM('Expenditures 15-22'!G330,'Expenditures 15-22'!I330)</f>
        <v>349932</v>
      </c>
      <c r="H23" s="986"/>
      <c r="I23" s="162"/>
    </row>
    <row r="24" spans="1:9" s="667" customFormat="1" ht="12" customHeight="1" x14ac:dyDescent="0.2">
      <c r="A24" s="993" t="s">
        <v>587</v>
      </c>
      <c r="B24" s="994"/>
      <c r="C24" s="992">
        <v>2400</v>
      </c>
      <c r="D24" s="1823"/>
      <c r="E24" s="1825">
        <f>'Expenditures 15-22'!K57-SUM('Expenditures 15-22'!G57,'Expenditures 15-22'!I57)+'Expenditures 15-22'!D261</f>
        <v>287700</v>
      </c>
      <c r="F24" s="1823"/>
      <c r="G24" s="1826">
        <f>'Expenditures 15-22'!K57-SUM('Expenditures 15-22'!G57,'Expenditures 15-22'!I57)+'Expenditures 15-22'!D261</f>
        <v>287700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88279</v>
      </c>
      <c r="E27" s="1825">
        <f>E8</f>
        <v>0</v>
      </c>
      <c r="F27" s="1825">
        <f>'Expenditures 15-22'!K60-SUM('Expenditures 15-22'!G60,'Expenditures 15-22'!I60)+'Expenditures 15-22'!D264-E8</f>
        <v>88279</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562843</v>
      </c>
      <c r="F28" s="1827">
        <f>'Expenditures 15-22'!K61-SUM('Expenditures 15-22'!G61,'Expenditures 15-22'!I61)+'Expenditures 15-22'!K124-SUM('Expenditures 15-22'!G124,'Expenditures 15-22'!I124)+'Expenditures 15-22'!D266-E9</f>
        <v>562843</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462266</v>
      </c>
      <c r="F29" s="1823"/>
      <c r="G29" s="1826">
        <f>'Expenditures 15-22'!K62-SUM('Expenditures 15-22'!G62,'Expenditures 15-22'!I62)+'Expenditures 15-22'!K125-SUM('Expenditures 15-22'!G125,'Expenditures 15-22'!I125)+'Expenditures 15-22'!K182-SUM('Expenditures 15-22'!G182,'Expenditures 15-22'!I182)+'Expenditures 15-22'!D267</f>
        <v>462266</v>
      </c>
      <c r="H29" s="984"/>
    </row>
    <row r="30" spans="1:9" ht="12" customHeight="1" x14ac:dyDescent="0.2">
      <c r="A30" s="993" t="s">
        <v>102</v>
      </c>
      <c r="B30" s="996"/>
      <c r="C30" s="992">
        <v>2560</v>
      </c>
      <c r="D30" s="1823"/>
      <c r="E30" s="1825">
        <f>'Expenditures 15-22'!K63-SUM('Expenditures 15-22'!G63,'Expenditures 15-22'!I63)+'Expenditures 15-22'!D268-E10</f>
        <v>127827</v>
      </c>
      <c r="F30" s="1823"/>
      <c r="G30" s="1825">
        <f>'Expenditures 15-22'!K63-SUM('Expenditures 15-22'!G63,'Expenditures 15-22'!I63)+'Expenditures 15-22'!D268-E10</f>
        <v>127827</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30894</v>
      </c>
      <c r="F39" s="1823"/>
      <c r="G39" s="1825">
        <f>'Expenditures 15-22'!K75-SUM('Expenditures 15-22'!G75,'Expenditures 15-22'!I75)+'Expenditures 15-22'!K130-SUM('Expenditures 15-22'!G130,'Expenditures 15-22'!I130)+'Expenditures 15-22'!K185-SUM('Expenditures 15-22'!G185,'Expenditures 15-22'!I185)+'Expenditures 15-22'!D280</f>
        <v>30894</v>
      </c>
    </row>
    <row r="40" spans="1:7" ht="12" customHeight="1" x14ac:dyDescent="0.2">
      <c r="A40" s="989" t="s">
        <v>1929</v>
      </c>
      <c r="B40" s="990"/>
      <c r="C40" s="992"/>
      <c r="D40" s="1823"/>
      <c r="E40" s="1827">
        <f>-'Contracts Paid in CY 29'!G141</f>
        <v>-366337.83</v>
      </c>
      <c r="F40" s="1823"/>
      <c r="G40" s="1827">
        <f>-'Contracts Paid in CY 29'!G141</f>
        <v>-366337.83</v>
      </c>
    </row>
    <row r="41" spans="1:7" ht="12" customHeight="1" x14ac:dyDescent="0.2">
      <c r="A41" s="997" t="s">
        <v>158</v>
      </c>
      <c r="B41" s="998"/>
      <c r="C41" s="999"/>
      <c r="D41" s="1827">
        <f>SUM(D19:D39)</f>
        <v>88279</v>
      </c>
      <c r="E41" s="1827">
        <f>SUM(E19:E40)</f>
        <v>5367935.17</v>
      </c>
      <c r="F41" s="1827">
        <f>SUM(F19:F39)</f>
        <v>651122</v>
      </c>
      <c r="G41" s="1827">
        <f>SUM(G19:G40)</f>
        <v>4805092.17</v>
      </c>
    </row>
    <row r="42" spans="1:7" x14ac:dyDescent="0.2">
      <c r="A42" s="986"/>
      <c r="B42" s="162"/>
      <c r="C42" s="1000"/>
      <c r="D42" s="2304" t="s">
        <v>543</v>
      </c>
      <c r="E42" s="2305"/>
      <c r="F42" s="1001" t="s">
        <v>544</v>
      </c>
      <c r="G42" s="1002"/>
    </row>
    <row r="43" spans="1:7" ht="12" customHeight="1" x14ac:dyDescent="0.2">
      <c r="A43" s="986"/>
      <c r="B43" s="162"/>
      <c r="C43" s="1000"/>
      <c r="D43" s="1828" t="s">
        <v>493</v>
      </c>
      <c r="E43" s="1829">
        <f>D41</f>
        <v>88279</v>
      </c>
      <c r="F43" s="1828" t="s">
        <v>495</v>
      </c>
      <c r="G43" s="1829">
        <f>F41</f>
        <v>651122</v>
      </c>
    </row>
    <row r="44" spans="1:7" ht="12" customHeight="1" x14ac:dyDescent="0.2">
      <c r="A44" s="986"/>
      <c r="B44" s="162"/>
      <c r="C44" s="1000"/>
      <c r="D44" s="1828" t="s">
        <v>494</v>
      </c>
      <c r="E44" s="1829">
        <f>E41</f>
        <v>5367935.17</v>
      </c>
      <c r="F44" s="1828" t="s">
        <v>494</v>
      </c>
      <c r="G44" s="1829">
        <f>G41</f>
        <v>4805092.17</v>
      </c>
    </row>
    <row r="45" spans="1:7" ht="12" customHeight="1" x14ac:dyDescent="0.2">
      <c r="A45" s="986"/>
      <c r="B45" s="162"/>
      <c r="C45" s="162"/>
      <c r="D45" s="1830" t="s">
        <v>1063</v>
      </c>
      <c r="E45" s="1831">
        <f>(E43/E44)</f>
        <v>1.6445615903367922E-2</v>
      </c>
      <c r="F45" s="1830" t="s">
        <v>1063</v>
      </c>
      <c r="G45" s="1831">
        <f>(G43/G44)</f>
        <v>0.13550666188365748</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1" sqref="J31"/>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2" t="s">
        <v>1445</v>
      </c>
      <c r="B1" s="2312"/>
      <c r="C1" s="2312"/>
      <c r="D1" s="2312"/>
      <c r="E1" s="2312"/>
      <c r="F1" s="2312"/>
    </row>
    <row r="2" spans="1:10" x14ac:dyDescent="0.2">
      <c r="A2" s="1910" t="s">
        <v>2047</v>
      </c>
      <c r="B2" s="1871"/>
      <c r="C2" s="1910"/>
      <c r="D2" s="1871"/>
      <c r="E2" s="1871"/>
      <c r="F2" s="1872"/>
    </row>
    <row r="3" spans="1:10" x14ac:dyDescent="0.2">
      <c r="A3" s="1910" t="s">
        <v>1699</v>
      </c>
      <c r="B3" s="1871"/>
      <c r="C3" s="1910"/>
      <c r="D3" s="1871"/>
      <c r="E3" s="1871"/>
      <c r="F3" s="1872"/>
    </row>
    <row r="4" spans="1:10" ht="3.75" customHeight="1" x14ac:dyDescent="0.2">
      <c r="A4" s="1871"/>
      <c r="B4" s="1871"/>
      <c r="C4" s="1871"/>
      <c r="D4" s="1871"/>
      <c r="E4" s="1871"/>
      <c r="F4" s="1872"/>
    </row>
    <row r="5" spans="1:10" ht="15" x14ac:dyDescent="0.25">
      <c r="A5" s="2313" t="s">
        <v>1626</v>
      </c>
      <c r="B5" s="2314"/>
      <c r="C5" s="2315"/>
      <c r="D5" s="2315"/>
      <c r="E5" s="2315"/>
      <c r="F5" s="2315"/>
    </row>
    <row r="6" spans="1:10" ht="12" customHeight="1" x14ac:dyDescent="0.25">
      <c r="A6" s="1873"/>
      <c r="B6" s="1874"/>
      <c r="C6" s="2316" t="str">
        <f>COVER!A17</f>
        <v>Brimfield CUSD 309</v>
      </c>
      <c r="D6" s="2316"/>
      <c r="E6" s="2316"/>
      <c r="F6" s="1875"/>
    </row>
    <row r="7" spans="1:10" ht="11.25" customHeight="1" thickBot="1" x14ac:dyDescent="0.3">
      <c r="A7" s="1873"/>
      <c r="B7" s="1874"/>
      <c r="C7" s="2317">
        <f>COVER!A13</f>
        <v>48072309026</v>
      </c>
      <c r="D7" s="2317"/>
      <c r="E7" s="2317"/>
      <c r="F7" s="1875"/>
    </row>
    <row r="8" spans="1:10" ht="25.5" customHeight="1" thickBot="1" x14ac:dyDescent="0.25">
      <c r="A8" s="1916" t="s">
        <v>2024</v>
      </c>
      <c r="B8" s="1876"/>
      <c r="C8" s="1912" t="s">
        <v>1779</v>
      </c>
      <c r="D8" s="1911" t="s">
        <v>1780</v>
      </c>
      <c r="E8" s="1913" t="s">
        <v>1446</v>
      </c>
      <c r="F8" s="1911" t="s">
        <v>1781</v>
      </c>
      <c r="H8" s="1877" t="b">
        <v>0</v>
      </c>
    </row>
    <row r="9" spans="1:10" ht="15.75" customHeight="1" x14ac:dyDescent="0.2">
      <c r="A9" s="1878" t="s">
        <v>1622</v>
      </c>
      <c r="B9" s="1879"/>
      <c r="C9" s="1880"/>
      <c r="D9" s="1880"/>
      <c r="E9" s="1881"/>
      <c r="F9" s="1882"/>
    </row>
    <row r="10" spans="1:10" ht="27.75" customHeight="1" x14ac:dyDescent="0.2">
      <c r="A10" s="1883" t="s">
        <v>1778</v>
      </c>
      <c r="B10" s="1884"/>
      <c r="C10" s="1885"/>
      <c r="D10" s="1885"/>
      <c r="E10" s="1914" t="s">
        <v>1447</v>
      </c>
      <c r="F10" s="1915" t="s">
        <v>1448</v>
      </c>
    </row>
    <row r="11" spans="1:10" ht="12" customHeight="1" x14ac:dyDescent="0.2">
      <c r="A11" s="1886" t="s">
        <v>1449</v>
      </c>
      <c r="B11" s="1887"/>
      <c r="C11" s="1888"/>
      <c r="D11" s="1888"/>
      <c r="E11" s="1889"/>
      <c r="F11" s="1890"/>
      <c r="H11" s="1901">
        <f>IF(C11="X",5,0)</f>
        <v>0</v>
      </c>
      <c r="I11" s="1901">
        <f>IF(D11="X",5,0)</f>
        <v>0</v>
      </c>
      <c r="J11" s="1901">
        <f>IF(E11="X",5,0)</f>
        <v>0</v>
      </c>
    </row>
    <row r="12" spans="1:10" ht="12" customHeight="1" x14ac:dyDescent="0.2">
      <c r="A12" s="1886" t="s">
        <v>1450</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1451</v>
      </c>
      <c r="B13" s="1887"/>
      <c r="C13" s="1888"/>
      <c r="D13" s="1888"/>
      <c r="E13" s="1891"/>
      <c r="F13" s="1890"/>
      <c r="H13" s="1901">
        <f t="shared" si="0"/>
        <v>0</v>
      </c>
      <c r="I13" s="1901">
        <f t="shared" si="1"/>
        <v>0</v>
      </c>
      <c r="J13" s="1901">
        <f t="shared" si="2"/>
        <v>0</v>
      </c>
    </row>
    <row r="14" spans="1:10" ht="12" customHeight="1" x14ac:dyDescent="0.2">
      <c r="A14" s="1886" t="s">
        <v>1452</v>
      </c>
      <c r="B14" s="1887"/>
      <c r="C14" s="1888"/>
      <c r="D14" s="1888"/>
      <c r="E14" s="1891"/>
      <c r="F14" s="1890"/>
      <c r="H14" s="1901">
        <f t="shared" si="0"/>
        <v>0</v>
      </c>
      <c r="I14" s="1901">
        <f t="shared" si="1"/>
        <v>0</v>
      </c>
      <c r="J14" s="1901">
        <f t="shared" si="2"/>
        <v>0</v>
      </c>
    </row>
    <row r="15" spans="1:10" ht="12" customHeight="1" x14ac:dyDescent="0.2">
      <c r="A15" s="1886" t="s">
        <v>1453</v>
      </c>
      <c r="B15" s="1887"/>
      <c r="C15" s="1888"/>
      <c r="D15" s="1888"/>
      <c r="E15" s="1891"/>
      <c r="F15" s="1890"/>
      <c r="H15" s="1901">
        <f t="shared" si="0"/>
        <v>0</v>
      </c>
      <c r="I15" s="1901">
        <f t="shared" si="1"/>
        <v>0</v>
      </c>
      <c r="J15" s="1901">
        <f t="shared" si="2"/>
        <v>0</v>
      </c>
    </row>
    <row r="16" spans="1:10" ht="12" customHeight="1" x14ac:dyDescent="0.2">
      <c r="A16" s="1886" t="s">
        <v>1454</v>
      </c>
      <c r="B16" s="1887"/>
      <c r="C16" s="1888"/>
      <c r="D16" s="1888"/>
      <c r="E16" s="1891"/>
      <c r="F16" s="1890"/>
      <c r="H16" s="1901">
        <f t="shared" si="0"/>
        <v>0</v>
      </c>
      <c r="I16" s="1901">
        <f t="shared" si="1"/>
        <v>0</v>
      </c>
      <c r="J16" s="1901">
        <f t="shared" si="2"/>
        <v>0</v>
      </c>
    </row>
    <row r="17" spans="1:12" ht="12" customHeight="1" x14ac:dyDescent="0.2">
      <c r="A17" s="1886" t="s">
        <v>1455</v>
      </c>
      <c r="B17" s="1887"/>
      <c r="C17" s="1888"/>
      <c r="D17" s="1888"/>
      <c r="E17" s="1891"/>
      <c r="F17" s="1890"/>
      <c r="H17" s="1901">
        <f t="shared" si="0"/>
        <v>0</v>
      </c>
      <c r="I17" s="1901">
        <f t="shared" si="1"/>
        <v>0</v>
      </c>
      <c r="J17" s="1901">
        <f t="shared" si="2"/>
        <v>0</v>
      </c>
    </row>
    <row r="18" spans="1:12" ht="12" customHeight="1" x14ac:dyDescent="0.2">
      <c r="A18" s="1886" t="s">
        <v>1456</v>
      </c>
      <c r="B18" s="1887"/>
      <c r="C18" s="1888"/>
      <c r="D18" s="1888"/>
      <c r="E18" s="1891"/>
      <c r="F18" s="1890"/>
      <c r="H18" s="1901">
        <f t="shared" si="0"/>
        <v>0</v>
      </c>
      <c r="I18" s="1901">
        <f t="shared" si="1"/>
        <v>0</v>
      </c>
      <c r="J18" s="1901">
        <f t="shared" si="2"/>
        <v>0</v>
      </c>
    </row>
    <row r="19" spans="1:12" ht="12" customHeight="1" x14ac:dyDescent="0.2">
      <c r="A19" s="1886" t="s">
        <v>1607</v>
      </c>
      <c r="B19" s="1887"/>
      <c r="C19" s="1888"/>
      <c r="D19" s="1888"/>
      <c r="E19" s="1891"/>
      <c r="F19" s="1890"/>
      <c r="H19" s="1901">
        <f t="shared" si="0"/>
        <v>0</v>
      </c>
      <c r="I19" s="1901">
        <f t="shared" si="1"/>
        <v>0</v>
      </c>
      <c r="J19" s="1901">
        <f t="shared" si="2"/>
        <v>0</v>
      </c>
    </row>
    <row r="20" spans="1:12" ht="12" customHeight="1" x14ac:dyDescent="0.2">
      <c r="A20" s="1886" t="s">
        <v>1608</v>
      </c>
      <c r="B20" s="1887"/>
      <c r="C20" s="1888" t="s">
        <v>2102</v>
      </c>
      <c r="D20" s="1888" t="s">
        <v>2102</v>
      </c>
      <c r="E20" s="1891"/>
      <c r="F20" s="1890" t="s">
        <v>2103</v>
      </c>
      <c r="H20" s="1901">
        <f t="shared" si="0"/>
        <v>5</v>
      </c>
      <c r="I20" s="1901">
        <f t="shared" si="1"/>
        <v>5</v>
      </c>
      <c r="J20" s="1901">
        <f t="shared" si="2"/>
        <v>0</v>
      </c>
    </row>
    <row r="21" spans="1:12" ht="12" customHeight="1" x14ac:dyDescent="0.2">
      <c r="A21" s="1886" t="s">
        <v>1609</v>
      </c>
      <c r="B21" s="1887"/>
      <c r="C21" s="1888"/>
      <c r="D21" s="1888"/>
      <c r="E21" s="1891"/>
      <c r="F21" s="1890"/>
      <c r="H21" s="1901">
        <f t="shared" si="0"/>
        <v>0</v>
      </c>
      <c r="I21" s="1901">
        <f t="shared" si="1"/>
        <v>0</v>
      </c>
      <c r="J21" s="1901">
        <f t="shared" si="2"/>
        <v>0</v>
      </c>
    </row>
    <row r="22" spans="1:12" ht="12" customHeight="1" x14ac:dyDescent="0.2">
      <c r="A22" s="1886" t="s">
        <v>1610</v>
      </c>
      <c r="B22" s="1887"/>
      <c r="C22" s="1888"/>
      <c r="D22" s="1888"/>
      <c r="E22" s="1891"/>
      <c r="F22" s="1890"/>
      <c r="H22" s="1901">
        <f t="shared" si="0"/>
        <v>0</v>
      </c>
      <c r="I22" s="1901">
        <f t="shared" si="1"/>
        <v>0</v>
      </c>
      <c r="J22" s="1901">
        <f t="shared" si="2"/>
        <v>0</v>
      </c>
    </row>
    <row r="23" spans="1:12" ht="12" customHeight="1" x14ac:dyDescent="0.2">
      <c r="A23" s="1886" t="s">
        <v>1611</v>
      </c>
      <c r="B23" s="1887"/>
      <c r="C23" s="1888"/>
      <c r="D23" s="1888"/>
      <c r="E23" s="1891"/>
      <c r="F23" s="1890"/>
      <c r="H23" s="1901">
        <f t="shared" si="0"/>
        <v>0</v>
      </c>
      <c r="I23" s="1901">
        <f t="shared" si="1"/>
        <v>0</v>
      </c>
      <c r="J23" s="1901">
        <f t="shared" si="2"/>
        <v>0</v>
      </c>
    </row>
    <row r="24" spans="1:12" ht="12" customHeight="1" x14ac:dyDescent="0.2">
      <c r="A24" s="1886" t="s">
        <v>1612</v>
      </c>
      <c r="B24" s="1887"/>
      <c r="C24" s="1888"/>
      <c r="D24" s="1888"/>
      <c r="E24" s="1891"/>
      <c r="F24" s="1890"/>
      <c r="H24" s="1901">
        <f t="shared" si="0"/>
        <v>0</v>
      </c>
      <c r="I24" s="1901">
        <f t="shared" si="1"/>
        <v>0</v>
      </c>
      <c r="J24" s="1901">
        <f t="shared" si="2"/>
        <v>0</v>
      </c>
    </row>
    <row r="25" spans="1:12" ht="12" customHeight="1" x14ac:dyDescent="0.2">
      <c r="A25" s="1886" t="s">
        <v>1613</v>
      </c>
      <c r="B25" s="1887"/>
      <c r="C25" s="1888"/>
      <c r="D25" s="1888"/>
      <c r="E25" s="1891"/>
      <c r="F25" s="1890"/>
      <c r="H25" s="1901">
        <f t="shared" si="0"/>
        <v>0</v>
      </c>
      <c r="I25" s="1901">
        <f t="shared" si="1"/>
        <v>0</v>
      </c>
      <c r="J25" s="1901">
        <f t="shared" si="2"/>
        <v>0</v>
      </c>
    </row>
    <row r="26" spans="1:12" ht="12" customHeight="1" x14ac:dyDescent="0.2">
      <c r="A26" s="1886" t="s">
        <v>1614</v>
      </c>
      <c r="B26" s="1887"/>
      <c r="C26" s="1888" t="s">
        <v>2102</v>
      </c>
      <c r="D26" s="1888" t="s">
        <v>2102</v>
      </c>
      <c r="E26" s="1891"/>
      <c r="F26" s="1890" t="s">
        <v>2104</v>
      </c>
      <c r="H26" s="1901">
        <f t="shared" si="0"/>
        <v>5</v>
      </c>
      <c r="I26" s="1901">
        <f t="shared" si="1"/>
        <v>5</v>
      </c>
      <c r="J26" s="1901">
        <f t="shared" si="2"/>
        <v>0</v>
      </c>
    </row>
    <row r="27" spans="1:12" ht="18.75" x14ac:dyDescent="0.2">
      <c r="A27" s="1886" t="s">
        <v>1615</v>
      </c>
      <c r="B27" s="1887"/>
      <c r="C27" s="1888"/>
      <c r="D27" s="1888"/>
      <c r="E27" s="1891"/>
      <c r="F27" s="1890"/>
      <c r="H27" s="1901">
        <f t="shared" si="0"/>
        <v>0</v>
      </c>
      <c r="I27" s="1901">
        <f t="shared" si="1"/>
        <v>0</v>
      </c>
      <c r="J27" s="1901">
        <f t="shared" si="2"/>
        <v>0</v>
      </c>
    </row>
    <row r="28" spans="1:12" ht="12" customHeight="1" x14ac:dyDescent="0.2">
      <c r="A28" s="1886" t="s">
        <v>1616</v>
      </c>
      <c r="B28" s="1887"/>
      <c r="C28" s="1888"/>
      <c r="D28" s="1888"/>
      <c r="E28" s="1891"/>
      <c r="F28" s="1890"/>
      <c r="H28" s="1901">
        <f t="shared" si="0"/>
        <v>0</v>
      </c>
      <c r="I28" s="1901">
        <f t="shared" si="1"/>
        <v>0</v>
      </c>
      <c r="J28" s="1901">
        <f t="shared" si="2"/>
        <v>0</v>
      </c>
    </row>
    <row r="29" spans="1:12" ht="12" customHeight="1" x14ac:dyDescent="0.2">
      <c r="A29" s="1886" t="s">
        <v>1617</v>
      </c>
      <c r="B29" s="1887"/>
      <c r="C29" s="1888"/>
      <c r="D29" s="1888"/>
      <c r="E29" s="1891"/>
      <c r="F29" s="1890"/>
      <c r="H29" s="1901">
        <f t="shared" si="0"/>
        <v>0</v>
      </c>
      <c r="I29" s="1901">
        <f t="shared" si="1"/>
        <v>0</v>
      </c>
      <c r="J29" s="1901">
        <f t="shared" si="2"/>
        <v>0</v>
      </c>
    </row>
    <row r="30" spans="1:12" ht="12" customHeight="1" x14ac:dyDescent="0.2">
      <c r="A30" s="1886" t="s">
        <v>1618</v>
      </c>
      <c r="B30" s="1887"/>
      <c r="C30" s="1888" t="s">
        <v>2102</v>
      </c>
      <c r="D30" s="1888" t="s">
        <v>2102</v>
      </c>
      <c r="E30" s="1891"/>
      <c r="F30" s="1890" t="s">
        <v>2105</v>
      </c>
      <c r="H30" s="1901">
        <f t="shared" si="0"/>
        <v>5</v>
      </c>
      <c r="I30" s="1901">
        <f t="shared" si="1"/>
        <v>5</v>
      </c>
      <c r="J30" s="1901">
        <f t="shared" si="2"/>
        <v>0</v>
      </c>
    </row>
    <row r="31" spans="1:12" ht="12" customHeight="1" x14ac:dyDescent="0.2">
      <c r="A31" s="1886" t="s">
        <v>1619</v>
      </c>
      <c r="B31" s="1887"/>
      <c r="C31" s="1888" t="s">
        <v>2102</v>
      </c>
      <c r="D31" s="1888" t="s">
        <v>2102</v>
      </c>
      <c r="E31" s="1891"/>
      <c r="F31" s="1890" t="s">
        <v>2106</v>
      </c>
      <c r="H31" s="1901">
        <f t="shared" si="0"/>
        <v>5</v>
      </c>
      <c r="I31" s="1901">
        <f t="shared" si="1"/>
        <v>5</v>
      </c>
      <c r="J31" s="1901">
        <f t="shared" si="2"/>
        <v>0</v>
      </c>
      <c r="L31" s="1892"/>
    </row>
    <row r="32" spans="1:12" ht="12" customHeight="1" x14ac:dyDescent="0.2">
      <c r="A32" s="1886" t="s">
        <v>1620</v>
      </c>
      <c r="B32" s="1887"/>
      <c r="C32" s="1888" t="s">
        <v>2102</v>
      </c>
      <c r="D32" s="1888" t="s">
        <v>2102</v>
      </c>
      <c r="E32" s="1891"/>
      <c r="F32" s="1890" t="s">
        <v>2105</v>
      </c>
      <c r="H32" s="1901">
        <f t="shared" si="0"/>
        <v>5</v>
      </c>
      <c r="I32" s="1901">
        <f t="shared" si="1"/>
        <v>5</v>
      </c>
      <c r="J32" s="1901">
        <f t="shared" si="2"/>
        <v>0</v>
      </c>
    </row>
    <row r="33" spans="1:11" ht="12" customHeight="1" x14ac:dyDescent="0.2">
      <c r="A33" s="1886" t="s">
        <v>1621</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25</v>
      </c>
      <c r="I34" s="1901">
        <f>SUM(I11:I32)</f>
        <v>25</v>
      </c>
      <c r="J34" s="1901">
        <f>SUM(J11:J32)</f>
        <v>0</v>
      </c>
      <c r="K34" s="1901">
        <f>SUM(H34:J34)</f>
        <v>50</v>
      </c>
    </row>
    <row r="35" spans="1:11" ht="12" customHeight="1" x14ac:dyDescent="0.2">
      <c r="A35" s="1894" t="s">
        <v>1458</v>
      </c>
      <c r="B35" s="1895"/>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6"/>
      <c r="B39" s="1896"/>
      <c r="C39" s="1896"/>
      <c r="D39" s="1896"/>
      <c r="E39" s="1896"/>
      <c r="F39" s="1896"/>
    </row>
    <row r="40" spans="1:11" s="1893" customFormat="1" ht="12" customHeight="1" x14ac:dyDescent="0.25">
      <c r="A40" s="1897" t="s">
        <v>1457</v>
      </c>
      <c r="B40" s="1898"/>
      <c r="C40" s="2326"/>
      <c r="D40" s="2326"/>
      <c r="E40" s="2326"/>
      <c r="F40" s="2327"/>
      <c r="H40" s="1902"/>
      <c r="I40" s="1902"/>
      <c r="J40" s="1902"/>
      <c r="K40" s="1902"/>
    </row>
    <row r="41" spans="1:11" s="1893" customFormat="1" ht="12" customHeight="1" x14ac:dyDescent="0.25">
      <c r="A41" s="2328"/>
      <c r="B41" s="2329"/>
      <c r="C41" s="2329"/>
      <c r="D41" s="2329"/>
      <c r="E41" s="2329"/>
      <c r="F41" s="2330"/>
      <c r="H41" s="1902"/>
      <c r="I41" s="1902"/>
      <c r="J41" s="1902"/>
      <c r="K41" s="1902"/>
    </row>
    <row r="42" spans="1:11" s="1893" customFormat="1" ht="12" customHeight="1" x14ac:dyDescent="0.25">
      <c r="A42" s="2328"/>
      <c r="B42" s="2329"/>
      <c r="C42" s="2329"/>
      <c r="D42" s="2329"/>
      <c r="E42" s="2329"/>
      <c r="F42" s="2330"/>
      <c r="H42" s="1902"/>
      <c r="I42" s="1902"/>
      <c r="J42" s="1902"/>
      <c r="K42" s="1902"/>
    </row>
    <row r="43" spans="1:11" s="1893" customFormat="1" ht="15" x14ac:dyDescent="0.25">
      <c r="A43" s="2320"/>
      <c r="B43" s="2321"/>
      <c r="C43" s="2321"/>
      <c r="D43" s="2321"/>
      <c r="E43" s="2321"/>
      <c r="F43" s="2322"/>
      <c r="H43" s="1902"/>
      <c r="I43" s="1902"/>
      <c r="J43" s="1902"/>
      <c r="K43" s="1902"/>
    </row>
    <row r="44" spans="1:11" s="1893" customFormat="1" ht="12" hidden="1" customHeight="1" x14ac:dyDescent="0.25">
      <c r="A44" s="2320"/>
      <c r="B44" s="2321"/>
      <c r="C44" s="2321"/>
      <c r="D44" s="2321"/>
      <c r="E44" s="2321"/>
      <c r="F44" s="2322"/>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6" t="str">
        <f>COVER!A17</f>
        <v>Brimfield CUSD 309</v>
      </c>
      <c r="J6" s="2337"/>
      <c r="Q6" s="1684"/>
    </row>
    <row r="7" spans="1:17" x14ac:dyDescent="0.2">
      <c r="A7" s="2338" t="s">
        <v>924</v>
      </c>
      <c r="B7" s="2339"/>
      <c r="C7" s="2339"/>
      <c r="D7" s="2339"/>
      <c r="E7" s="2340"/>
      <c r="F7" s="1016"/>
      <c r="G7" s="1008"/>
      <c r="H7" s="1015" t="s">
        <v>390</v>
      </c>
      <c r="I7" s="2341">
        <f>COVER!A13</f>
        <v>48072309026</v>
      </c>
      <c r="J7" s="2341"/>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1700</v>
      </c>
      <c r="F9" s="1022"/>
      <c r="G9" s="1022"/>
      <c r="H9" s="1919" t="s">
        <v>1701</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2" t="s">
        <v>502</v>
      </c>
      <c r="B11" s="2343"/>
      <c r="C11" s="2344"/>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64837</v>
      </c>
      <c r="F12" s="1038"/>
      <c r="G12" s="1832">
        <f t="shared" ref="G12:G18" si="0">SUM(E12:F12)</f>
        <v>64837</v>
      </c>
      <c r="H12" s="1039">
        <v>65779</v>
      </c>
      <c r="I12" s="1038"/>
      <c r="J12" s="1832">
        <f t="shared" ref="J12:J18" si="1">SUM(H12:I12)</f>
        <v>65779</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5" t="s">
        <v>7</v>
      </c>
      <c r="C18" s="2346"/>
      <c r="D18" s="2347"/>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64837</v>
      </c>
      <c r="F19" s="1834">
        <f t="shared" si="2"/>
        <v>0</v>
      </c>
      <c r="G19" s="1834">
        <f t="shared" si="2"/>
        <v>64837</v>
      </c>
      <c r="H19" s="1834">
        <f t="shared" si="2"/>
        <v>65779</v>
      </c>
      <c r="I19" s="1834">
        <f t="shared" si="2"/>
        <v>0</v>
      </c>
      <c r="J19" s="1834">
        <f t="shared" si="2"/>
        <v>65779</v>
      </c>
    </row>
    <row r="20" spans="1:10" ht="13.5" thickTop="1" x14ac:dyDescent="0.2">
      <c r="A20" s="1034">
        <v>9</v>
      </c>
      <c r="B20" s="2348" t="s">
        <v>1702</v>
      </c>
      <c r="C20" s="2348"/>
      <c r="D20" s="2349"/>
      <c r="E20" s="1045"/>
      <c r="F20" s="1045"/>
      <c r="G20" s="1045"/>
      <c r="H20" s="1045"/>
      <c r="I20" s="1045"/>
      <c r="J20" s="1835">
        <f>IF(AND(G19&gt;0,J19&gt;0),(((J19-G19)/G19)),"Enter Budget Data")</f>
        <v>1.452874130511899E-2</v>
      </c>
    </row>
    <row r="21" spans="1:10" ht="9" customHeight="1" x14ac:dyDescent="0.2">
      <c r="B21" s="1046"/>
    </row>
    <row r="22" spans="1:10" x14ac:dyDescent="0.2">
      <c r="A22" s="1047" t="s">
        <v>135</v>
      </c>
      <c r="B22" s="1046"/>
    </row>
    <row r="23" spans="1:10" x14ac:dyDescent="0.2">
      <c r="A23" s="1010" t="s">
        <v>1703</v>
      </c>
      <c r="B23" s="1046"/>
    </row>
    <row r="24" spans="1:10" x14ac:dyDescent="0.2">
      <c r="A24" s="1010" t="s">
        <v>1704</v>
      </c>
      <c r="B24" s="1046"/>
    </row>
    <row r="25" spans="1:10" x14ac:dyDescent="0.2">
      <c r="A25" s="1048"/>
      <c r="B25" s="1046"/>
    </row>
    <row r="26" spans="1:10" ht="20.100000000000001" customHeight="1" x14ac:dyDescent="0.2">
      <c r="B26" s="1046"/>
      <c r="C26" s="2354"/>
      <c r="D26" s="2354"/>
      <c r="E26" s="1049"/>
      <c r="F26" s="2353"/>
      <c r="G26" s="2353"/>
    </row>
    <row r="27" spans="1:10" x14ac:dyDescent="0.2">
      <c r="B27" s="1046"/>
      <c r="C27" s="1050" t="s">
        <v>1093</v>
      </c>
      <c r="D27" s="1051"/>
      <c r="E27" s="1052"/>
      <c r="F27" s="2350" t="s">
        <v>1588</v>
      </c>
      <c r="G27" s="2350"/>
    </row>
    <row r="28" spans="1:10" ht="28.5" customHeight="1" x14ac:dyDescent="0.2">
      <c r="B28" s="1046"/>
      <c r="C28" s="2352"/>
      <c r="D28" s="2352"/>
      <c r="E28" s="1053"/>
      <c r="F28" s="2352"/>
      <c r="G28" s="2352"/>
    </row>
    <row r="29" spans="1:10" x14ac:dyDescent="0.2">
      <c r="B29" s="1046"/>
      <c r="C29" s="1054" t="s">
        <v>1641</v>
      </c>
      <c r="E29" s="1055"/>
      <c r="F29" s="2351" t="s">
        <v>1589</v>
      </c>
      <c r="G29" s="2351"/>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1"/>
    </row>
    <row r="36" spans="1:10" ht="13.5" customHeight="1" x14ac:dyDescent="0.2">
      <c r="B36" s="1060"/>
      <c r="C36" s="2335" t="s">
        <v>1943</v>
      </c>
      <c r="D36" s="2334"/>
      <c r="E36" s="2334"/>
      <c r="F36" s="2334"/>
      <c r="G36" s="2334"/>
      <c r="H36" s="2334"/>
      <c r="I36" s="2334"/>
      <c r="J36" s="1062"/>
    </row>
    <row r="37" spans="1:10" ht="22.5" customHeight="1" x14ac:dyDescent="0.2">
      <c r="C37" s="2334"/>
      <c r="D37" s="2334"/>
      <c r="E37" s="2334"/>
      <c r="F37" s="2334"/>
      <c r="G37" s="2334"/>
      <c r="H37" s="2334"/>
      <c r="I37" s="2334"/>
      <c r="J37" s="1062"/>
    </row>
    <row r="38" spans="1:10" ht="7.5" customHeight="1" x14ac:dyDescent="0.2">
      <c r="C38" s="1061"/>
      <c r="D38" s="1063"/>
      <c r="E38" s="1064"/>
      <c r="F38" s="1065"/>
      <c r="G38" s="1064"/>
    </row>
    <row r="39" spans="1:10" ht="13.5" customHeight="1" x14ac:dyDescent="0.2">
      <c r="B39" s="1060"/>
      <c r="C39" s="2331" t="s">
        <v>937</v>
      </c>
      <c r="D39" s="2332"/>
      <c r="E39" s="2332"/>
      <c r="F39" s="2332"/>
      <c r="G39" s="2332"/>
      <c r="H39" s="2332"/>
      <c r="I39" s="2332"/>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86"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2126</v>
      </c>
    </row>
    <row r="6" spans="1:2" x14ac:dyDescent="0.2">
      <c r="A6" s="1067">
        <v>2</v>
      </c>
      <c r="B6" s="329" t="s">
        <v>2122</v>
      </c>
    </row>
    <row r="7" spans="1:2" x14ac:dyDescent="0.2">
      <c r="A7" s="1067">
        <v>3</v>
      </c>
      <c r="B7" s="329" t="s">
        <v>2112</v>
      </c>
    </row>
    <row r="8" spans="1:2" x14ac:dyDescent="0.2">
      <c r="A8" s="1067">
        <v>4</v>
      </c>
      <c r="B8" s="329" t="s">
        <v>2113</v>
      </c>
    </row>
    <row r="9" spans="1:2" x14ac:dyDescent="0.2">
      <c r="A9" s="1067">
        <v>5</v>
      </c>
      <c r="B9" s="329" t="s">
        <v>2114</v>
      </c>
    </row>
    <row r="10" spans="1:2" x14ac:dyDescent="0.2">
      <c r="A10" s="1067">
        <v>6</v>
      </c>
      <c r="B10" s="329" t="s">
        <v>2115</v>
      </c>
    </row>
    <row r="11" spans="1:2" x14ac:dyDescent="0.2">
      <c r="A11" s="1067"/>
      <c r="B11" s="329" t="s">
        <v>2116</v>
      </c>
    </row>
    <row r="12" spans="1:2" x14ac:dyDescent="0.2">
      <c r="A12" s="1067"/>
      <c r="B12" s="329" t="s">
        <v>2117</v>
      </c>
    </row>
    <row r="13" spans="1:2" x14ac:dyDescent="0.2">
      <c r="A13" s="1067">
        <v>7</v>
      </c>
      <c r="B13" s="329" t="s">
        <v>2118</v>
      </c>
    </row>
    <row r="14" spans="1:2" x14ac:dyDescent="0.2">
      <c r="A14" s="1067">
        <v>8</v>
      </c>
      <c r="B14" s="329" t="s">
        <v>2119</v>
      </c>
    </row>
    <row r="15" spans="1:2" x14ac:dyDescent="0.2">
      <c r="A15" s="1067">
        <v>9</v>
      </c>
      <c r="B15" s="329" t="s">
        <v>2120</v>
      </c>
    </row>
    <row r="16" spans="1:2" x14ac:dyDescent="0.2">
      <c r="A16" s="1067">
        <v>10</v>
      </c>
      <c r="B16" s="329" t="s">
        <v>2121</v>
      </c>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c r="B51" s="329" t="str">
        <f>COVER!A17</f>
        <v>Brimfield CUSD 309</v>
      </c>
    </row>
    <row r="52" spans="1:2" x14ac:dyDescent="0.2">
      <c r="A52" s="1068"/>
      <c r="B52" s="329">
        <f>COVER!A13</f>
        <v>48072309026</v>
      </c>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row>
    <row r="65" spans="2:2" x14ac:dyDescent="0.2">
      <c r="B65" s="1069"/>
    </row>
  </sheetData>
  <phoneticPr fontId="13" type="noConversion"/>
  <pageMargins left="0.2" right="0.2" top="1.17" bottom="0.75" header="0.19" footer="0.16"/>
  <pageSetup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1480</v>
      </c>
      <c r="D6" s="24"/>
    </row>
    <row r="7" spans="1:4" ht="13.5" customHeight="1" x14ac:dyDescent="0.2">
      <c r="A7" s="23"/>
      <c r="B7" s="25"/>
      <c r="C7" s="65" t="s">
        <v>1481</v>
      </c>
      <c r="D7" s="24"/>
    </row>
    <row r="8" spans="1:4" ht="13.5" customHeight="1" x14ac:dyDescent="0.2">
      <c r="A8" s="23"/>
      <c r="B8" s="146" t="s">
        <v>1000</v>
      </c>
      <c r="C8" s="65" t="s">
        <v>1466</v>
      </c>
      <c r="D8" s="24"/>
    </row>
    <row r="9" spans="1:4" ht="13.5" customHeight="1" x14ac:dyDescent="0.2">
      <c r="A9" s="14"/>
      <c r="B9" s="144" t="s">
        <v>1001</v>
      </c>
      <c r="C9" s="142" t="s">
        <v>1385</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1465</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1572</v>
      </c>
    </row>
    <row r="15" spans="1:6" x14ac:dyDescent="0.2">
      <c r="A15" s="389" t="s">
        <v>912</v>
      </c>
    </row>
    <row r="16" spans="1:6" s="1070" customFormat="1" ht="45" customHeight="1" x14ac:dyDescent="0.2">
      <c r="A16" s="1072"/>
      <c r="B16" s="1072" t="s">
        <v>1782</v>
      </c>
    </row>
    <row r="17" spans="1:2" ht="6" customHeight="1" x14ac:dyDescent="0.2"/>
    <row r="18" spans="1:2" ht="24.75" customHeight="1" x14ac:dyDescent="0.2">
      <c r="A18" s="2355" t="s">
        <v>1783</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1789</v>
      </c>
      <c r="B1" s="2357"/>
      <c r="C1" s="2357"/>
      <c r="D1" s="2357"/>
      <c r="E1" s="2357"/>
      <c r="F1" s="2358"/>
    </row>
    <row r="2" spans="1:8" ht="45" customHeight="1" x14ac:dyDescent="0.2">
      <c r="A2" s="2366" t="s">
        <v>1790</v>
      </c>
      <c r="B2" s="2367"/>
      <c r="C2" s="2367"/>
      <c r="D2" s="2367"/>
      <c r="E2" s="2367"/>
      <c r="F2" s="2368"/>
      <c r="G2" s="1073"/>
      <c r="H2" s="1073"/>
    </row>
    <row r="3" spans="1:8" ht="57" customHeight="1" x14ac:dyDescent="0.2">
      <c r="A3" s="2369" t="s">
        <v>1785</v>
      </c>
      <c r="B3" s="2370"/>
      <c r="C3" s="2370"/>
      <c r="D3" s="2370"/>
      <c r="E3" s="2370"/>
      <c r="F3" s="2371"/>
      <c r="G3" s="1073"/>
      <c r="H3" s="1073"/>
    </row>
    <row r="4" spans="1:8" ht="14.25" customHeight="1" x14ac:dyDescent="0.2">
      <c r="A4" s="2375" t="s">
        <v>2055</v>
      </c>
      <c r="B4" s="2376"/>
      <c r="C4" s="2376"/>
      <c r="D4" s="2376"/>
      <c r="E4" s="2376"/>
      <c r="F4" s="2377"/>
      <c r="G4" s="1073"/>
      <c r="H4" s="1073"/>
    </row>
    <row r="5" spans="1:8" ht="14.25" customHeight="1" x14ac:dyDescent="0.2">
      <c r="A5" s="2378" t="s">
        <v>2056</v>
      </c>
      <c r="B5" s="2379"/>
      <c r="C5" s="2379"/>
      <c r="D5" s="2379"/>
      <c r="E5" s="2379"/>
      <c r="F5" s="2380"/>
      <c r="G5" s="1073"/>
      <c r="H5" s="1073"/>
    </row>
    <row r="6" spans="1:8" s="1074" customFormat="1" ht="41.25" customHeight="1" x14ac:dyDescent="0.2">
      <c r="A6" s="2372" t="s">
        <v>1791</v>
      </c>
      <c r="B6" s="2373"/>
      <c r="C6" s="2373"/>
      <c r="D6" s="2373"/>
      <c r="E6" s="2373"/>
      <c r="F6" s="2374"/>
    </row>
    <row r="7" spans="1:8" ht="42" customHeight="1" x14ac:dyDescent="0.2">
      <c r="A7" s="1075" t="s">
        <v>502</v>
      </c>
      <c r="B7" s="1076" t="s">
        <v>1575</v>
      </c>
      <c r="C7" s="1076" t="s">
        <v>1576</v>
      </c>
      <c r="D7" s="1076" t="s">
        <v>1574</v>
      </c>
      <c r="E7" s="1076" t="s">
        <v>1577</v>
      </c>
      <c r="F7" s="1076" t="s">
        <v>1433</v>
      </c>
    </row>
    <row r="8" spans="1:8" s="1078" customFormat="1" ht="14.25" customHeight="1" x14ac:dyDescent="0.2">
      <c r="A8" s="1077" t="s">
        <v>1434</v>
      </c>
      <c r="B8" s="1836">
        <f>'Acct Summary 7-8'!C8</f>
        <v>5282458</v>
      </c>
      <c r="C8" s="1836">
        <f>'Acct Summary 7-8'!D8</f>
        <v>590216</v>
      </c>
      <c r="D8" s="1836">
        <f>'Acct Summary 7-8'!F8</f>
        <v>527592</v>
      </c>
      <c r="E8" s="1836">
        <f>'Acct Summary 7-8'!I8</f>
        <v>58874</v>
      </c>
      <c r="F8" s="1836">
        <f>SUM(B8:E8)</f>
        <v>6459140</v>
      </c>
    </row>
    <row r="9" spans="1:8" s="1078" customFormat="1" ht="14.25" customHeight="1" thickBot="1" x14ac:dyDescent="0.25">
      <c r="A9" s="1077" t="s">
        <v>1435</v>
      </c>
      <c r="B9" s="1837">
        <f>'Acct Summary 7-8'!C17</f>
        <v>4868909</v>
      </c>
      <c r="C9" s="1837">
        <f>'Acct Summary 7-8'!D17</f>
        <v>507862</v>
      </c>
      <c r="D9" s="1837">
        <f>'Acct Summary 7-8'!F17</f>
        <v>462266</v>
      </c>
      <c r="E9" s="1836"/>
      <c r="F9" s="1836">
        <f>SUM(B9:E9)</f>
        <v>5839037</v>
      </c>
    </row>
    <row r="10" spans="1:8" s="1078" customFormat="1" ht="14.25" thickTop="1" thickBot="1" x14ac:dyDescent="0.25">
      <c r="A10" s="1079" t="s">
        <v>1436</v>
      </c>
      <c r="B10" s="1838">
        <f>(B8-B9)</f>
        <v>413549</v>
      </c>
      <c r="C10" s="1838">
        <f>(C8-C9)</f>
        <v>82354</v>
      </c>
      <c r="D10" s="1838">
        <f>(D8-D9)</f>
        <v>65326</v>
      </c>
      <c r="E10" s="1837">
        <f>(E8-E9)</f>
        <v>58874</v>
      </c>
      <c r="F10" s="1839">
        <f>SUM(F8-F9)</f>
        <v>620103</v>
      </c>
    </row>
    <row r="11" spans="1:8" s="1078" customFormat="1" ht="14.25" thickTop="1" thickBot="1" x14ac:dyDescent="0.25">
      <c r="A11" s="1080" t="s">
        <v>1784</v>
      </c>
      <c r="B11" s="1840">
        <f>'Acct Summary 7-8'!C81</f>
        <v>2639907</v>
      </c>
      <c r="C11" s="1840">
        <f>'Acct Summary 7-8'!D81</f>
        <v>896053</v>
      </c>
      <c r="D11" s="1840">
        <f>'Acct Summary 7-8'!F81</f>
        <v>429307</v>
      </c>
      <c r="E11" s="1840">
        <f>'Acct Summary 7-8'!I81</f>
        <v>292131</v>
      </c>
      <c r="F11" s="1841">
        <f>SUM(B11:E11)</f>
        <v>4257398</v>
      </c>
    </row>
    <row r="12" spans="1:8" ht="16.5" customHeight="1" thickTop="1" x14ac:dyDescent="0.2">
      <c r="A12" s="1081"/>
      <c r="B12" s="1082"/>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3"/>
      <c r="B13" s="1084"/>
      <c r="C13" s="2360"/>
      <c r="D13" s="2361"/>
      <c r="E13" s="2361"/>
      <c r="F13" s="2362"/>
      <c r="H13" s="1073"/>
    </row>
    <row r="14" spans="1:8" ht="19.5" customHeight="1" x14ac:dyDescent="0.2">
      <c r="A14" s="1083"/>
      <c r="B14" s="1084"/>
      <c r="C14" s="2360"/>
      <c r="D14" s="2361"/>
      <c r="E14" s="2361"/>
      <c r="F14" s="2362"/>
      <c r="H14" s="1073"/>
    </row>
    <row r="15" spans="1:8" ht="17.25" customHeight="1" x14ac:dyDescent="0.2">
      <c r="A15" s="1083"/>
      <c r="B15" s="1084"/>
      <c r="C15" s="2363"/>
      <c r="D15" s="2364"/>
      <c r="E15" s="2364"/>
      <c r="F15" s="2365"/>
      <c r="H15" s="1073"/>
    </row>
    <row r="16" spans="1:8" s="310" customFormat="1" ht="51.75" hidden="1" customHeight="1" x14ac:dyDescent="0.2">
      <c r="A16" s="2359" t="s">
        <v>1786</v>
      </c>
      <c r="B16" s="2359"/>
      <c r="C16" s="2359"/>
      <c r="D16" s="2359"/>
      <c r="E16" s="2359"/>
      <c r="F16" s="310" t="s">
        <v>1437</v>
      </c>
    </row>
    <row r="17" spans="1:6" hidden="1" x14ac:dyDescent="0.2">
      <c r="A17" s="316" t="s">
        <v>1787</v>
      </c>
      <c r="F17" s="1085"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1" t="s">
        <v>686</v>
      </c>
      <c r="B3" s="2382"/>
      <c r="C3" s="2382"/>
      <c r="D3" s="2383"/>
    </row>
    <row r="4" spans="1:4" x14ac:dyDescent="0.2">
      <c r="A4" s="1151" t="s">
        <v>1792</v>
      </c>
      <c r="B4" s="1152"/>
      <c r="C4" s="1153"/>
      <c r="D4" s="1154"/>
    </row>
    <row r="5" spans="1:4" ht="21" customHeight="1" x14ac:dyDescent="0.2">
      <c r="A5" s="1147"/>
      <c r="B5" s="1148">
        <v>1</v>
      </c>
      <c r="C5" s="1149" t="s">
        <v>1945</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2" t="s">
        <v>1583</v>
      </c>
      <c r="D7" s="2393"/>
    </row>
    <row r="8" spans="1:4" s="667" customFormat="1" ht="12.75" x14ac:dyDescent="0.2">
      <c r="A8" s="1137"/>
      <c r="B8" s="1092"/>
      <c r="C8" s="1095" t="s">
        <v>1582</v>
      </c>
      <c r="D8" s="1096"/>
    </row>
    <row r="9" spans="1:4" s="667" customFormat="1" ht="14.25" customHeight="1" x14ac:dyDescent="0.2">
      <c r="A9" s="1137"/>
      <c r="B9" s="1092">
        <f>B7+1</f>
        <v>4</v>
      </c>
      <c r="C9" s="1093" t="s">
        <v>2048</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1584</v>
      </c>
      <c r="D14" s="1136"/>
    </row>
    <row r="15" spans="1:4" s="667" customFormat="1" ht="21.75" customHeight="1" x14ac:dyDescent="0.2">
      <c r="A15" s="2384" t="s">
        <v>1065</v>
      </c>
      <c r="B15" s="2385"/>
      <c r="C15" s="2385"/>
      <c r="D15" s="2386"/>
    </row>
    <row r="16" spans="1:4" s="667" customFormat="1" ht="24" customHeight="1" x14ac:dyDescent="0.2">
      <c r="A16" s="2387" t="s">
        <v>684</v>
      </c>
      <c r="B16" s="2388"/>
      <c r="C16" s="2388"/>
      <c r="D16" s="2389"/>
    </row>
    <row r="17" spans="1:10" s="667" customFormat="1" ht="12.75" customHeight="1" x14ac:dyDescent="0.2">
      <c r="A17" s="1155" t="s">
        <v>1793</v>
      </c>
      <c r="B17" s="1156"/>
      <c r="C17" s="1157"/>
      <c r="D17" s="1158"/>
    </row>
    <row r="18" spans="1:10" s="667" customFormat="1" ht="12.75" customHeight="1" x14ac:dyDescent="0.2">
      <c r="A18" s="1159" t="s">
        <v>1794</v>
      </c>
      <c r="B18" s="1160"/>
      <c r="C18" s="1161"/>
      <c r="D18" s="1162"/>
    </row>
    <row r="19" spans="1:10" ht="6.75" customHeight="1" thickBot="1" x14ac:dyDescent="0.25">
      <c r="A19" s="1163"/>
      <c r="B19" s="1164"/>
      <c r="C19" s="1165"/>
      <c r="D19" s="1166"/>
    </row>
    <row r="20" spans="1:10" s="1170" customFormat="1" ht="12.75" thickTop="1" x14ac:dyDescent="0.2">
      <c r="A20" s="1167"/>
      <c r="B20" s="1168" t="s">
        <v>1795</v>
      </c>
      <c r="C20" s="1169"/>
      <c r="D20" s="1172" t="s">
        <v>734</v>
      </c>
    </row>
    <row r="21" spans="1:10" x14ac:dyDescent="0.2">
      <c r="A21" s="1097"/>
      <c r="B21" s="1098">
        <v>1</v>
      </c>
      <c r="C21" s="2396" t="s">
        <v>332</v>
      </c>
      <c r="D21" s="2397"/>
    </row>
    <row r="22" spans="1:10" ht="12.75" x14ac:dyDescent="0.2">
      <c r="A22" s="1138"/>
      <c r="B22" s="1139">
        <v>2</v>
      </c>
      <c r="C22" s="2394" t="s">
        <v>1604</v>
      </c>
      <c r="D22" s="2395"/>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1398</v>
      </c>
      <c r="D24" s="1141" t="str">
        <f>IF(COVER!O11="X","OK",IF(AND('Aud Quest 2'!J90=0,'Aud Quest 2'!I77&lt;DATE(2017,12,31)),"ENTER ACCOUNTING INFO",IF(AND('Aud Quest 2'!J90&gt;0,'Aud Quest 2'!I77&lt;DATE(2017,12,31)),"OK")))</f>
        <v>OK</v>
      </c>
    </row>
    <row r="25" spans="1:10" x14ac:dyDescent="0.2">
      <c r="A25" s="1099"/>
      <c r="B25" s="1100"/>
      <c r="C25" s="1101" t="s">
        <v>1606</v>
      </c>
      <c r="D25" s="1102" t="str">
        <f>IF(AND(COVER!J29="X",COVER!J30="X",COVER!L30&lt;&gt;"X"),"OK",IF(AND(COVER!J29="X",COVER!J30&lt;&gt;"X",COVER!L30="X"),"OK",IF(AND(COVER!L29="X",COVER!J30&lt;&gt;"X"),"OK","PLEASE CHECK YES or NO.")))</f>
        <v>OK</v>
      </c>
    </row>
    <row r="26" spans="1:10" x14ac:dyDescent="0.2">
      <c r="A26" s="1099"/>
      <c r="B26" s="1142"/>
      <c r="C26" s="1103" t="s">
        <v>1605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1439</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8" t="s">
        <v>557</v>
      </c>
      <c r="D43" s="2399"/>
    </row>
    <row r="44" spans="1:12" x14ac:dyDescent="0.2">
      <c r="A44" s="1118"/>
      <c r="B44" s="1120"/>
      <c r="C44" s="1121" t="s">
        <v>1401</v>
      </c>
      <c r="D44" s="1122" t="str">
        <f>IF(SUM('Assets-Liab 5-6'!C13)&lt;&gt;SUM('Assets-Liab 5-6'!C41),"ERROR!","OK")</f>
        <v>OK</v>
      </c>
    </row>
    <row r="45" spans="1:12" x14ac:dyDescent="0.2">
      <c r="A45" s="1118"/>
      <c r="B45" s="1120"/>
      <c r="C45" s="1121" t="s">
        <v>1402</v>
      </c>
      <c r="D45" s="1122" t="str">
        <f>IF(SUM('Assets-Liab 5-6'!D13)&lt;&gt;SUM('Assets-Liab 5-6'!D41),"ERROR!","OK")</f>
        <v>OK</v>
      </c>
    </row>
    <row r="46" spans="1:12" x14ac:dyDescent="0.2">
      <c r="A46" s="1118"/>
      <c r="B46" s="1120"/>
      <c r="C46" s="1121" t="s">
        <v>1403</v>
      </c>
      <c r="D46" s="1122" t="str">
        <f>IF(SUM('Assets-Liab 5-6'!E13)&lt;&gt;SUM('Assets-Liab 5-6'!E41),"ERROR!","OK")</f>
        <v>OK</v>
      </c>
    </row>
    <row r="47" spans="1:12" x14ac:dyDescent="0.2">
      <c r="A47" s="1118"/>
      <c r="B47" s="1120"/>
      <c r="C47" s="1121" t="s">
        <v>1404</v>
      </c>
      <c r="D47" s="1122" t="str">
        <f>IF(SUM('Assets-Liab 5-6'!F13)&lt;&gt;SUM('Assets-Liab 5-6'!F41),"ERROR!","OK")</f>
        <v>OK</v>
      </c>
    </row>
    <row r="48" spans="1:12" x14ac:dyDescent="0.2">
      <c r="A48" s="1118"/>
      <c r="B48" s="1120"/>
      <c r="C48" s="1121" t="s">
        <v>1405</v>
      </c>
      <c r="D48" s="1122" t="str">
        <f>IF(SUM('Assets-Liab 5-6'!G13)&lt;&gt;SUM('Assets-Liab 5-6'!G41),"ERROR!","OK")</f>
        <v>OK</v>
      </c>
    </row>
    <row r="49" spans="1:4" x14ac:dyDescent="0.2">
      <c r="A49" s="1118"/>
      <c r="B49" s="1120"/>
      <c r="C49" s="1121" t="s">
        <v>1406</v>
      </c>
      <c r="D49" s="1122" t="str">
        <f>IF(SUM('Assets-Liab 5-6'!H13)&lt;&gt;SUM('Assets-Liab 5-6'!H41),"ERROR!","OK")</f>
        <v>OK</v>
      </c>
    </row>
    <row r="50" spans="1:4" x14ac:dyDescent="0.2">
      <c r="A50" s="1118"/>
      <c r="B50" s="1120"/>
      <c r="C50" s="1121" t="s">
        <v>1407</v>
      </c>
      <c r="D50" s="1122" t="str">
        <f>IF(SUM('Assets-Liab 5-6'!I13)&lt;&gt;SUM('Assets-Liab 5-6'!I41),"ERROR!","OK")</f>
        <v>OK</v>
      </c>
    </row>
    <row r="51" spans="1:4" x14ac:dyDescent="0.2">
      <c r="A51" s="1118"/>
      <c r="B51" s="1120"/>
      <c r="C51" s="1121" t="s">
        <v>1408</v>
      </c>
      <c r="D51" s="1122" t="str">
        <f>IF(SUM('Assets-Liab 5-6'!J13)&lt;&gt;SUM('Assets-Liab 5-6'!J41),"ERROR!","OK")</f>
        <v>OK</v>
      </c>
    </row>
    <row r="52" spans="1:4" x14ac:dyDescent="0.2">
      <c r="A52" s="1118"/>
      <c r="B52" s="1120"/>
      <c r="C52" s="1121" t="s">
        <v>1409</v>
      </c>
      <c r="D52" s="1122" t="str">
        <f>IF(SUM('Assets-Liab 5-6'!K13)&lt;&gt;SUM('Assets-Liab 5-6'!K41),"ERROR!","OK")</f>
        <v>OK</v>
      </c>
    </row>
    <row r="53" spans="1:4" x14ac:dyDescent="0.2">
      <c r="A53" s="1118"/>
      <c r="B53" s="1120"/>
      <c r="C53" s="1121" t="s">
        <v>1410</v>
      </c>
      <c r="D53" s="1122" t="str">
        <f>IF(SUM('Assets-Liab 5-6'!L13)&lt;&gt;('Assets-Liab 5-6'!L41),"ERROR!","OK")</f>
        <v>OK</v>
      </c>
    </row>
    <row r="54" spans="1:4" x14ac:dyDescent="0.2">
      <c r="A54" s="1118"/>
      <c r="B54" s="1120"/>
      <c r="C54" s="1121" t="s">
        <v>1411</v>
      </c>
      <c r="D54" s="1122" t="str">
        <f>IF(SUM('Assets-Liab 5-6'!M23)&lt;&gt;('Assets-Liab 5-6'!M41),"ERROR!","OK")</f>
        <v>OK</v>
      </c>
    </row>
    <row r="55" spans="1:4" x14ac:dyDescent="0.2">
      <c r="A55" s="1118"/>
      <c r="B55" s="1120"/>
      <c r="C55" s="1121" t="s">
        <v>1412</v>
      </c>
      <c r="D55" s="1122" t="str">
        <f>IF(SUM('Assets-Liab 5-6'!N23)&lt;&gt;('Assets-Liab 5-6'!N41),"ERROR!","OK")</f>
        <v>OK</v>
      </c>
    </row>
    <row r="56" spans="1:4" x14ac:dyDescent="0.2">
      <c r="A56" s="1099"/>
      <c r="B56" s="1119">
        <f>B43+1</f>
        <v>6</v>
      </c>
      <c r="C56" s="2390" t="s">
        <v>817</v>
      </c>
      <c r="D56" s="2391"/>
    </row>
    <row r="57" spans="1:4" s="1115" customFormat="1" x14ac:dyDescent="0.2">
      <c r="A57" s="1099"/>
      <c r="B57" s="1109"/>
      <c r="C57" s="1117" t="s">
        <v>1413</v>
      </c>
      <c r="D57" s="1123" t="str">
        <f>IF('Assets-Liab 5-6'!C38+'Assets-Liab 5-6'!C39='Acct Summary 7-8'!C81,"OK","ERROR!")</f>
        <v>OK</v>
      </c>
    </row>
    <row r="58" spans="1:4" x14ac:dyDescent="0.2">
      <c r="A58" s="1099"/>
      <c r="B58" s="1109"/>
      <c r="C58" s="1117" t="s">
        <v>1414</v>
      </c>
      <c r="D58" s="1123" t="str">
        <f>IF((('Assets-Liab 5-6'!D38+'Assets-Liab 5-6'!D39) ='Acct Summary 7-8'!D81), "OK", "ERROR!" )</f>
        <v>OK</v>
      </c>
    </row>
    <row r="59" spans="1:4" s="1115" customFormat="1" x14ac:dyDescent="0.2">
      <c r="A59" s="1099"/>
      <c r="B59" s="1109"/>
      <c r="C59" s="1117" t="s">
        <v>1415</v>
      </c>
      <c r="D59" s="1123" t="str">
        <f>IF((('Assets-Liab 5-6'!E38 + 'Assets-Liab 5-6'!E39) ='Acct Summary 7-8'!E81), "OK", "ERROR!" )</f>
        <v>OK</v>
      </c>
    </row>
    <row r="60" spans="1:4" x14ac:dyDescent="0.2">
      <c r="A60" s="1099"/>
      <c r="B60" s="1109"/>
      <c r="C60" s="1117" t="s">
        <v>1416</v>
      </c>
      <c r="D60" s="1123" t="str">
        <f>IF((('Assets-Liab 5-6'!F38 + 'Assets-Liab 5-6'!F39) ='Acct Summary 7-8'!F81), "OK", "ERROR!" )</f>
        <v>OK</v>
      </c>
    </row>
    <row r="61" spans="1:4" ht="12.75" customHeight="1" x14ac:dyDescent="0.2">
      <c r="A61" s="1099"/>
      <c r="B61" s="1109"/>
      <c r="C61" s="1117" t="s">
        <v>1429</v>
      </c>
      <c r="D61" s="1123" t="str">
        <f>IF((('Assets-Liab 5-6'!G38 + 'Assets-Liab 5-6'!G39) ='Acct Summary 7-8'!G81), "OK", "ERROR!" )</f>
        <v>OK</v>
      </c>
    </row>
    <row r="62" spans="1:4" x14ac:dyDescent="0.2">
      <c r="A62" s="1099"/>
      <c r="B62" s="1109"/>
      <c r="C62" s="1117" t="s">
        <v>1417</v>
      </c>
      <c r="D62" s="1123" t="str">
        <f>IF((('Assets-Liab 5-6'!H38 + 'Assets-Liab 5-6'!H39) ='Acct Summary 7-8'!H81), "OK", "ERROR!" )</f>
        <v>OK</v>
      </c>
    </row>
    <row r="63" spans="1:4" ht="12.75" customHeight="1" x14ac:dyDescent="0.2">
      <c r="A63" s="1099"/>
      <c r="B63" s="1109"/>
      <c r="C63" s="1117" t="s">
        <v>1418</v>
      </c>
      <c r="D63" s="1123" t="str">
        <f>IF((('Assets-Liab 5-6'!I38 + 'Assets-Liab 5-6'!I39) ='Acct Summary 7-8'!I81), "OK", "ERROR!" )</f>
        <v>OK</v>
      </c>
    </row>
    <row r="64" spans="1:4" x14ac:dyDescent="0.2">
      <c r="A64" s="1099"/>
      <c r="B64" s="1109"/>
      <c r="C64" s="1117" t="s">
        <v>1419</v>
      </c>
      <c r="D64" s="1123" t="str">
        <f>IF((('Assets-Liab 5-6'!J38 + 'Assets-Liab 5-6'!J39) ='Acct Summary 7-8'!J81), "OK", "ERROR!" )</f>
        <v>OK</v>
      </c>
    </row>
    <row r="65" spans="1:4" x14ac:dyDescent="0.2">
      <c r="A65" s="1116"/>
      <c r="B65" s="1109"/>
      <c r="C65" s="1117" t="s">
        <v>1430</v>
      </c>
      <c r="D65" s="1123" t="str">
        <f>IF((('Assets-Liab 5-6'!K38 + 'Assets-Liab 5-6'!K39) ='Acct Summary 7-8'!K81), "OK", "ERROR!" )</f>
        <v>OK</v>
      </c>
    </row>
    <row r="66" spans="1:4" x14ac:dyDescent="0.2">
      <c r="A66" s="1097"/>
      <c r="B66" s="1139">
        <f>B56+1+1</f>
        <v>8</v>
      </c>
      <c r="C66" s="1145" t="s">
        <v>2049</v>
      </c>
      <c r="D66" s="1124"/>
    </row>
    <row r="67" spans="1:4" x14ac:dyDescent="0.2">
      <c r="A67" s="1118"/>
      <c r="B67" s="1139"/>
      <c r="C67" s="1146" t="s">
        <v>1079</v>
      </c>
      <c r="D67" s="1124"/>
    </row>
    <row r="68" spans="1:4" x14ac:dyDescent="0.2">
      <c r="A68" s="1099"/>
      <c r="B68" s="1109"/>
      <c r="C68" s="1101" t="s">
        <v>2050</v>
      </c>
      <c r="D68" s="1123" t="str">
        <f>IF('Short-Term Long-Term Debt 24'!F49=SUM(,'Acct Summary 7-8'!C33:K33),"OK","ERROR!")</f>
        <v>OK</v>
      </c>
    </row>
    <row r="69" spans="1:4" x14ac:dyDescent="0.2">
      <c r="A69" s="1099"/>
      <c r="B69" s="1109"/>
      <c r="C69" s="1101" t="s">
        <v>2051</v>
      </c>
      <c r="D69" s="1123" t="str">
        <f>IF('Expenditures 15-22'!H170&lt;&gt;'Short-Term Long-Term Debt 24'!H49,"ERROR!","OK")</f>
        <v>OK</v>
      </c>
    </row>
    <row r="70" spans="1:4" x14ac:dyDescent="0.2">
      <c r="A70" s="1097"/>
      <c r="B70" s="1119">
        <f>B66+1</f>
        <v>9</v>
      </c>
      <c r="C70" s="2390" t="s">
        <v>1796</v>
      </c>
      <c r="D70" s="2391"/>
    </row>
    <row r="71" spans="1:4" x14ac:dyDescent="0.2">
      <c r="A71" s="1097"/>
      <c r="B71" s="1119"/>
      <c r="C71" s="1101" t="s">
        <v>1420</v>
      </c>
      <c r="D71" s="1125" t="str">
        <f>IF(SUM('Acct Summary 7-8'!C27:K27) =SUM( 'Acct Summary 7-8'!C49:K49),"OK", "ERROR")</f>
        <v>OK</v>
      </c>
    </row>
    <row r="72" spans="1:4" x14ac:dyDescent="0.2">
      <c r="A72" s="1099"/>
      <c r="B72" s="1109"/>
      <c r="C72" s="1117" t="s">
        <v>1421</v>
      </c>
      <c r="D72" s="1123" t="str">
        <f>IF(SUM('Acct Summary 7-8'!C28:K28)=SUM('Acct Summary 7-8'!C50:K50),"OK","ERROR!")</f>
        <v>OK</v>
      </c>
    </row>
    <row r="73" spans="1:4" ht="24" x14ac:dyDescent="0.2">
      <c r="A73" s="1126"/>
      <c r="B73" s="1109"/>
      <c r="C73" s="1117" t="s">
        <v>1797</v>
      </c>
      <c r="D73" s="1125" t="str">
        <f>IF(SUM('Acct Summary 7-8'!C42:K42)&gt;=SUM( 'Acct Summary 7-8'!C74:K74),"OK", "ERROR")</f>
        <v>OK</v>
      </c>
    </row>
    <row r="74" spans="1:4" x14ac:dyDescent="0.2">
      <c r="A74" s="1097"/>
      <c r="B74" s="1119">
        <f>B70+1</f>
        <v>10</v>
      </c>
      <c r="C74" s="1113" t="s">
        <v>2052</v>
      </c>
      <c r="D74" s="1127"/>
    </row>
    <row r="75" spans="1:4" x14ac:dyDescent="0.2">
      <c r="A75" s="1099"/>
      <c r="B75" s="1109"/>
      <c r="C75" s="1117" t="s">
        <v>1443</v>
      </c>
      <c r="D75" s="1123" t="str">
        <f>IF(SUM('Assets-Liab 5-6'!C38:H38)&gt;=SUM('Rest Tax Levies-Tort Im 25'!G25:K25),"OK","ERROR")</f>
        <v>OK</v>
      </c>
    </row>
    <row r="76" spans="1:4" x14ac:dyDescent="0.2">
      <c r="A76" s="1099"/>
      <c r="B76" s="1109"/>
      <c r="C76" s="1117" t="s">
        <v>1489</v>
      </c>
      <c r="D76" s="1123" t="str">
        <f>IF(SUM('Assets-Liab 5-6'!C39:K39)&gt;0,"OK","ENTRY IS REQUIRED!")</f>
        <v>OK</v>
      </c>
    </row>
    <row r="77" spans="1:4" x14ac:dyDescent="0.2">
      <c r="A77" s="1099"/>
      <c r="B77" s="1128">
        <f>B74+1</f>
        <v>11</v>
      </c>
      <c r="C77" s="1173" t="s">
        <v>1444</v>
      </c>
      <c r="D77" s="1123"/>
    </row>
    <row r="78" spans="1:4" x14ac:dyDescent="0.2">
      <c r="A78" s="1099"/>
      <c r="B78" s="1109"/>
      <c r="C78" s="1117" t="s">
        <v>2053</v>
      </c>
      <c r="D78" s="1123" t="str">
        <f>IF(ISNUMBER('Acct Summary 7-8'!C9),"OK","ENTRY IS REQUIRED!")</f>
        <v>OK</v>
      </c>
    </row>
    <row r="79" spans="1:4" x14ac:dyDescent="0.2">
      <c r="A79" s="1118"/>
      <c r="B79" s="1119">
        <f>B74+1+1</f>
        <v>12</v>
      </c>
      <c r="C79" s="1129" t="s">
        <v>2018</v>
      </c>
      <c r="D79" s="1130" t="str">
        <f>IF(OR(COVER!$B$6="X",'PCTC-OEPP 27-28'!F78&gt;0),"OK","PLEASE ENTER 9 MO ADA.")</f>
        <v>OK</v>
      </c>
    </row>
    <row r="80" spans="1:4" x14ac:dyDescent="0.2">
      <c r="A80" s="1097"/>
      <c r="B80" s="1119">
        <v>13</v>
      </c>
      <c r="C80" s="1129" t="s">
        <v>2054</v>
      </c>
      <c r="D80" s="1130" t="str">
        <f>IF('Contracts Paid in CY 29'!D141&gt;0,"OK","PLEASE ENTER CONTRACTS PAID IN CURRENT YEAR.")</f>
        <v>OK</v>
      </c>
    </row>
    <row r="81" spans="1:4" x14ac:dyDescent="0.2">
      <c r="A81" s="1097"/>
      <c r="B81" s="1119">
        <v>14</v>
      </c>
      <c r="C81" s="1129" t="s">
        <v>1495</v>
      </c>
      <c r="D81" s="1122" t="str">
        <f>IF('Shared Outsourced Services 31'!B8="X","OK",IF('Shared Outsourced Services 31'!K34&gt;0,"OK","ENTRY REQUIRED!"))</f>
        <v>OK</v>
      </c>
    </row>
    <row r="82" spans="1:4" x14ac:dyDescent="0.2">
      <c r="A82" s="1118"/>
      <c r="B82" s="1119">
        <v>15</v>
      </c>
      <c r="C82" s="1129" t="s">
        <v>1494</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48072309026</v>
      </c>
    </row>
    <row r="3" spans="1:2" x14ac:dyDescent="0.2">
      <c r="A3" t="s">
        <v>1013</v>
      </c>
      <c r="B3" s="138" t="str">
        <f>COVER!A15</f>
        <v>Peoria</v>
      </c>
    </row>
    <row r="4" spans="1:2" x14ac:dyDescent="0.2">
      <c r="A4" t="s">
        <v>1064</v>
      </c>
      <c r="B4" s="138" t="str">
        <f>COVER!A17</f>
        <v>Brimfield CUSD 309</v>
      </c>
    </row>
    <row r="5" spans="1:2" x14ac:dyDescent="0.2">
      <c r="A5" t="s">
        <v>728</v>
      </c>
      <c r="B5" s="138" t="str">
        <f>COVER!A38</f>
        <v>Robert Richardson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Jason Hohulin, CPA</v>
      </c>
    </row>
    <row r="18" spans="1:2" x14ac:dyDescent="0.2">
      <c r="A18" t="s">
        <v>1212</v>
      </c>
      <c r="B18" s="138" t="str">
        <f>COVER!T17</f>
        <v>4200 N Knoxville Ave</v>
      </c>
    </row>
    <row r="19" spans="1:2" x14ac:dyDescent="0.2">
      <c r="A19" t="s">
        <v>941</v>
      </c>
      <c r="B19" s="138" t="str">
        <f>COVER!T25</f>
        <v>jhohulin@gorenzcpa.com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591100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5256</v>
      </c>
      <c r="D76" s="2" t="str">
        <f t="shared" si="0"/>
        <v>Error?</v>
      </c>
    </row>
    <row r="77" spans="1:4" x14ac:dyDescent="0.2">
      <c r="A77" s="5">
        <v>16</v>
      </c>
      <c r="B77" s="138">
        <f>'Assets-Liab 5-6'!C13</f>
        <v>2639907</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2586145</v>
      </c>
      <c r="D92" s="2" t="str">
        <f t="shared" si="0"/>
        <v>Error?</v>
      </c>
    </row>
    <row r="93" spans="1:4" x14ac:dyDescent="0.2">
      <c r="A93" s="5">
        <v>32</v>
      </c>
      <c r="B93" s="138">
        <f>'Assets-Liab 5-6'!C41</f>
        <v>2639907</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336500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896053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896053</v>
      </c>
      <c r="D123" s="2" t="str">
        <f t="shared" si="0"/>
        <v>Error?</v>
      </c>
    </row>
    <row r="124" spans="1:4" x14ac:dyDescent="0.2">
      <c r="A124" s="5">
        <v>63</v>
      </c>
      <c r="B124" s="138">
        <f>'Assets-Liab 5-6'!D41</f>
        <v>896053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426889</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426889</v>
      </c>
      <c r="D140" s="2" t="str">
        <f t="shared" si="1"/>
        <v>Error?</v>
      </c>
    </row>
    <row r="141" spans="1:4" x14ac:dyDescent="0.2">
      <c r="A141" s="5">
        <v>80</v>
      </c>
      <c r="B141" s="138">
        <f>'Assets-Liab 5-6'!E41</f>
        <v>426889</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248200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429307</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429307</v>
      </c>
      <c r="D170" s="2" t="str">
        <f t="shared" si="1"/>
        <v>Error?</v>
      </c>
    </row>
    <row r="171" spans="1:4" x14ac:dyDescent="0.2">
      <c r="A171" s="5">
        <v>110</v>
      </c>
      <c r="B171" s="138">
        <f>'Assets-Liab 5-6'!F41</f>
        <v>429307</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99500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346396</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167853</v>
      </c>
      <c r="D189" s="2" t="str">
        <f t="shared" si="1"/>
        <v>Error?</v>
      </c>
    </row>
    <row r="190" spans="1:4" x14ac:dyDescent="0.2">
      <c r="A190" s="5">
        <v>129</v>
      </c>
      <c r="B190" s="138">
        <f>'Assets-Liab 5-6'!G41</f>
        <v>346396</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158735</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158735</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773994</v>
      </c>
      <c r="D273" s="2" t="str">
        <f t="shared" si="3"/>
        <v>Error?</v>
      </c>
    </row>
    <row r="274" spans="1:4" x14ac:dyDescent="0.2">
      <c r="A274" s="5">
        <v>213</v>
      </c>
      <c r="B274" s="138">
        <f>'Assets-Liab 5-6'!M17</f>
        <v>19401629</v>
      </c>
      <c r="D274" s="2" t="str">
        <f t="shared" si="3"/>
        <v>Error?</v>
      </c>
    </row>
    <row r="275" spans="1:4" x14ac:dyDescent="0.2">
      <c r="A275" s="5">
        <v>214</v>
      </c>
      <c r="B275" s="138">
        <f>'Assets-Liab 5-6'!M18</f>
        <v>1054072</v>
      </c>
      <c r="D275" s="2" t="str">
        <f t="shared" si="3"/>
        <v>Error?</v>
      </c>
    </row>
    <row r="276" spans="1:4" x14ac:dyDescent="0.2">
      <c r="A276" s="5">
        <v>215</v>
      </c>
      <c r="B276" s="138">
        <f>'Assets-Liab 5-6'!M19</f>
        <v>971526</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22201221</v>
      </c>
      <c r="C279" s="2" t="s">
        <v>594</v>
      </c>
      <c r="D279" s="2" t="str">
        <f t="shared" si="3"/>
        <v>Error?</v>
      </c>
    </row>
    <row r="280" spans="1:4" x14ac:dyDescent="0.2">
      <c r="A280" s="5">
        <v>219</v>
      </c>
      <c r="B280" s="138">
        <f>'Assets-Liab 5-6'!M40</f>
        <v>22201221</v>
      </c>
      <c r="D280" s="2" t="str">
        <f t="shared" si="3"/>
        <v>Error?</v>
      </c>
    </row>
    <row r="281" spans="1:4" x14ac:dyDescent="0.2">
      <c r="A281" s="5">
        <v>220</v>
      </c>
      <c r="B281" s="138">
        <f>'Assets-Liab 5-6'!M41</f>
        <v>22201221</v>
      </c>
      <c r="C281" s="2" t="s">
        <v>594</v>
      </c>
      <c r="D281" s="2" t="str">
        <f t="shared" si="3"/>
        <v>Error?</v>
      </c>
    </row>
    <row r="282" spans="1:4" x14ac:dyDescent="0.2">
      <c r="A282" s="5">
        <v>221</v>
      </c>
      <c r="B282" s="138">
        <f>'Assets-Liab 5-6'!N21</f>
        <v>426889</v>
      </c>
      <c r="D282" s="2" t="str">
        <f t="shared" si="3"/>
        <v>Error?</v>
      </c>
    </row>
    <row r="283" spans="1:4" x14ac:dyDescent="0.2">
      <c r="A283" s="5">
        <v>222</v>
      </c>
      <c r="B283" s="138">
        <f>'Assets-Liab 5-6'!N22</f>
        <v>9564633</v>
      </c>
      <c r="D283" s="2" t="str">
        <f t="shared" si="3"/>
        <v>Error?</v>
      </c>
    </row>
    <row r="284" spans="1:4" x14ac:dyDescent="0.2">
      <c r="A284" s="5">
        <v>223</v>
      </c>
      <c r="B284" s="138">
        <f>'Assets-Liab 5-6'!N23</f>
        <v>9991522</v>
      </c>
      <c r="C284" s="2" t="s">
        <v>594</v>
      </c>
      <c r="D284" s="2" t="str">
        <f t="shared" si="3"/>
        <v>Error?</v>
      </c>
    </row>
    <row r="285" spans="1:4" x14ac:dyDescent="0.2">
      <c r="A285" s="5">
        <v>224</v>
      </c>
      <c r="B285" s="138">
        <f>'Assets-Liab 5-6'!N36</f>
        <v>9991522</v>
      </c>
      <c r="D285" s="2" t="str">
        <f t="shared" si="3"/>
        <v>Error?</v>
      </c>
    </row>
    <row r="286" spans="1:4" x14ac:dyDescent="0.2">
      <c r="A286" s="10">
        <v>225</v>
      </c>
      <c r="D286" s="2" t="str">
        <f t="shared" si="3"/>
        <v>OK</v>
      </c>
    </row>
    <row r="287" spans="1:4" x14ac:dyDescent="0.2">
      <c r="A287" s="5">
        <v>226</v>
      </c>
      <c r="B287" s="138">
        <f>'Assets-Liab 5-6'!N37</f>
        <v>9991522</v>
      </c>
      <c r="C287" s="2" t="s">
        <v>594</v>
      </c>
      <c r="D287" s="2" t="str">
        <f t="shared" si="3"/>
        <v>Error?</v>
      </c>
    </row>
    <row r="288" spans="1:4" x14ac:dyDescent="0.2">
      <c r="A288" s="5">
        <v>227</v>
      </c>
      <c r="B288" s="138">
        <f>'Assets-Liab 5-6'!N41</f>
        <v>9991522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1989580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191905</v>
      </c>
      <c r="D717" s="2" t="str">
        <f t="shared" si="10"/>
        <v>Error?</v>
      </c>
    </row>
    <row r="718" spans="1:4" x14ac:dyDescent="0.2">
      <c r="A718" s="5">
        <v>657</v>
      </c>
      <c r="B718" s="138">
        <f>'Expenditures 15-22'!C14</f>
        <v>158606</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2872962</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54899</v>
      </c>
      <c r="D722" s="2" t="str">
        <f t="shared" si="10"/>
        <v>Error?</v>
      </c>
    </row>
    <row r="723" spans="1:4" x14ac:dyDescent="0.2">
      <c r="A723" s="5">
        <v>662</v>
      </c>
      <c r="B723" s="138">
        <f>'Expenditures 15-22'!C38</f>
        <v>14949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65258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135106</v>
      </c>
      <c r="C727" s="2" t="s">
        <v>594</v>
      </c>
      <c r="D727" s="2" t="str">
        <f t="shared" si="10"/>
        <v>Error?</v>
      </c>
    </row>
    <row r="728" spans="1:4" x14ac:dyDescent="0.2">
      <c r="A728" s="5">
        <v>667</v>
      </c>
      <c r="B728" s="138">
        <f>'Expenditures 15-22'!C44</f>
        <v>4000</v>
      </c>
      <c r="D728" s="2" t="str">
        <f t="shared" si="10"/>
        <v>Error?</v>
      </c>
    </row>
    <row r="729" spans="1:4" x14ac:dyDescent="0.2">
      <c r="A729" s="5">
        <v>668</v>
      </c>
      <c r="B729" s="138">
        <f>'Expenditures 15-22'!C45</f>
        <v>34261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38261</v>
      </c>
      <c r="C731" s="2" t="s">
        <v>594</v>
      </c>
      <c r="D731" s="2" t="str">
        <f t="shared" si="10"/>
        <v>Error?</v>
      </c>
    </row>
    <row r="732" spans="1:4" x14ac:dyDescent="0.2">
      <c r="A732" s="5">
        <v>671</v>
      </c>
      <c r="B732" s="138">
        <f>'Expenditures 15-22'!C49</f>
        <v>0</v>
      </c>
      <c r="D732" s="2" t="str">
        <f t="shared" si="10"/>
        <v>Error?</v>
      </c>
    </row>
    <row r="733" spans="1:4" x14ac:dyDescent="0.2">
      <c r="A733" s="5">
        <v>672</v>
      </c>
      <c r="B733" s="138">
        <f>'Expenditures 15-22'!C50</f>
        <v>62043</v>
      </c>
      <c r="D733" s="2" t="str">
        <f t="shared" si="10"/>
        <v>Error?</v>
      </c>
    </row>
    <row r="734" spans="1:4" x14ac:dyDescent="0.2">
      <c r="A734" s="5">
        <v>673</v>
      </c>
      <c r="B734" s="138">
        <f>'Expenditures 15-22'!C53</f>
        <v>62043</v>
      </c>
      <c r="C734" s="2" t="s">
        <v>594</v>
      </c>
      <c r="D734" s="2" t="str">
        <f t="shared" si="10"/>
        <v>Error?</v>
      </c>
    </row>
    <row r="735" spans="1:4" x14ac:dyDescent="0.2">
      <c r="A735" s="5">
        <v>674</v>
      </c>
      <c r="B735" s="138">
        <f>'Expenditures 15-22'!C55</f>
        <v>220515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220515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44275</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83826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128101</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584026</v>
      </c>
      <c r="C755" s="2" t="s">
        <v>594</v>
      </c>
      <c r="D755" s="2" t="str">
        <f t="shared" si="10"/>
        <v>Error?</v>
      </c>
    </row>
    <row r="756" spans="1:4" x14ac:dyDescent="0.2">
      <c r="A756" s="5">
        <v>695</v>
      </c>
      <c r="B756" s="138">
        <f>'Expenditures 15-22'!C75</f>
        <v>23598</v>
      </c>
      <c r="D756" s="2" t="str">
        <f t="shared" si="10"/>
        <v>Error?</v>
      </c>
    </row>
    <row r="757" spans="1:4" x14ac:dyDescent="0.2">
      <c r="A757" s="5">
        <v>696</v>
      </c>
      <c r="B757" s="138">
        <f>'Expenditures 15-22'!C114</f>
        <v>3480586</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287459</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22921</v>
      </c>
      <c r="D775" s="2" t="str">
        <f t="shared" si="11"/>
        <v>Error?</v>
      </c>
    </row>
    <row r="776" spans="1:4" x14ac:dyDescent="0.2">
      <c r="A776" s="5">
        <v>715</v>
      </c>
      <c r="B776" s="138">
        <f>'Expenditures 15-22'!D14</f>
        <v>2969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369800</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6435</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7834</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14269</v>
      </c>
      <c r="C785" s="2" t="s">
        <v>594</v>
      </c>
      <c r="D785" s="2" t="str">
        <f t="shared" si="11"/>
        <v>Error?</v>
      </c>
    </row>
    <row r="786" spans="1:4" x14ac:dyDescent="0.2">
      <c r="A786" s="5">
        <v>725</v>
      </c>
      <c r="B786" s="138">
        <f>'Expenditures 15-22'!D44</f>
        <v>506</v>
      </c>
      <c r="D786" s="2" t="str">
        <f t="shared" si="11"/>
        <v>Error?</v>
      </c>
    </row>
    <row r="787" spans="1:4" x14ac:dyDescent="0.2">
      <c r="A787" s="5">
        <v>726</v>
      </c>
      <c r="B787" s="138">
        <f>'Expenditures 15-22'!D45</f>
        <v>5707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6213</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1236</v>
      </c>
      <c r="D791" s="2" t="str">
        <f t="shared" si="11"/>
        <v>Error?</v>
      </c>
    </row>
    <row r="792" spans="1:4" x14ac:dyDescent="0.2">
      <c r="A792" s="5">
        <v>731</v>
      </c>
      <c r="B792" s="138">
        <f>'Expenditures 15-22'!D53</f>
        <v>1236</v>
      </c>
      <c r="C792" s="2" t="s">
        <v>594</v>
      </c>
      <c r="D792" s="2" t="str">
        <f t="shared" si="11"/>
        <v>Error?</v>
      </c>
    </row>
    <row r="793" spans="1:4" x14ac:dyDescent="0.2">
      <c r="A793" s="5">
        <v>732</v>
      </c>
      <c r="B793" s="138">
        <f>'Expenditures 15-22'!D55</f>
        <v>35953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35953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7918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6229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14147</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71818</v>
      </c>
      <c r="C813" s="2" t="s">
        <v>594</v>
      </c>
      <c r="D813" s="2" t="str">
        <f t="shared" si="11"/>
        <v>Error?</v>
      </c>
    </row>
    <row r="814" spans="1:4" x14ac:dyDescent="0.2">
      <c r="A814" s="5">
        <v>753</v>
      </c>
      <c r="B814" s="138">
        <f>'Expenditures 15-22'!D75</f>
        <v>144</v>
      </c>
      <c r="D814" s="2" t="str">
        <f t="shared" si="11"/>
        <v>Error?</v>
      </c>
    </row>
    <row r="815" spans="1:4" x14ac:dyDescent="0.2">
      <c r="A815" s="5">
        <v>754</v>
      </c>
      <c r="B815" s="138">
        <f>'Expenditures 15-22'!D114</f>
        <v>441762</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64412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57955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122684</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12056</v>
      </c>
      <c r="D844" s="2" t="str">
        <f t="shared" si="12"/>
        <v>Error?</v>
      </c>
    </row>
    <row r="845" spans="1:4" x14ac:dyDescent="0.2">
      <c r="A845" s="5">
        <v>784</v>
      </c>
      <c r="B845" s="138">
        <f>'Expenditures 15-22'!E45</f>
        <v>6432</v>
      </c>
      <c r="D845" s="2" t="str">
        <f t="shared" si="12"/>
        <v>Error?</v>
      </c>
    </row>
    <row r="846" spans="1:4" x14ac:dyDescent="0.2">
      <c r="A846" s="5">
        <v>785</v>
      </c>
      <c r="B846" s="138">
        <f>'Expenditures 15-22'!E46</f>
        <v>3120</v>
      </c>
      <c r="D846" s="2" t="str">
        <f t="shared" si="12"/>
        <v>Error?</v>
      </c>
    </row>
    <row r="847" spans="1:4" x14ac:dyDescent="0.2">
      <c r="A847" s="5">
        <v>786</v>
      </c>
      <c r="B847" s="138">
        <f>'Expenditures 15-22'!E47</f>
        <v>21608</v>
      </c>
      <c r="C847" s="2" t="s">
        <v>594</v>
      </c>
      <c r="D847" s="2" t="str">
        <f t="shared" si="12"/>
        <v>Error?</v>
      </c>
    </row>
    <row r="848" spans="1:4" x14ac:dyDescent="0.2">
      <c r="A848" s="5">
        <v>787</v>
      </c>
      <c r="B848" s="138">
        <f>'Expenditures 15-22'!E49</f>
        <v>20153</v>
      </c>
      <c r="D848" s="2" t="str">
        <f t="shared" si="12"/>
        <v>Error?</v>
      </c>
    </row>
    <row r="849" spans="1:4" x14ac:dyDescent="0.2">
      <c r="A849" s="5">
        <v>788</v>
      </c>
      <c r="B849" s="138">
        <f>'Expenditures 15-22'!E50</f>
        <v>1218</v>
      </c>
      <c r="D849" s="2" t="str">
        <f t="shared" si="12"/>
        <v>Error?</v>
      </c>
    </row>
    <row r="850" spans="1:4" x14ac:dyDescent="0.2">
      <c r="A850" s="5">
        <v>789</v>
      </c>
      <c r="B850" s="138">
        <f>'Expenditures 15-22'!E53</f>
        <v>21371</v>
      </c>
      <c r="C850" s="2" t="s">
        <v>594</v>
      </c>
      <c r="D850" s="2" t="str">
        <f t="shared" si="12"/>
        <v>Error?</v>
      </c>
    </row>
    <row r="851" spans="1:4" x14ac:dyDescent="0.2">
      <c r="A851" s="5">
        <v>790</v>
      </c>
      <c r="B851" s="138">
        <f>'Expenditures 15-22'!E55</f>
        <v>14934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14934</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2847</v>
      </c>
      <c r="D855" s="2" t="str">
        <f t="shared" si="12"/>
        <v>Error?</v>
      </c>
    </row>
    <row r="856" spans="1:4" x14ac:dyDescent="0.2">
      <c r="A856" s="5">
        <v>795</v>
      </c>
      <c r="B856" s="138">
        <f>'Expenditures 15-22'!E61</f>
        <v>17970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3065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23882</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81795</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205670</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103916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22069</v>
      </c>
      <c r="D891" s="2" t="str">
        <f t="shared" si="12"/>
        <v>Error?</v>
      </c>
    </row>
    <row r="892" spans="1:4" x14ac:dyDescent="0.2">
      <c r="A892" s="5">
        <v>831</v>
      </c>
      <c r="B892" s="138">
        <f>'Expenditures 15-22'!F14</f>
        <v>16510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151188</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778</v>
      </c>
      <c r="D896" s="2" t="str">
        <f t="shared" si="13"/>
        <v>Error?</v>
      </c>
    </row>
    <row r="897" spans="1:4" x14ac:dyDescent="0.2">
      <c r="A897" s="5">
        <v>836</v>
      </c>
      <c r="B897" s="138">
        <f>'Expenditures 15-22'!F38</f>
        <v>1400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1574</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3752</v>
      </c>
      <c r="C901" s="2" t="s">
        <v>594</v>
      </c>
      <c r="D901" s="2" t="str">
        <f t="shared" si="13"/>
        <v>Error?</v>
      </c>
    </row>
    <row r="902" spans="1:4" x14ac:dyDescent="0.2">
      <c r="A902" s="5">
        <v>841</v>
      </c>
      <c r="B902" s="138">
        <f>'Expenditures 15-22'!F44</f>
        <v>10697</v>
      </c>
      <c r="D902" s="2" t="str">
        <f t="shared" si="13"/>
        <v>Error?</v>
      </c>
    </row>
    <row r="903" spans="1:4" x14ac:dyDescent="0.2">
      <c r="A903" s="5">
        <v>842</v>
      </c>
      <c r="B903" s="138">
        <f>'Expenditures 15-22'!F45</f>
        <v>4123</v>
      </c>
      <c r="D903" s="2" t="str">
        <f t="shared" si="13"/>
        <v>Error?</v>
      </c>
    </row>
    <row r="904" spans="1:4" x14ac:dyDescent="0.2">
      <c r="A904" s="5">
        <v>843</v>
      </c>
      <c r="B904" s="138">
        <f>'Expenditures 15-22'!F46</f>
        <v>425</v>
      </c>
      <c r="D904" s="2" t="str">
        <f t="shared" si="13"/>
        <v>Error?</v>
      </c>
    </row>
    <row r="905" spans="1:4" x14ac:dyDescent="0.2">
      <c r="A905" s="5">
        <v>844</v>
      </c>
      <c r="B905" s="138">
        <f>'Expenditures 15-22'!F47</f>
        <v>15245</v>
      </c>
      <c r="C905" s="2" t="s">
        <v>594</v>
      </c>
      <c r="D905" s="2" t="str">
        <f t="shared" si="13"/>
        <v>Error?</v>
      </c>
    </row>
    <row r="906" spans="1:4" x14ac:dyDescent="0.2">
      <c r="A906" s="5">
        <v>845</v>
      </c>
      <c r="B906" s="138">
        <f>'Expenditures 15-22'!F49</f>
        <v>34</v>
      </c>
      <c r="D906" s="2" t="str">
        <f t="shared" si="13"/>
        <v>Error?</v>
      </c>
    </row>
    <row r="907" spans="1:4" x14ac:dyDescent="0.2">
      <c r="A907" s="5">
        <v>846</v>
      </c>
      <c r="B907" s="138">
        <f>'Expenditures 15-22'!F50</f>
        <v>0</v>
      </c>
      <c r="D907" s="2" t="str">
        <f t="shared" si="13"/>
        <v>Error?</v>
      </c>
    </row>
    <row r="908" spans="1:4" x14ac:dyDescent="0.2">
      <c r="A908" s="5">
        <v>847</v>
      </c>
      <c r="B908" s="138">
        <f>'Expenditures 15-22'!F53</f>
        <v>34</v>
      </c>
      <c r="C908" s="2" t="s">
        <v>594</v>
      </c>
      <c r="D908" s="2" t="str">
        <f t="shared" si="13"/>
        <v>Error?</v>
      </c>
    </row>
    <row r="909" spans="1:4" x14ac:dyDescent="0.2">
      <c r="A909" s="5">
        <v>848</v>
      </c>
      <c r="B909" s="138">
        <f>'Expenditures 15-22'!F55</f>
        <v>178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178</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3108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135198</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138306</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157515</v>
      </c>
      <c r="C929" s="2" t="s">
        <v>594</v>
      </c>
      <c r="D929" s="2" t="str">
        <f t="shared" si="13"/>
        <v>Error?</v>
      </c>
    </row>
    <row r="930" spans="1:4" x14ac:dyDescent="0.2">
      <c r="A930" s="5">
        <v>869</v>
      </c>
      <c r="B930" s="138">
        <f>'Expenditures 15-22'!F75</f>
        <v>2628</v>
      </c>
      <c r="D930" s="2" t="str">
        <f t="shared" si="13"/>
        <v>Error?</v>
      </c>
    </row>
    <row r="931" spans="1:4" x14ac:dyDescent="0.2">
      <c r="A931" s="5">
        <v>870</v>
      </c>
      <c r="B931" s="138">
        <f>'Expenditures 15-22'!F114</f>
        <v>311331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25873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1008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26881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26881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7977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784</v>
      </c>
      <c r="D1007" s="2" t="str">
        <f t="shared" si="14"/>
        <v>Error?</v>
      </c>
    </row>
    <row r="1008" spans="1:4" x14ac:dyDescent="0.2">
      <c r="A1008" s="5">
        <v>947</v>
      </c>
      <c r="B1008" s="138">
        <f>'Expenditures 15-22'!H14</f>
        <v>28667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69463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50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50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9875</v>
      </c>
      <c r="D1022" s="2" t="str">
        <f t="shared" si="14"/>
        <v>Error?</v>
      </c>
    </row>
    <row r="1023" spans="1:4" x14ac:dyDescent="0.2">
      <c r="A1023" s="5">
        <v>962</v>
      </c>
      <c r="B1023" s="138">
        <f>'Expenditures 15-22'!H50</f>
        <v>340</v>
      </c>
      <c r="D1023" s="2" t="str">
        <f t="shared" ref="D1023:D1086" si="15">IF(ISBLANK(B1023),"OK",IF(A1023-B1023=0,"OK","Error?"))</f>
        <v>Error?</v>
      </c>
    </row>
    <row r="1024" spans="1:4" x14ac:dyDescent="0.2">
      <c r="A1024" s="5">
        <v>963</v>
      </c>
      <c r="B1024" s="138">
        <f>'Expenditures 15-22'!H53</f>
        <v>10215</v>
      </c>
      <c r="C1024" s="2" t="s">
        <v>594</v>
      </c>
      <c r="D1024" s="2" t="str">
        <f t="shared" si="15"/>
        <v>Error?</v>
      </c>
    </row>
    <row r="1025" spans="1:4" x14ac:dyDescent="0.2">
      <c r="A1025" s="5">
        <v>964</v>
      </c>
      <c r="B1025" s="138">
        <f>'Expenditures 15-22'!H55</f>
        <v>2260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2260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20326</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1636</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21962</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34487</v>
      </c>
      <c r="C1045" s="2" t="s">
        <v>594</v>
      </c>
      <c r="D1045" s="2" t="str">
        <f t="shared" si="15"/>
        <v>Error?</v>
      </c>
    </row>
    <row r="1046" spans="1:4" x14ac:dyDescent="0.2">
      <c r="A1046" s="5">
        <v>985</v>
      </c>
      <c r="B1046" s="138">
        <f>'Expenditures 15-22'!H75</f>
        <v>665</v>
      </c>
      <c r="D1046" s="2" t="str">
        <f t="shared" si="15"/>
        <v>Error?</v>
      </c>
    </row>
    <row r="1047" spans="1:4" x14ac:dyDescent="0.2">
      <c r="A1047" s="5">
        <v>986</v>
      </c>
      <c r="B1047" s="138">
        <f>'Expenditures 15-22'!H102</f>
        <v>298064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402679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2479217</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238687</v>
      </c>
      <c r="C1105" s="2" t="s">
        <v>594</v>
      </c>
      <c r="D1105" s="2" t="str">
        <f t="shared" si="16"/>
        <v>Error?</v>
      </c>
    </row>
    <row r="1106" spans="1:4" x14ac:dyDescent="0.2">
      <c r="A1106" s="5">
        <v>1045</v>
      </c>
      <c r="B1106" s="138">
        <f>'Expenditures 15-22'!K14</f>
        <v>264707</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3612978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62112</v>
      </c>
      <c r="C1110" s="2" t="s">
        <v>594</v>
      </c>
      <c r="D1110" s="2" t="str">
        <f t="shared" si="16"/>
        <v>Error?</v>
      </c>
    </row>
    <row r="1111" spans="1:4" x14ac:dyDescent="0.2">
      <c r="A1111" s="5">
        <v>1050</v>
      </c>
      <c r="B1111" s="138">
        <f>'Expenditures 15-22'!K38</f>
        <v>16399</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74666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153177</v>
      </c>
      <c r="C1115" s="2" t="s">
        <v>594</v>
      </c>
      <c r="D1115" s="2" t="str">
        <f t="shared" si="16"/>
        <v>Error?</v>
      </c>
    </row>
    <row r="1116" spans="1:4" x14ac:dyDescent="0.2">
      <c r="A1116" s="5">
        <v>1055</v>
      </c>
      <c r="B1116" s="138">
        <f>'Expenditures 15-22'!K44</f>
        <v>27259</v>
      </c>
      <c r="C1116" s="2" t="s">
        <v>594</v>
      </c>
      <c r="D1116" s="2" t="str">
        <f t="shared" si="16"/>
        <v>Error?</v>
      </c>
    </row>
    <row r="1117" spans="1:4" x14ac:dyDescent="0.2">
      <c r="A1117" s="5">
        <v>1056</v>
      </c>
      <c r="B1117" s="138">
        <f>'Expenditures 15-22'!K45</f>
        <v>50523</v>
      </c>
      <c r="C1117" s="2" t="s">
        <v>594</v>
      </c>
      <c r="D1117" s="2" t="str">
        <f t="shared" si="16"/>
        <v>Error?</v>
      </c>
    </row>
    <row r="1118" spans="1:4" x14ac:dyDescent="0.2">
      <c r="A1118" s="5">
        <v>1057</v>
      </c>
      <c r="B1118" s="138">
        <f>'Expenditures 15-22'!K46</f>
        <v>3545</v>
      </c>
      <c r="C1118" s="2" t="s">
        <v>594</v>
      </c>
      <c r="D1118" s="2" t="str">
        <f t="shared" si="16"/>
        <v>Error?</v>
      </c>
    </row>
    <row r="1119" spans="1:4" x14ac:dyDescent="0.2">
      <c r="A1119" s="5">
        <v>1058</v>
      </c>
      <c r="B1119" s="138">
        <f>'Expenditures 15-22'!K47</f>
        <v>81327</v>
      </c>
      <c r="C1119" s="2" t="s">
        <v>594</v>
      </c>
      <c r="D1119" s="2" t="str">
        <f t="shared" si="16"/>
        <v>Error?</v>
      </c>
    </row>
    <row r="1120" spans="1:4" x14ac:dyDescent="0.2">
      <c r="A1120" s="5">
        <v>1059</v>
      </c>
      <c r="B1120" s="138">
        <f>'Expenditures 15-22'!K49</f>
        <v>30062</v>
      </c>
      <c r="C1120" s="2" t="s">
        <v>594</v>
      </c>
      <c r="D1120" s="2" t="str">
        <f t="shared" si="16"/>
        <v>Error?</v>
      </c>
    </row>
    <row r="1121" spans="1:4" x14ac:dyDescent="0.2">
      <c r="A1121" s="5">
        <v>1060</v>
      </c>
      <c r="B1121" s="138">
        <f>'Expenditures 15-22'!K50</f>
        <v>64837</v>
      </c>
      <c r="C1121" s="2" t="s">
        <v>594</v>
      </c>
      <c r="D1121" s="2" t="str">
        <f t="shared" si="16"/>
        <v>Error?</v>
      </c>
    </row>
    <row r="1122" spans="1:4" x14ac:dyDescent="0.2">
      <c r="A1122" s="5">
        <v>1061</v>
      </c>
      <c r="B1122" s="138">
        <f>'Expenditures 15-22'!K53</f>
        <v>94899</v>
      </c>
      <c r="C1122" s="2" t="s">
        <v>594</v>
      </c>
      <c r="D1122" s="2" t="str">
        <f t="shared" si="16"/>
        <v>Error?</v>
      </c>
    </row>
    <row r="1123" spans="1:4" x14ac:dyDescent="0.2">
      <c r="A1123" s="5">
        <v>1062</v>
      </c>
      <c r="B1123" s="138">
        <f>'Expenditures 15-22'!K55</f>
        <v>273840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273840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78474</v>
      </c>
      <c r="C1127" s="2" t="s">
        <v>594</v>
      </c>
      <c r="D1127" s="2" t="str">
        <f t="shared" si="16"/>
        <v>Error?</v>
      </c>
    </row>
    <row r="1128" spans="1:4" x14ac:dyDescent="0.2">
      <c r="A1128" s="5">
        <v>1067</v>
      </c>
      <c r="B1128" s="138">
        <f>'Expenditures 15-22'!K61</f>
        <v>17970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229954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326398</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929641</v>
      </c>
      <c r="C1143" s="2" t="s">
        <v>594</v>
      </c>
      <c r="D1143" s="2" t="str">
        <f t="shared" si="16"/>
        <v>Error?</v>
      </c>
    </row>
    <row r="1144" spans="1:4" x14ac:dyDescent="0.2">
      <c r="A1144" s="5">
        <v>1083</v>
      </c>
      <c r="B1144" s="138">
        <f>'Expenditures 15-22'!K75</f>
        <v>27035</v>
      </c>
      <c r="C1144" s="2" t="s">
        <v>594</v>
      </c>
      <c r="D1144" s="2" t="str">
        <f t="shared" si="16"/>
        <v>Error?</v>
      </c>
    </row>
    <row r="1145" spans="1:4" x14ac:dyDescent="0.2">
      <c r="A1145" s="5">
        <v>1084</v>
      </c>
      <c r="B1145" s="138">
        <f>'Expenditures 15-22'!K102</f>
        <v>299255</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4868909</v>
      </c>
      <c r="C1152" s="2" t="s">
        <v>594</v>
      </c>
      <c r="D1152" s="2" t="str">
        <f t="shared" si="17"/>
        <v>Error?</v>
      </c>
    </row>
    <row r="1153" spans="1:4" x14ac:dyDescent="0.2">
      <c r="A1153" s="5">
        <v>1092</v>
      </c>
      <c r="B1153" s="138">
        <f>'Expenditures 15-22'!K115</f>
        <v>413549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173973</v>
      </c>
      <c r="D1221" s="2" t="str">
        <f t="shared" si="18"/>
        <v>Error?</v>
      </c>
    </row>
    <row r="1222" spans="1:4" x14ac:dyDescent="0.2">
      <c r="A1222" s="10">
        <v>1161</v>
      </c>
      <c r="D1222" s="2" t="str">
        <f t="shared" si="18"/>
        <v>OK</v>
      </c>
    </row>
    <row r="1223" spans="1:4" x14ac:dyDescent="0.2">
      <c r="A1223" s="5">
        <v>1162</v>
      </c>
      <c r="B1223" s="138">
        <f>'Expenditures 15-22'!C127</f>
        <v>173973</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173973</v>
      </c>
      <c r="C1225" s="2" t="s">
        <v>594</v>
      </c>
      <c r="D1225" s="2" t="str">
        <f t="shared" si="18"/>
        <v>Error?</v>
      </c>
    </row>
    <row r="1226" spans="1:4" x14ac:dyDescent="0.2">
      <c r="A1226" s="5">
        <v>1165</v>
      </c>
      <c r="B1226" s="138">
        <f>'Expenditures 15-22'!C151</f>
        <v>173973</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30192</v>
      </c>
      <c r="D1229" s="2" t="str">
        <f t="shared" si="18"/>
        <v>Error?</v>
      </c>
    </row>
    <row r="1230" spans="1:4" x14ac:dyDescent="0.2">
      <c r="A1230" s="10">
        <v>1169</v>
      </c>
      <c r="D1230" s="2" t="str">
        <f t="shared" si="18"/>
        <v>OK</v>
      </c>
    </row>
    <row r="1231" spans="1:4" x14ac:dyDescent="0.2">
      <c r="A1231" s="5">
        <v>1170</v>
      </c>
      <c r="B1231" s="138">
        <f>'Expenditures 15-22'!D127</f>
        <v>30192</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30192</v>
      </c>
      <c r="C1233" s="2" t="s">
        <v>594</v>
      </c>
      <c r="D1233" s="2" t="str">
        <f t="shared" si="18"/>
        <v>Error?</v>
      </c>
    </row>
    <row r="1234" spans="1:4" x14ac:dyDescent="0.2">
      <c r="A1234" s="5">
        <v>1173</v>
      </c>
      <c r="B1234" s="138">
        <f>'Expenditures 15-22'!D151</f>
        <v>30192</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126763</v>
      </c>
      <c r="D1237" s="2" t="str">
        <f t="shared" si="18"/>
        <v>Error?</v>
      </c>
    </row>
    <row r="1238" spans="1:4" x14ac:dyDescent="0.2">
      <c r="A1238" s="10">
        <v>1177</v>
      </c>
      <c r="D1238" s="2" t="str">
        <f t="shared" si="18"/>
        <v>OK</v>
      </c>
    </row>
    <row r="1239" spans="1:4" x14ac:dyDescent="0.2">
      <c r="A1239" s="5">
        <v>1178</v>
      </c>
      <c r="B1239" s="138">
        <f>'Expenditures 15-22'!E127</f>
        <v>126763</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126763</v>
      </c>
      <c r="C1241" s="2" t="s">
        <v>594</v>
      </c>
      <c r="D1241" s="2" t="str">
        <f t="shared" si="18"/>
        <v>Error?</v>
      </c>
    </row>
    <row r="1242" spans="1:4" x14ac:dyDescent="0.2">
      <c r="A1242" s="5">
        <v>1181</v>
      </c>
      <c r="B1242" s="138">
        <f>'Expenditures 15-22'!E151</f>
        <v>127880</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172694</v>
      </c>
      <c r="D1245" s="2" t="str">
        <f t="shared" si="18"/>
        <v>Error?</v>
      </c>
    </row>
    <row r="1246" spans="1:4" x14ac:dyDescent="0.2">
      <c r="A1246" s="10">
        <v>1185</v>
      </c>
      <c r="D1246" s="2" t="str">
        <f t="shared" si="18"/>
        <v>OK</v>
      </c>
    </row>
    <row r="1247" spans="1:4" x14ac:dyDescent="0.2">
      <c r="A1247" s="5">
        <v>1186</v>
      </c>
      <c r="B1247" s="138">
        <f>'Expenditures 15-22'!F127</f>
        <v>172694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172694</v>
      </c>
      <c r="C1249" s="2" t="s">
        <v>594</v>
      </c>
      <c r="D1249" s="2" t="str">
        <f t="shared" si="18"/>
        <v>Error?</v>
      </c>
    </row>
    <row r="1250" spans="1:4" x14ac:dyDescent="0.2">
      <c r="A1250" s="5">
        <v>1189</v>
      </c>
      <c r="B1250" s="138">
        <f>'Expenditures 15-22'!F151</f>
        <v>172694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3032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3032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3032</v>
      </c>
      <c r="C1258" s="2" t="s">
        <v>594</v>
      </c>
      <c r="D1258" s="2" t="str">
        <f t="shared" si="18"/>
        <v>Error?</v>
      </c>
    </row>
    <row r="1259" spans="1:4" x14ac:dyDescent="0.2">
      <c r="A1259" s="5">
        <v>1198</v>
      </c>
      <c r="B1259" s="138">
        <f>'Expenditures 15-22'!G151</f>
        <v>3032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91</v>
      </c>
      <c r="D1262" s="2" t="str">
        <f t="shared" si="18"/>
        <v>Error?</v>
      </c>
    </row>
    <row r="1263" spans="1:4" x14ac:dyDescent="0.2">
      <c r="A1263" s="10">
        <v>1202</v>
      </c>
      <c r="D1263" s="2" t="str">
        <f t="shared" si="18"/>
        <v>OK</v>
      </c>
    </row>
    <row r="1264" spans="1:4" x14ac:dyDescent="0.2">
      <c r="A1264" s="5">
        <v>1203</v>
      </c>
      <c r="B1264" s="138">
        <f>'Expenditures 15-22'!H127</f>
        <v>91</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91</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91</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506745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506745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506745</v>
      </c>
      <c r="C1281" s="2" t="s">
        <v>594</v>
      </c>
      <c r="D1281" s="2" t="str">
        <f t="shared" si="19"/>
        <v>Error?</v>
      </c>
    </row>
    <row r="1282" spans="1:4" x14ac:dyDescent="0.2">
      <c r="A1282" s="5">
        <v>1221</v>
      </c>
      <c r="B1282" s="138">
        <f>'Expenditures 15-22'!K139</f>
        <v>1117</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507862</v>
      </c>
      <c r="C1288" s="2" t="s">
        <v>594</v>
      </c>
      <c r="D1288" s="2" t="str">
        <f t="shared" si="19"/>
        <v>Error?</v>
      </c>
    </row>
    <row r="1289" spans="1:4" x14ac:dyDescent="0.2">
      <c r="A1289" s="5">
        <v>1228</v>
      </c>
      <c r="B1289" s="138">
        <f>'Expenditures 15-22'!K152</f>
        <v>82354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763240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317933</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1081173</v>
      </c>
      <c r="C1317" s="2" t="s">
        <v>594</v>
      </c>
      <c r="D1317" s="2" t="str">
        <f t="shared" si="19"/>
        <v>Error?</v>
      </c>
    </row>
    <row r="1318" spans="1:4" x14ac:dyDescent="0.2">
      <c r="A1318" s="5">
        <v>1257</v>
      </c>
      <c r="B1318" s="138">
        <f>'Expenditures 15-22'!H174</f>
        <v>1081173</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763240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317933</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1081173</v>
      </c>
      <c r="C1331" s="2" t="s">
        <v>594</v>
      </c>
      <c r="D1331" s="2" t="str">
        <f t="shared" si="19"/>
        <v>Error?</v>
      </c>
    </row>
    <row r="1332" spans="1:4" x14ac:dyDescent="0.2">
      <c r="A1332" s="5">
        <v>1271</v>
      </c>
      <c r="B1332" s="138">
        <f>'Expenditures 15-22'!K174</f>
        <v>1081173</v>
      </c>
      <c r="C1332" s="2" t="s">
        <v>594</v>
      </c>
      <c r="D1332" s="2" t="str">
        <f t="shared" si="19"/>
        <v>Error?</v>
      </c>
    </row>
    <row r="1333" spans="1:4" x14ac:dyDescent="0.2">
      <c r="A1333" s="5">
        <v>1272</v>
      </c>
      <c r="B1333" s="138">
        <f>'Expenditures 15-22'!K175</f>
        <v>36207</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417574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417574</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417574</v>
      </c>
      <c r="C1353" s="2" t="s">
        <v>594</v>
      </c>
      <c r="D1353" s="2" t="str">
        <f t="shared" si="20"/>
        <v>Error?</v>
      </c>
    </row>
    <row r="1354" spans="1:4" x14ac:dyDescent="0.2">
      <c r="A1354" s="5">
        <v>1293</v>
      </c>
      <c r="B1354" s="138">
        <f>'Expenditures 15-22'!F182</f>
        <v>44692</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44692</v>
      </c>
      <c r="C1358" s="2" t="s">
        <v>594</v>
      </c>
      <c r="D1358" s="2" t="str">
        <f t="shared" si="20"/>
        <v>Error?</v>
      </c>
    </row>
    <row r="1359" spans="1:4" x14ac:dyDescent="0.2">
      <c r="A1359" s="5">
        <v>1298</v>
      </c>
      <c r="B1359" s="138">
        <f>'Expenditures 15-22'!F210</f>
        <v>44692</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462266</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462266</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462266</v>
      </c>
      <c r="C1388" s="2" t="s">
        <v>594</v>
      </c>
      <c r="D1388" s="2" t="str">
        <f t="shared" si="20"/>
        <v>Error?</v>
      </c>
    </row>
    <row r="1389" spans="1:4" x14ac:dyDescent="0.2">
      <c r="A1389" s="5">
        <v>1328</v>
      </c>
      <c r="B1389" s="138">
        <f>'Expenditures 15-22'!K211</f>
        <v>65326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2740</v>
      </c>
      <c r="D1407" s="2" t="str">
        <f t="shared" ref="D1407:D1470" si="21">IF(ISBLANK(B1407),"OK",IF(A1407-B1407=0,"OK","Error?"))</f>
        <v>Error?</v>
      </c>
    </row>
    <row r="1408" spans="1:4" x14ac:dyDescent="0.2">
      <c r="A1408" s="5">
        <v>1347</v>
      </c>
      <c r="B1408" s="138">
        <f>'Expenditures 15-22'!D223</f>
        <v>5693</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84298</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788</v>
      </c>
      <c r="D1412" s="2" t="str">
        <f t="shared" si="21"/>
        <v>Error?</v>
      </c>
    </row>
    <row r="1413" spans="1:4" x14ac:dyDescent="0.2">
      <c r="A1413" s="5">
        <v>1352</v>
      </c>
      <c r="B1413" s="138">
        <f>'Expenditures 15-22'!D234</f>
        <v>4461</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932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6181</v>
      </c>
      <c r="C1417" s="2" t="s">
        <v>594</v>
      </c>
      <c r="D1417" s="2" t="str">
        <f t="shared" si="21"/>
        <v>Error?</v>
      </c>
    </row>
    <row r="1418" spans="1:4" x14ac:dyDescent="0.2">
      <c r="A1418" s="5">
        <v>1357</v>
      </c>
      <c r="B1418" s="138">
        <f>'Expenditures 15-22'!D240</f>
        <v>58</v>
      </c>
      <c r="D1418" s="2" t="str">
        <f t="shared" si="21"/>
        <v>Error?</v>
      </c>
    </row>
    <row r="1419" spans="1:4" x14ac:dyDescent="0.2">
      <c r="A1419" s="5">
        <v>1358</v>
      </c>
      <c r="B1419" s="138">
        <f>'Expenditures 15-22'!D241</f>
        <v>1673</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1731</v>
      </c>
      <c r="C1421" s="2" t="s">
        <v>594</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4147</v>
      </c>
      <c r="D1423" s="2" t="str">
        <f t="shared" si="21"/>
        <v>Error?</v>
      </c>
    </row>
    <row r="1424" spans="1:4" x14ac:dyDescent="0.2">
      <c r="A1424" s="5">
        <v>1363</v>
      </c>
      <c r="B1424" s="138">
        <f>'Expenditures 15-22'!D257</f>
        <v>4147</v>
      </c>
      <c r="C1424" s="2" t="s">
        <v>594</v>
      </c>
      <c r="D1424" s="2" t="str">
        <f t="shared" si="21"/>
        <v>Error?</v>
      </c>
    </row>
    <row r="1425" spans="1:4" x14ac:dyDescent="0.2">
      <c r="A1425" s="5">
        <v>1364</v>
      </c>
      <c r="B1425" s="138">
        <f>'Expenditures 15-22'!D259</f>
        <v>13860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13860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9805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41160</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17593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68558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94477</v>
      </c>
      <c r="C1446" s="2" t="s">
        <v>594</v>
      </c>
      <c r="D1446" s="2" t="str">
        <f t="shared" si="21"/>
        <v>Error?</v>
      </c>
    </row>
    <row r="1447" spans="1:4" x14ac:dyDescent="0.2">
      <c r="A1447" s="5">
        <v>1386</v>
      </c>
      <c r="B1447" s="138">
        <f>'Expenditures 15-22'!D280</f>
        <v>3859</v>
      </c>
      <c r="D1447" s="2" t="str">
        <f t="shared" si="21"/>
        <v>Error?</v>
      </c>
    </row>
    <row r="1448" spans="1:4" x14ac:dyDescent="0.2">
      <c r="A1448" s="5">
        <v>1387</v>
      </c>
      <c r="B1448" s="138">
        <f>'Expenditures 15-22'!D295</f>
        <v>186784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2740</v>
      </c>
      <c r="C1471" s="2" t="s">
        <v>594</v>
      </c>
      <c r="D1471" s="2" t="str">
        <f t="shared" ref="D1471:D1534" si="22">IF(ISBLANK(B1471),"OK",IF(A1471-B1471=0,"OK","Error?"))</f>
        <v>Error?</v>
      </c>
    </row>
    <row r="1472" spans="1:4" x14ac:dyDescent="0.2">
      <c r="A1472" s="5">
        <v>1411</v>
      </c>
      <c r="B1472" s="138">
        <f>'Expenditures 15-22'!K223</f>
        <v>5693</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84298</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788</v>
      </c>
      <c r="C1476" s="2" t="s">
        <v>594</v>
      </c>
      <c r="D1476" s="2" t="str">
        <f t="shared" si="22"/>
        <v>Error?</v>
      </c>
    </row>
    <row r="1477" spans="1:4" x14ac:dyDescent="0.2">
      <c r="A1477" s="5">
        <v>1416</v>
      </c>
      <c r="B1477" s="138">
        <f>'Expenditures 15-22'!K234</f>
        <v>4461</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932</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6181</v>
      </c>
      <c r="C1481" s="2" t="s">
        <v>594</v>
      </c>
      <c r="D1481" s="2" t="str">
        <f t="shared" si="22"/>
        <v>Error?</v>
      </c>
    </row>
    <row r="1482" spans="1:4" x14ac:dyDescent="0.2">
      <c r="A1482" s="5">
        <v>1421</v>
      </c>
      <c r="B1482" s="138">
        <f>'Expenditures 15-22'!K240</f>
        <v>58</v>
      </c>
      <c r="C1482" s="2" t="s">
        <v>594</v>
      </c>
      <c r="D1482" s="2" t="str">
        <f t="shared" si="22"/>
        <v>Error?</v>
      </c>
    </row>
    <row r="1483" spans="1:4" x14ac:dyDescent="0.2">
      <c r="A1483" s="5">
        <v>1422</v>
      </c>
      <c r="B1483" s="138">
        <f>'Expenditures 15-22'!K241</f>
        <v>1673</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1731</v>
      </c>
      <c r="C1485" s="2" t="s">
        <v>594</v>
      </c>
      <c r="D1485" s="2" t="str">
        <f t="shared" si="22"/>
        <v>Error?</v>
      </c>
    </row>
    <row r="1486" spans="1:4" x14ac:dyDescent="0.2">
      <c r="A1486" s="5">
        <v>1425</v>
      </c>
      <c r="B1486" s="138">
        <f>'Expenditures 15-22'!K245</f>
        <v>0</v>
      </c>
      <c r="C1486" s="2" t="s">
        <v>594</v>
      </c>
      <c r="D1486" s="2" t="str">
        <f t="shared" si="22"/>
        <v>Error?</v>
      </c>
    </row>
    <row r="1487" spans="1:4" x14ac:dyDescent="0.2">
      <c r="A1487" s="5">
        <v>1426</v>
      </c>
      <c r="B1487" s="138">
        <f>'Expenditures 15-22'!K246</f>
        <v>4147</v>
      </c>
      <c r="C1487" s="2" t="s">
        <v>594</v>
      </c>
      <c r="D1487" s="2" t="str">
        <f t="shared" si="22"/>
        <v>Error?</v>
      </c>
    </row>
    <row r="1488" spans="1:4" x14ac:dyDescent="0.2">
      <c r="A1488" s="5">
        <v>1427</v>
      </c>
      <c r="B1488" s="138">
        <f>'Expenditures 15-22'!K257</f>
        <v>4147</v>
      </c>
      <c r="C1488" s="2" t="s">
        <v>594</v>
      </c>
      <c r="D1488" s="2" t="str">
        <f t="shared" si="22"/>
        <v>Error?</v>
      </c>
    </row>
    <row r="1489" spans="1:4" x14ac:dyDescent="0.2">
      <c r="A1489" s="5">
        <v>1428</v>
      </c>
      <c r="B1489" s="138">
        <f>'Expenditures 15-22'!K259</f>
        <v>13860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13860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9805</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41160</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17593</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68558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94477</v>
      </c>
      <c r="C1510" s="2" t="s">
        <v>594</v>
      </c>
      <c r="D1510" s="2" t="str">
        <f t="shared" si="22"/>
        <v>Error?</v>
      </c>
    </row>
    <row r="1511" spans="1:4" x14ac:dyDescent="0.2">
      <c r="A1511" s="5">
        <v>1450</v>
      </c>
      <c r="B1511" s="138">
        <f>'Expenditures 15-22'!K280</f>
        <v>3859</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186784</v>
      </c>
      <c r="C1517" s="2" t="s">
        <v>594</v>
      </c>
      <c r="D1517" s="2" t="str">
        <f t="shared" si="22"/>
        <v>Error?</v>
      </c>
    </row>
    <row r="1518" spans="1:4" x14ac:dyDescent="0.2">
      <c r="A1518" s="5">
        <v>1457</v>
      </c>
      <c r="B1518" s="138">
        <f>'Expenditures 15-22'!K296</f>
        <v>-61018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158735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2226358</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2639907</v>
      </c>
      <c r="C1630" s="2" t="s">
        <v>594</v>
      </c>
      <c r="D1630" s="2" t="str">
        <f t="shared" si="24"/>
        <v>Error?</v>
      </c>
    </row>
    <row r="1631" spans="1:4" x14ac:dyDescent="0.2">
      <c r="A1631" s="5">
        <v>1570</v>
      </c>
      <c r="B1631" s="138">
        <f>'Acct Summary 7-8'!D79</f>
        <v>813699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896053</v>
      </c>
      <c r="C1644" s="2" t="s">
        <v>594</v>
      </c>
      <c r="D1644" s="2" t="str">
        <f t="shared" si="24"/>
        <v>Error?</v>
      </c>
    </row>
    <row r="1645" spans="1:4" x14ac:dyDescent="0.2">
      <c r="A1645" s="5">
        <v>1584</v>
      </c>
      <c r="B1645" s="138">
        <f>'Acct Summary 7-8'!E79</f>
        <v>390682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426889</v>
      </c>
      <c r="C1658" s="2" t="s">
        <v>594</v>
      </c>
      <c r="D1658" s="2" t="str">
        <f t="shared" si="24"/>
        <v>Error?</v>
      </c>
    </row>
    <row r="1659" spans="1:4" x14ac:dyDescent="0.2">
      <c r="A1659" s="5">
        <v>1598</v>
      </c>
      <c r="B1659" s="138">
        <f>'Acct Summary 7-8'!F79</f>
        <v>363981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429307</v>
      </c>
      <c r="C1672" s="2" t="s">
        <v>594</v>
      </c>
      <c r="D1672" s="2" t="str">
        <f t="shared" si="25"/>
        <v>Error?</v>
      </c>
    </row>
    <row r="1673" spans="1:4" x14ac:dyDescent="0.2">
      <c r="A1673" s="5">
        <v>1612</v>
      </c>
      <c r="B1673" s="138">
        <f>'Acct Summary 7-8'!G79</f>
        <v>407414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346396</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158735</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2835519</v>
      </c>
      <c r="C1744" s="2" t="s">
        <v>594</v>
      </c>
      <c r="D1744" s="2" t="str">
        <f t="shared" si="26"/>
        <v>Error?</v>
      </c>
    </row>
    <row r="1745" spans="1:5" x14ac:dyDescent="0.2">
      <c r="A1745" s="5">
        <v>1684</v>
      </c>
      <c r="B1745" s="138">
        <f>'Tax Sched 23'!B5</f>
        <v>567104</v>
      </c>
      <c r="C1745" s="2" t="s">
        <v>594</v>
      </c>
      <c r="D1745" s="2" t="str">
        <f t="shared" si="26"/>
        <v>Error?</v>
      </c>
    </row>
    <row r="1746" spans="1:5" x14ac:dyDescent="0.2">
      <c r="A1746" s="5">
        <v>1685</v>
      </c>
      <c r="B1746" s="138">
        <f>'Tax Sched 23'!B6</f>
        <v>960854</v>
      </c>
      <c r="C1746" s="2" t="s">
        <v>594</v>
      </c>
      <c r="D1746" s="2" t="str">
        <f t="shared" si="26"/>
        <v>Error?</v>
      </c>
    </row>
    <row r="1747" spans="1:5" x14ac:dyDescent="0.2">
      <c r="A1747" s="5">
        <v>1686</v>
      </c>
      <c r="B1747" s="138">
        <f>'Tax Sched 23'!B7</f>
        <v>226842</v>
      </c>
      <c r="C1747" s="2" t="s">
        <v>594</v>
      </c>
      <c r="D1747" s="2" t="str">
        <f t="shared" si="26"/>
        <v>Error?</v>
      </c>
    </row>
    <row r="1748" spans="1:5" x14ac:dyDescent="0.2">
      <c r="A1748" s="5">
        <v>1687</v>
      </c>
      <c r="B1748" s="138">
        <f>'Tax Sched 23'!B8</f>
        <v>45229</v>
      </c>
      <c r="C1748" s="2" t="s">
        <v>594</v>
      </c>
      <c r="D1748" s="2" t="str">
        <f t="shared" si="26"/>
        <v>Error?</v>
      </c>
    </row>
    <row r="1749" spans="1:5" x14ac:dyDescent="0.2">
      <c r="A1749" s="5">
        <v>1688</v>
      </c>
      <c r="B1749" s="138">
        <f>'Tax Sched 23'!B10</f>
        <v>56710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275151</v>
      </c>
      <c r="C1752" s="2" t="s">
        <v>594</v>
      </c>
      <c r="D1752" s="2" t="str">
        <f t="shared" si="26"/>
        <v>Error?</v>
      </c>
    </row>
    <row r="1753" spans="1:5" x14ac:dyDescent="0.2">
      <c r="A1753" s="5">
        <v>1692</v>
      </c>
      <c r="B1753" s="138">
        <f>'Tax Sched 23'!B12</f>
        <v>56710</v>
      </c>
      <c r="C1753" s="2" t="s">
        <v>594</v>
      </c>
      <c r="D1753" s="2" t="str">
        <f t="shared" si="26"/>
        <v>Error?</v>
      </c>
    </row>
    <row r="1754" spans="1:5" x14ac:dyDescent="0.2">
      <c r="A1754" s="5">
        <v>1693</v>
      </c>
      <c r="B1754" s="138">
        <f>'Tax Sched 23'!B14</f>
        <v>283553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5432224</v>
      </c>
      <c r="C1759" s="2" t="s">
        <v>594</v>
      </c>
      <c r="D1759" s="2" t="str">
        <f t="shared" si="26"/>
        <v>Error?</v>
      </c>
    </row>
    <row r="1760" spans="1:5" x14ac:dyDescent="0.2">
      <c r="A1760" s="5">
        <v>1699</v>
      </c>
      <c r="B1760" s="138">
        <f>'Tax Sched 23'!D4</f>
        <v>1603974</v>
      </c>
      <c r="C1760" s="2" t="s">
        <v>594</v>
      </c>
      <c r="D1760" s="2" t="str">
        <f t="shared" si="26"/>
        <v>Error?</v>
      </c>
    </row>
    <row r="1761" spans="1:5" x14ac:dyDescent="0.2">
      <c r="A1761" s="5">
        <v>1700</v>
      </c>
      <c r="B1761" s="138">
        <f>'Tax Sched 23'!D5</f>
        <v>320795</v>
      </c>
      <c r="C1761" s="2" t="s">
        <v>594</v>
      </c>
      <c r="D1761" s="2" t="str">
        <f t="shared" si="26"/>
        <v>Error?</v>
      </c>
    </row>
    <row r="1762" spans="1:5" s="8" customFormat="1" x14ac:dyDescent="0.2">
      <c r="A1762" s="5">
        <v>1701</v>
      </c>
      <c r="B1762" s="138">
        <f>'Tax Sched 23'!D6</f>
        <v>534518</v>
      </c>
      <c r="C1762" s="2" t="s">
        <v>594</v>
      </c>
      <c r="D1762" s="2" t="str">
        <f t="shared" si="26"/>
        <v>Error?</v>
      </c>
      <c r="E1762" s="9"/>
    </row>
    <row r="1763" spans="1:5" x14ac:dyDescent="0.2">
      <c r="A1763" s="5">
        <v>1702</v>
      </c>
      <c r="B1763" s="138">
        <f>'Tax Sched 23'!D7</f>
        <v>128318</v>
      </c>
      <c r="C1763" s="2" t="s">
        <v>594</v>
      </c>
      <c r="D1763" s="2" t="str">
        <f t="shared" si="26"/>
        <v>Error?</v>
      </c>
    </row>
    <row r="1764" spans="1:5" x14ac:dyDescent="0.2">
      <c r="A1764" s="5">
        <v>1703</v>
      </c>
      <c r="B1764" s="138">
        <f>'Tax Sched 23'!D8</f>
        <v>25687</v>
      </c>
      <c r="C1764" s="2" t="s">
        <v>594</v>
      </c>
      <c r="D1764" s="2" t="str">
        <f t="shared" si="26"/>
        <v>Error?</v>
      </c>
    </row>
    <row r="1765" spans="1:5" x14ac:dyDescent="0.2">
      <c r="A1765" s="5">
        <v>1704</v>
      </c>
      <c r="B1765" s="138">
        <f>'Tax Sched 23'!D10</f>
        <v>32079</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156814</v>
      </c>
      <c r="C1768" s="2" t="s">
        <v>594</v>
      </c>
      <c r="D1768" s="2" t="str">
        <f t="shared" si="26"/>
        <v>Error?</v>
      </c>
    </row>
    <row r="1769" spans="1:5" x14ac:dyDescent="0.2">
      <c r="A1769" s="5">
        <v>1708</v>
      </c>
      <c r="B1769" s="138">
        <f>'Tax Sched 23'!D12</f>
        <v>32079</v>
      </c>
      <c r="C1769" s="2" t="s">
        <v>594</v>
      </c>
      <c r="D1769" s="2" t="str">
        <f t="shared" si="26"/>
        <v>Error?</v>
      </c>
    </row>
    <row r="1770" spans="1:5" x14ac:dyDescent="0.2">
      <c r="A1770" s="5">
        <v>1709</v>
      </c>
      <c r="B1770" s="138">
        <f>'Tax Sched 23'!D14</f>
        <v>160398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3065268</v>
      </c>
      <c r="C1775" s="2" t="s">
        <v>594</v>
      </c>
      <c r="D1775" s="2" t="str">
        <f t="shared" si="26"/>
        <v>Error?</v>
      </c>
    </row>
    <row r="1776" spans="1:5" x14ac:dyDescent="0.2">
      <c r="A1776" s="5">
        <v>1715</v>
      </c>
      <c r="B1776" s="138">
        <f>'Tax Sched 23'!C4</f>
        <v>1231545</v>
      </c>
      <c r="D1776" s="2" t="str">
        <f t="shared" si="26"/>
        <v>Error?</v>
      </c>
    </row>
    <row r="1777" spans="1:4" x14ac:dyDescent="0.2">
      <c r="A1777" s="5">
        <v>1716</v>
      </c>
      <c r="B1777" s="138">
        <f>'Tax Sched 23'!C5</f>
        <v>246309</v>
      </c>
      <c r="D1777" s="2" t="str">
        <f t="shared" si="26"/>
        <v>Error?</v>
      </c>
    </row>
    <row r="1778" spans="1:4" x14ac:dyDescent="0.2">
      <c r="A1778" s="5">
        <v>1717</v>
      </c>
      <c r="B1778" s="138">
        <f>'Tax Sched 23'!C6</f>
        <v>426336</v>
      </c>
      <c r="D1778" s="2" t="str">
        <f t="shared" si="26"/>
        <v>Error?</v>
      </c>
    </row>
    <row r="1779" spans="1:4" x14ac:dyDescent="0.2">
      <c r="A1779" s="5">
        <v>1718</v>
      </c>
      <c r="B1779" s="138">
        <f>'Tax Sched 23'!C7</f>
        <v>98524</v>
      </c>
      <c r="D1779" s="2" t="str">
        <f t="shared" si="26"/>
        <v>Error?</v>
      </c>
    </row>
    <row r="1780" spans="1:4" x14ac:dyDescent="0.2">
      <c r="A1780" s="5">
        <v>1719</v>
      </c>
      <c r="B1780" s="138">
        <f>'Tax Sched 23'!C8</f>
        <v>19542</v>
      </c>
      <c r="D1780" s="2" t="str">
        <f t="shared" si="26"/>
        <v>Error?</v>
      </c>
    </row>
    <row r="1781" spans="1:4" x14ac:dyDescent="0.2">
      <c r="A1781" s="5">
        <v>1720</v>
      </c>
      <c r="B1781" s="138">
        <f>'Tax Sched 23'!C10</f>
        <v>24631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118337</v>
      </c>
      <c r="D1784" s="2" t="str">
        <f t="shared" si="26"/>
        <v>Error?</v>
      </c>
    </row>
    <row r="1785" spans="1:4" x14ac:dyDescent="0.2">
      <c r="A1785" s="5">
        <v>1724</v>
      </c>
      <c r="B1785" s="138">
        <f>'Tax Sched 23'!C12</f>
        <v>24631</v>
      </c>
      <c r="D1785" s="2" t="str">
        <f t="shared" si="26"/>
        <v>Error?</v>
      </c>
    </row>
    <row r="1786" spans="1:4" x14ac:dyDescent="0.2">
      <c r="A1786" s="5">
        <v>1725</v>
      </c>
      <c r="B1786" s="138">
        <f>'Tax Sched 23'!C14</f>
        <v>123155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2366956</v>
      </c>
      <c r="C1791" s="2" t="s">
        <v>594</v>
      </c>
      <c r="D1791" s="2" t="str">
        <f t="shared" ref="D1791:D1854" si="27">IF(ISBLANK(B1791),"OK",IF(A1791-B1791=0,"OK","Error?"))</f>
        <v>Error?</v>
      </c>
    </row>
    <row r="1792" spans="1:4" x14ac:dyDescent="0.2">
      <c r="A1792" s="5">
        <v>1731</v>
      </c>
      <c r="B1792" s="138">
        <f>'Tax Sched 23'!F4</f>
        <v>1604450</v>
      </c>
      <c r="C1792" s="2" t="s">
        <v>594</v>
      </c>
      <c r="D1792" s="2" t="str">
        <f t="shared" si="27"/>
        <v>Error?</v>
      </c>
    </row>
    <row r="1793" spans="1:4" x14ac:dyDescent="0.2">
      <c r="A1793" s="5">
        <v>1732</v>
      </c>
      <c r="B1793" s="138">
        <f>'Tax Sched 23'!F5</f>
        <v>320890</v>
      </c>
      <c r="C1793" s="2" t="s">
        <v>594</v>
      </c>
      <c r="D1793" s="2" t="str">
        <f t="shared" si="27"/>
        <v>Error?</v>
      </c>
    </row>
    <row r="1794" spans="1:4" x14ac:dyDescent="0.2">
      <c r="A1794" s="5">
        <v>1733</v>
      </c>
      <c r="B1794" s="138">
        <f>'Tax Sched 23'!F6</f>
        <v>555429</v>
      </c>
      <c r="C1794" s="2" t="s">
        <v>594</v>
      </c>
      <c r="D1794" s="2" t="str">
        <f t="shared" si="27"/>
        <v>Error?</v>
      </c>
    </row>
    <row r="1795" spans="1:4" x14ac:dyDescent="0.2">
      <c r="A1795" s="5">
        <v>1734</v>
      </c>
      <c r="B1795" s="138">
        <f>'Tax Sched 23'!F7</f>
        <v>128356</v>
      </c>
      <c r="C1795" s="2" t="s">
        <v>594</v>
      </c>
      <c r="D1795" s="2" t="str">
        <f t="shared" si="27"/>
        <v>Error?</v>
      </c>
    </row>
    <row r="1796" spans="1:4" x14ac:dyDescent="0.2">
      <c r="A1796" s="5">
        <v>1735</v>
      </c>
      <c r="B1796" s="138">
        <f>'Tax Sched 23'!F8</f>
        <v>25460</v>
      </c>
      <c r="C1796" s="2" t="s">
        <v>594</v>
      </c>
      <c r="D1796" s="2" t="str">
        <f t="shared" si="27"/>
        <v>Error?</v>
      </c>
    </row>
    <row r="1797" spans="1:4" x14ac:dyDescent="0.2">
      <c r="A1797" s="5">
        <v>1736</v>
      </c>
      <c r="B1797" s="138">
        <f>'Tax Sched 23'!F10</f>
        <v>32089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154168</v>
      </c>
      <c r="C1800" s="2" t="s">
        <v>594</v>
      </c>
      <c r="D1800" s="2" t="str">
        <f t="shared" si="27"/>
        <v>Error?</v>
      </c>
    </row>
    <row r="1801" spans="1:4" x14ac:dyDescent="0.2">
      <c r="A1801" s="5">
        <v>1740</v>
      </c>
      <c r="B1801" s="138">
        <f>'Tax Sched 23'!F12</f>
        <v>32089</v>
      </c>
      <c r="C1801" s="2" t="s">
        <v>594</v>
      </c>
      <c r="D1801" s="2" t="str">
        <f t="shared" si="27"/>
        <v>Error?</v>
      </c>
    </row>
    <row r="1802" spans="1:4" x14ac:dyDescent="0.2">
      <c r="A1802" s="5">
        <v>1741</v>
      </c>
      <c r="B1802" s="138">
        <f>'Tax Sched 23'!F14</f>
        <v>160444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3083657</v>
      </c>
      <c r="C1807" s="2" t="s">
        <v>594</v>
      </c>
      <c r="D1807" s="2" t="str">
        <f t="shared" si="27"/>
        <v>Error?</v>
      </c>
    </row>
    <row r="1808" spans="1:4" x14ac:dyDescent="0.2">
      <c r="A1808" s="5">
        <v>1747</v>
      </c>
      <c r="B1808" s="138">
        <f>'Tax Sched 23'!E4</f>
        <v>2835995</v>
      </c>
      <c r="D1808" s="2" t="str">
        <f t="shared" si="27"/>
        <v>Error?</v>
      </c>
    </row>
    <row r="1809" spans="1:4" x14ac:dyDescent="0.2">
      <c r="A1809" s="5">
        <v>1748</v>
      </c>
      <c r="B1809" s="138">
        <f>'Tax Sched 23'!E5</f>
        <v>567199</v>
      </c>
      <c r="D1809" s="2" t="str">
        <f t="shared" si="27"/>
        <v>Error?</v>
      </c>
    </row>
    <row r="1810" spans="1:4" x14ac:dyDescent="0.2">
      <c r="A1810" s="5">
        <v>1749</v>
      </c>
      <c r="B1810" s="138">
        <f>'Tax Sched 23'!E6</f>
        <v>981765</v>
      </c>
      <c r="D1810" s="2" t="str">
        <f t="shared" si="27"/>
        <v>Error?</v>
      </c>
    </row>
    <row r="1811" spans="1:4" x14ac:dyDescent="0.2">
      <c r="A1811" s="5">
        <v>1750</v>
      </c>
      <c r="B1811" s="138">
        <f>'Tax Sched 23'!E7</f>
        <v>226880</v>
      </c>
      <c r="D1811" s="2" t="str">
        <f t="shared" si="27"/>
        <v>Error?</v>
      </c>
    </row>
    <row r="1812" spans="1:4" x14ac:dyDescent="0.2">
      <c r="A1812" s="5">
        <v>1751</v>
      </c>
      <c r="B1812" s="138">
        <f>'Tax Sched 23'!E8</f>
        <v>45002</v>
      </c>
      <c r="D1812" s="2" t="str">
        <f t="shared" si="27"/>
        <v>Error?</v>
      </c>
    </row>
    <row r="1813" spans="1:4" x14ac:dyDescent="0.2">
      <c r="A1813" s="5">
        <v>1752</v>
      </c>
      <c r="B1813" s="138">
        <f>'Tax Sched 23'!E10</f>
        <v>56720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272505</v>
      </c>
      <c r="D1816" s="2" t="str">
        <f t="shared" si="27"/>
        <v>Error?</v>
      </c>
    </row>
    <row r="1817" spans="1:4" x14ac:dyDescent="0.2">
      <c r="A1817" s="5">
        <v>1756</v>
      </c>
      <c r="B1817" s="138">
        <f>'Tax Sched 23'!E12</f>
        <v>56720</v>
      </c>
      <c r="D1817" s="2" t="str">
        <f t="shared" si="27"/>
        <v>Error?</v>
      </c>
    </row>
    <row r="1818" spans="1:4" x14ac:dyDescent="0.2">
      <c r="A1818" s="5">
        <v>1757</v>
      </c>
      <c r="B1818" s="138">
        <f>'Tax Sched 23'!E14</f>
        <v>283599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5450613</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10309455</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283553</v>
      </c>
      <c r="D1972" s="2" t="str">
        <f t="shared" si="29"/>
        <v>Error?</v>
      </c>
    </row>
    <row r="1973" spans="1:5" x14ac:dyDescent="0.2">
      <c r="A1973" s="5">
        <v>1912</v>
      </c>
      <c r="B1973" s="138">
        <f>'Rest Tax Levies-Tort Im 25'!H6</f>
        <v>120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283673</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283673</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773994</v>
      </c>
      <c r="D2008" s="2" t="str">
        <f t="shared" si="30"/>
        <v>Error?</v>
      </c>
    </row>
    <row r="2009" spans="1:4" x14ac:dyDescent="0.2">
      <c r="A2009" s="5">
        <v>1948</v>
      </c>
      <c r="B2009" s="138">
        <f>'Cap Outlay Deprec 26'!C8</f>
        <v>19401629</v>
      </c>
      <c r="D2009" s="2" t="str">
        <f t="shared" si="30"/>
        <v>Error?</v>
      </c>
    </row>
    <row r="2010" spans="1:4" x14ac:dyDescent="0.2">
      <c r="A2010" s="5">
        <v>1949</v>
      </c>
      <c r="B2010" s="138">
        <f>'Cap Outlay Deprec 26'!C10</f>
        <v>1054072</v>
      </c>
      <c r="D2010" s="2" t="str">
        <f t="shared" si="30"/>
        <v>Error?</v>
      </c>
    </row>
    <row r="2011" spans="1:4" x14ac:dyDescent="0.2">
      <c r="A2011" s="5">
        <v>1950</v>
      </c>
      <c r="B2011" s="138">
        <f>'Cap Outlay Deprec 26'!C12</f>
        <v>944127</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22173822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29914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29914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2514</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2514</v>
      </c>
      <c r="C2025" s="2" t="s">
        <v>594</v>
      </c>
      <c r="D2025" s="2" t="str">
        <f t="shared" si="30"/>
        <v>Error?</v>
      </c>
    </row>
    <row r="2026" spans="1:4" x14ac:dyDescent="0.2">
      <c r="A2026" s="5">
        <v>1965</v>
      </c>
      <c r="B2026" s="138">
        <f>'Cap Outlay Deprec 26'!F5</f>
        <v>773994</v>
      </c>
      <c r="C2026" s="2" t="s">
        <v>594</v>
      </c>
      <c r="D2026" s="2" t="str">
        <f t="shared" si="30"/>
        <v>Error?</v>
      </c>
    </row>
    <row r="2027" spans="1:4" x14ac:dyDescent="0.2">
      <c r="A2027" s="5">
        <v>1966</v>
      </c>
      <c r="B2027" s="138">
        <f>'Cap Outlay Deprec 26'!F8</f>
        <v>19401629</v>
      </c>
      <c r="C2027" s="2" t="s">
        <v>594</v>
      </c>
      <c r="D2027" s="2" t="str">
        <f t="shared" si="30"/>
        <v>Error?</v>
      </c>
    </row>
    <row r="2028" spans="1:4" x14ac:dyDescent="0.2">
      <c r="A2028" s="5">
        <v>1967</v>
      </c>
      <c r="B2028" s="138">
        <f>'Cap Outlay Deprec 26'!F10</f>
        <v>1054072</v>
      </c>
      <c r="C2028" s="2" t="s">
        <v>594</v>
      </c>
      <c r="D2028" s="2" t="str">
        <f t="shared" si="30"/>
        <v>Error?</v>
      </c>
    </row>
    <row r="2029" spans="1:4" x14ac:dyDescent="0.2">
      <c r="A2029" s="5">
        <v>1968</v>
      </c>
      <c r="B2029" s="138">
        <f>'Cap Outlay Deprec 26'!F12</f>
        <v>971527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22201222</v>
      </c>
      <c r="C2031" s="2" t="s">
        <v>594</v>
      </c>
      <c r="D2031" s="2" t="str">
        <f t="shared" si="30"/>
        <v>Error?</v>
      </c>
    </row>
    <row r="2032" spans="1:4" x14ac:dyDescent="0.2">
      <c r="A2032" s="10">
        <v>1971</v>
      </c>
      <c r="D2032" s="2" t="str">
        <f t="shared" si="30"/>
        <v>OK</v>
      </c>
    </row>
    <row r="2033" spans="1:4" x14ac:dyDescent="0.2">
      <c r="A2033" s="5">
        <v>1972</v>
      </c>
      <c r="B2033" s="138">
        <f>'Cap Outlay Deprec 26'!H8</f>
        <v>4340472</v>
      </c>
      <c r="D2033" s="2" t="str">
        <f t="shared" si="30"/>
        <v>Error?</v>
      </c>
    </row>
    <row r="2034" spans="1:4" x14ac:dyDescent="0.2">
      <c r="A2034" s="5">
        <v>1973</v>
      </c>
      <c r="B2034" s="138">
        <f>'Cap Outlay Deprec 26'!H10</f>
        <v>600043</v>
      </c>
      <c r="D2034" s="2" t="str">
        <f t="shared" si="30"/>
        <v>Error?</v>
      </c>
    </row>
    <row r="2035" spans="1:4" x14ac:dyDescent="0.2">
      <c r="A2035" s="5">
        <v>1974</v>
      </c>
      <c r="B2035" s="138">
        <f>'Cap Outlay Deprec 26'!H12</f>
        <v>573257</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5513772</v>
      </c>
      <c r="C2037" s="2" t="s">
        <v>594</v>
      </c>
      <c r="D2037" s="2" t="str">
        <f t="shared" si="30"/>
        <v>Error?</v>
      </c>
    </row>
    <row r="2038" spans="1:4" x14ac:dyDescent="0.2">
      <c r="A2038" s="10">
        <v>1977</v>
      </c>
      <c r="D2038" s="2" t="str">
        <f t="shared" si="30"/>
        <v>OK</v>
      </c>
    </row>
    <row r="2039" spans="1:4" x14ac:dyDescent="0.2">
      <c r="A2039" s="5">
        <v>1978</v>
      </c>
      <c r="B2039" s="138">
        <f>'Cap Outlay Deprec 26'!I8</f>
        <v>370926</v>
      </c>
      <c r="D2039" s="2" t="str">
        <f t="shared" si="30"/>
        <v>Error?</v>
      </c>
    </row>
    <row r="2040" spans="1:4" x14ac:dyDescent="0.2">
      <c r="A2040" s="5">
        <v>1979</v>
      </c>
      <c r="B2040" s="138">
        <f>'Cap Outlay Deprec 26'!I10</f>
        <v>51930</v>
      </c>
      <c r="D2040" s="2" t="str">
        <f t="shared" si="30"/>
        <v>Error?</v>
      </c>
    </row>
    <row r="2041" spans="1:4" x14ac:dyDescent="0.2">
      <c r="A2041" s="5">
        <v>1980</v>
      </c>
      <c r="B2041" s="138">
        <f>'Cap Outlay Deprec 26'!I12</f>
        <v>97156</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520012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2514</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2514</v>
      </c>
      <c r="C2049" s="2" t="s">
        <v>594</v>
      </c>
      <c r="D2049" s="2" t="str">
        <f t="shared" si="31"/>
        <v>Error?</v>
      </c>
    </row>
    <row r="2050" spans="1:4" x14ac:dyDescent="0.2">
      <c r="A2050" s="10">
        <v>1989</v>
      </c>
      <c r="D2050" s="2" t="str">
        <f t="shared" si="31"/>
        <v>OK</v>
      </c>
    </row>
    <row r="2051" spans="1:4" x14ac:dyDescent="0.2">
      <c r="A2051" s="5">
        <v>1990</v>
      </c>
      <c r="B2051" s="138">
        <f>'Cap Outlay Deprec 26'!K8</f>
        <v>4711398</v>
      </c>
      <c r="C2051" s="2" t="s">
        <v>594</v>
      </c>
      <c r="D2051" s="2" t="str">
        <f t="shared" si="31"/>
        <v>Error?</v>
      </c>
    </row>
    <row r="2052" spans="1:4" x14ac:dyDescent="0.2">
      <c r="A2052" s="5">
        <v>1991</v>
      </c>
      <c r="B2052" s="138">
        <f>'Cap Outlay Deprec 26'!K10</f>
        <v>651973</v>
      </c>
      <c r="C2052" s="2" t="s">
        <v>594</v>
      </c>
      <c r="D2052" s="2" t="str">
        <f t="shared" si="31"/>
        <v>Error?</v>
      </c>
    </row>
    <row r="2053" spans="1:4" x14ac:dyDescent="0.2">
      <c r="A2053" s="5">
        <v>1992</v>
      </c>
      <c r="B2053" s="138">
        <f>'Cap Outlay Deprec 26'!K12</f>
        <v>667899</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6031270</v>
      </c>
      <c r="C2055" s="2" t="s">
        <v>594</v>
      </c>
      <c r="D2055" s="2" t="str">
        <f t="shared" si="31"/>
        <v>Error?</v>
      </c>
    </row>
    <row r="2056" spans="1:4" x14ac:dyDescent="0.2">
      <c r="A2056" s="5">
        <v>1995</v>
      </c>
      <c r="B2056" s="138">
        <f>'Cap Outlay Deprec 26'!L5</f>
        <v>773994</v>
      </c>
      <c r="C2056" s="2" t="s">
        <v>594</v>
      </c>
      <c r="D2056" s="2" t="str">
        <f t="shared" si="31"/>
        <v>Error?</v>
      </c>
    </row>
    <row r="2057" spans="1:4" x14ac:dyDescent="0.2">
      <c r="A2057" s="5">
        <v>1996</v>
      </c>
      <c r="B2057" s="138">
        <f>'Cap Outlay Deprec 26'!L8</f>
        <v>14690231</v>
      </c>
      <c r="C2057" s="2" t="s">
        <v>594</v>
      </c>
      <c r="D2057" s="2" t="str">
        <f t="shared" si="31"/>
        <v>Error?</v>
      </c>
    </row>
    <row r="2058" spans="1:4" x14ac:dyDescent="0.2">
      <c r="A2058" s="5">
        <v>1997</v>
      </c>
      <c r="B2058" s="138">
        <f>'Cap Outlay Deprec 26'!L10</f>
        <v>402099</v>
      </c>
      <c r="C2058" s="2" t="s">
        <v>594</v>
      </c>
      <c r="D2058" s="2" t="str">
        <f t="shared" si="31"/>
        <v>Error?</v>
      </c>
    </row>
    <row r="2059" spans="1:4" x14ac:dyDescent="0.2">
      <c r="A2059" s="5">
        <v>1998</v>
      </c>
      <c r="B2059" s="138">
        <f>'Cap Outlay Deprec 26'!L12</f>
        <v>303628</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16169952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1191</v>
      </c>
      <c r="C2088" s="2" t="s">
        <v>594</v>
      </c>
      <c r="D2088" s="2" t="str">
        <f t="shared" si="31"/>
        <v>Error?</v>
      </c>
    </row>
    <row r="2089" spans="1:4" x14ac:dyDescent="0.2">
      <c r="A2089" s="5">
        <v>2028</v>
      </c>
      <c r="B2089" s="138">
        <f>'Expenditures 15-22'!K92</f>
        <v>298064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1117</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53762</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178543</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158735</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3667225</v>
      </c>
      <c r="C2551" s="2" t="s">
        <v>594</v>
      </c>
      <c r="D2551" s="2" t="str">
        <f t="shared" si="38"/>
        <v>Error?</v>
      </c>
    </row>
    <row r="2552" spans="1:4" x14ac:dyDescent="0.2">
      <c r="A2552" s="10">
        <v>2491</v>
      </c>
      <c r="D2552" s="2" t="str">
        <f t="shared" si="38"/>
        <v>OK</v>
      </c>
    </row>
    <row r="2553" spans="1:4" x14ac:dyDescent="0.2">
      <c r="A2553" s="5">
        <v>2492</v>
      </c>
      <c r="B2553" s="138">
        <f>'Acct Summary 7-8'!C6</f>
        <v>1386031</v>
      </c>
      <c r="C2553" s="2" t="s">
        <v>594</v>
      </c>
      <c r="D2553" s="2" t="str">
        <f t="shared" si="38"/>
        <v>Error?</v>
      </c>
    </row>
    <row r="2554" spans="1:4" x14ac:dyDescent="0.2">
      <c r="A2554" s="5">
        <v>2493</v>
      </c>
      <c r="B2554" s="138">
        <f>'Acct Summary 7-8'!C7</f>
        <v>229202</v>
      </c>
      <c r="C2554" s="2" t="s">
        <v>594</v>
      </c>
      <c r="D2554" s="2" t="str">
        <f t="shared" si="38"/>
        <v>Error?</v>
      </c>
    </row>
    <row r="2555" spans="1:4" x14ac:dyDescent="0.2">
      <c r="A2555" s="5">
        <v>2494</v>
      </c>
      <c r="B2555" s="138">
        <f>'Acct Summary 7-8'!C8</f>
        <v>5282458</v>
      </c>
      <c r="C2555" s="2" t="s">
        <v>594</v>
      </c>
      <c r="D2555" s="2" t="str">
        <f t="shared" si="38"/>
        <v>Error?</v>
      </c>
    </row>
    <row r="2556" spans="1:4" x14ac:dyDescent="0.2">
      <c r="A2556" s="5">
        <v>2495</v>
      </c>
      <c r="B2556" s="138">
        <f>'Acct Summary 7-8'!C12</f>
        <v>3612978</v>
      </c>
      <c r="C2556" s="2" t="s">
        <v>594</v>
      </c>
      <c r="D2556" s="2" t="str">
        <f t="shared" si="38"/>
        <v>Error?</v>
      </c>
    </row>
    <row r="2557" spans="1:4" x14ac:dyDescent="0.2">
      <c r="A2557" s="5">
        <v>2496</v>
      </c>
      <c r="B2557" s="138">
        <f>'Acct Summary 7-8'!C13</f>
        <v>929641</v>
      </c>
      <c r="C2557" s="2" t="s">
        <v>594</v>
      </c>
      <c r="D2557" s="2" t="str">
        <f t="shared" si="38"/>
        <v>Error?</v>
      </c>
    </row>
    <row r="2558" spans="1:4" x14ac:dyDescent="0.2">
      <c r="A2558" s="5">
        <v>2497</v>
      </c>
      <c r="B2558" s="138">
        <f>'Acct Summary 7-8'!C14</f>
        <v>27035</v>
      </c>
      <c r="C2558" s="2" t="s">
        <v>594</v>
      </c>
      <c r="D2558" s="2" t="str">
        <f t="shared" si="38"/>
        <v>Error?</v>
      </c>
    </row>
    <row r="2559" spans="1:4" x14ac:dyDescent="0.2">
      <c r="A2559" s="5">
        <v>2498</v>
      </c>
      <c r="B2559" s="138">
        <f>'Acct Summary 7-8'!C15</f>
        <v>299255</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4868909</v>
      </c>
      <c r="C2561" s="2" t="s">
        <v>594</v>
      </c>
      <c r="D2561" s="2" t="str">
        <f t="shared" si="39"/>
        <v>Error?</v>
      </c>
    </row>
    <row r="2562" spans="1:4" x14ac:dyDescent="0.2">
      <c r="A2562" s="5">
        <v>2501</v>
      </c>
      <c r="B2562" s="138">
        <f>'Acct Summary 7-8'!C20</f>
        <v>413549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590216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590216</v>
      </c>
      <c r="C2568" s="2" t="s">
        <v>594</v>
      </c>
      <c r="D2568" s="2" t="str">
        <f t="shared" si="39"/>
        <v>Error?</v>
      </c>
    </row>
    <row r="2569" spans="1:4" x14ac:dyDescent="0.2">
      <c r="A2569" s="5">
        <v>2508</v>
      </c>
      <c r="B2569" s="138">
        <f>'Acct Summary 7-8'!D13</f>
        <v>506745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1117</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507862</v>
      </c>
      <c r="C2573" s="2" t="s">
        <v>594</v>
      </c>
      <c r="D2573" s="2" t="str">
        <f t="shared" si="39"/>
        <v>Error?</v>
      </c>
    </row>
    <row r="2574" spans="1:4" x14ac:dyDescent="0.2">
      <c r="A2574" s="5">
        <v>2513</v>
      </c>
      <c r="B2574" s="138">
        <f>'Acct Summary 7-8'!D20</f>
        <v>82354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230945</v>
      </c>
      <c r="C2591" s="2" t="s">
        <v>594</v>
      </c>
      <c r="D2591" s="2" t="str">
        <f t="shared" si="39"/>
        <v>Error?</v>
      </c>
    </row>
    <row r="2592" spans="1:4" x14ac:dyDescent="0.2">
      <c r="A2592" s="10">
        <v>2531</v>
      </c>
      <c r="D2592" s="2" t="str">
        <f t="shared" si="39"/>
        <v>OK</v>
      </c>
    </row>
    <row r="2593" spans="1:4" x14ac:dyDescent="0.2">
      <c r="A2593" s="5">
        <v>2532</v>
      </c>
      <c r="B2593" s="138">
        <f>'Acct Summary 7-8'!F6</f>
        <v>296647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527592</v>
      </c>
      <c r="C2595" s="2" t="s">
        <v>594</v>
      </c>
      <c r="D2595" s="2" t="str">
        <f t="shared" si="39"/>
        <v>Error?</v>
      </c>
    </row>
    <row r="2596" spans="1:4" x14ac:dyDescent="0.2">
      <c r="A2596" s="5">
        <v>2535</v>
      </c>
      <c r="B2596" s="138">
        <f>'Acct Summary 7-8'!F13</f>
        <v>462266</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462266</v>
      </c>
      <c r="C2600" s="2" t="s">
        <v>594</v>
      </c>
      <c r="D2600" s="2" t="str">
        <f t="shared" si="39"/>
        <v>Error?</v>
      </c>
    </row>
    <row r="2601" spans="1:4" x14ac:dyDescent="0.2">
      <c r="A2601" s="5">
        <v>2540</v>
      </c>
      <c r="B2601" s="138">
        <f>'Acct Summary 7-8'!F20</f>
        <v>65326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125766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125766</v>
      </c>
      <c r="C2606" s="2" t="s">
        <v>594</v>
      </c>
      <c r="D2606" s="2" t="str">
        <f t="shared" si="39"/>
        <v>Error?</v>
      </c>
    </row>
    <row r="2607" spans="1:4" x14ac:dyDescent="0.2">
      <c r="A2607" s="5">
        <v>2546</v>
      </c>
      <c r="B2607" s="138">
        <f>'Acct Summary 7-8'!G12</f>
        <v>84298</v>
      </c>
      <c r="C2607" s="2" t="s">
        <v>594</v>
      </c>
      <c r="D2607" s="2" t="str">
        <f t="shared" si="39"/>
        <v>Error?</v>
      </c>
    </row>
    <row r="2608" spans="1:4" x14ac:dyDescent="0.2">
      <c r="A2608" s="5">
        <v>2547</v>
      </c>
      <c r="B2608" s="138">
        <f>'Acct Summary 7-8'!G13</f>
        <v>94477</v>
      </c>
      <c r="C2608" s="2" t="s">
        <v>594</v>
      </c>
      <c r="D2608" s="2" t="str">
        <f t="shared" si="39"/>
        <v>Error?</v>
      </c>
    </row>
    <row r="2609" spans="1:4" x14ac:dyDescent="0.2">
      <c r="A2609" s="5">
        <v>2548</v>
      </c>
      <c r="B2609" s="138">
        <f>'Acct Summary 7-8'!G14</f>
        <v>3859</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186784</v>
      </c>
      <c r="C2612" s="2" t="s">
        <v>594</v>
      </c>
      <c r="D2612" s="2" t="str">
        <f t="shared" si="39"/>
        <v>Error?</v>
      </c>
    </row>
    <row r="2613" spans="1:4" x14ac:dyDescent="0.2">
      <c r="A2613" s="5">
        <v>2552</v>
      </c>
      <c r="B2613" s="138">
        <f>'Acct Summary 7-8'!G20</f>
        <v>-61018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973392</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1117380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1081173</v>
      </c>
      <c r="C2634" s="2" t="s">
        <v>594</v>
      </c>
      <c r="D2634" s="2" t="str">
        <f t="shared" si="40"/>
        <v>Error?</v>
      </c>
    </row>
    <row r="2635" spans="1:4" x14ac:dyDescent="0.2">
      <c r="A2635" s="5">
        <v>2574</v>
      </c>
      <c r="B2635" s="138">
        <f>'Acct Summary 7-8'!E17</f>
        <v>1081173</v>
      </c>
      <c r="C2635" s="2" t="s">
        <v>594</v>
      </c>
      <c r="D2635" s="2" t="str">
        <f t="shared" si="40"/>
        <v>Error?</v>
      </c>
    </row>
    <row r="2636" spans="1:4" x14ac:dyDescent="0.2">
      <c r="A2636" s="5">
        <v>2575</v>
      </c>
      <c r="B2636" s="138">
        <f>'Acct Summary 7-8'!E20</f>
        <v>36207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158735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158735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158735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1191</v>
      </c>
      <c r="C2789" s="2" t="s">
        <v>594</v>
      </c>
      <c r="D2789" s="2" t="str">
        <f t="shared" si="42"/>
        <v>Error?</v>
      </c>
    </row>
    <row r="2790" spans="1:4" x14ac:dyDescent="0.2">
      <c r="A2790" s="5">
        <v>2729</v>
      </c>
      <c r="B2790" s="138">
        <f>'Expenditures 15-22'!E102</f>
        <v>1191</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158300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292131</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20000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242025</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292131</v>
      </c>
      <c r="D2912" s="2" t="str">
        <f t="shared" si="44"/>
        <v>Error?</v>
      </c>
    </row>
    <row r="2913" spans="1:4" x14ac:dyDescent="0.2">
      <c r="A2913" s="5">
        <v>2852</v>
      </c>
      <c r="B2913" s="138">
        <f>'Assets-Liab 5-6'!I41</f>
        <v>292131</v>
      </c>
      <c r="C2913" s="2" t="s">
        <v>594</v>
      </c>
      <c r="D2913" s="2" t="str">
        <f t="shared" si="44"/>
        <v>Error?</v>
      </c>
    </row>
    <row r="2914" spans="1:4" x14ac:dyDescent="0.2">
      <c r="A2914" s="5">
        <v>2853</v>
      </c>
      <c r="B2914" s="138">
        <f>'Assets-Liab 5-6'!L33</f>
        <v>81625</v>
      </c>
      <c r="D2914" s="2" t="str">
        <f t="shared" si="44"/>
        <v>Error?</v>
      </c>
    </row>
    <row r="2915" spans="1:4" x14ac:dyDescent="0.2">
      <c r="A2915" s="10">
        <v>2854</v>
      </c>
      <c r="D2915" s="2" t="str">
        <f t="shared" si="44"/>
        <v>OK</v>
      </c>
    </row>
    <row r="2916" spans="1:4" x14ac:dyDescent="0.2">
      <c r="A2916" s="5">
        <v>2855</v>
      </c>
      <c r="B2916" s="138">
        <f>'Assets-Liab 5-6'!L34</f>
        <v>81625</v>
      </c>
      <c r="C2916" s="2" t="s">
        <v>594</v>
      </c>
      <c r="D2916" s="2" t="str">
        <f t="shared" si="44"/>
        <v>Error?</v>
      </c>
    </row>
    <row r="2917" spans="1:4" x14ac:dyDescent="0.2">
      <c r="A2917" s="5">
        <v>2856</v>
      </c>
      <c r="B2917" s="138">
        <f>'Assets-Liab 5-6'!L41</f>
        <v>242025</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91</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1100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91</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1100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1117</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235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295</v>
      </c>
      <c r="C3062" s="2" t="s">
        <v>594</v>
      </c>
      <c r="D3062" s="2" t="str">
        <f t="shared" si="46"/>
        <v>Error?</v>
      </c>
    </row>
    <row r="3063" spans="1:4" x14ac:dyDescent="0.2">
      <c r="A3063" s="10">
        <v>3002</v>
      </c>
      <c r="D3063" s="2" t="str">
        <f t="shared" si="46"/>
        <v>OK</v>
      </c>
    </row>
    <row r="3064" spans="1:4" x14ac:dyDescent="0.2">
      <c r="A3064" s="5">
        <v>3003</v>
      </c>
      <c r="B3064" s="138">
        <f>'Expenditures 15-22'!D219</f>
        <v>5</v>
      </c>
      <c r="D3064" s="2" t="str">
        <f t="shared" si="46"/>
        <v>Error?</v>
      </c>
    </row>
    <row r="3065" spans="1:4" x14ac:dyDescent="0.2">
      <c r="A3065" s="5">
        <v>3004</v>
      </c>
      <c r="B3065" s="138">
        <f>'Expenditures 15-22'!K219</f>
        <v>5</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160400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58874</v>
      </c>
      <c r="C3225" s="2" t="s">
        <v>594</v>
      </c>
      <c r="D3225" s="2" t="str">
        <f t="shared" si="49"/>
        <v>Error?</v>
      </c>
    </row>
    <row r="3226" spans="1:4" x14ac:dyDescent="0.2">
      <c r="A3226" s="5">
        <v>3165</v>
      </c>
      <c r="B3226" s="138">
        <f>'Acct Summary 7-8'!I8</f>
        <v>58874</v>
      </c>
      <c r="C3226" s="2" t="s">
        <v>594</v>
      </c>
      <c r="D3226" s="2" t="str">
        <f t="shared" si="49"/>
        <v>Error?</v>
      </c>
    </row>
    <row r="3227" spans="1:4" x14ac:dyDescent="0.2">
      <c r="A3227" s="5">
        <v>3166</v>
      </c>
      <c r="B3227" s="138">
        <f>'Acct Summary 7-8'!I20</f>
        <v>58874</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413549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82354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65326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-61018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36207</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158735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58874</v>
      </c>
      <c r="C3320" s="2" t="s">
        <v>594</v>
      </c>
      <c r="D3320" s="2" t="str">
        <f t="shared" si="50"/>
        <v>Error?</v>
      </c>
    </row>
    <row r="3321" spans="1:4" x14ac:dyDescent="0.2">
      <c r="A3321" s="5">
        <v>3260</v>
      </c>
      <c r="B3321" s="138">
        <f>'Acct Summary 7-8'!I79</f>
        <v>233257</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292131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460542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54050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8300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522892</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49719</v>
      </c>
      <c r="D3387" s="2" t="str">
        <f t="shared" si="51"/>
        <v>Error?</v>
      </c>
    </row>
    <row r="3388" spans="1:4" x14ac:dyDescent="0.2">
      <c r="A3388" s="5">
        <v>3327</v>
      </c>
      <c r="B3388" s="138">
        <f>'Expenditures 15-22'!D217</f>
        <v>21386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49719</v>
      </c>
      <c r="C3390" s="2" t="s">
        <v>594</v>
      </c>
      <c r="D3390" s="2" t="str">
        <f t="shared" si="51"/>
        <v>Error?</v>
      </c>
    </row>
    <row r="3391" spans="1:4" x14ac:dyDescent="0.2">
      <c r="A3391" s="5">
        <v>3330</v>
      </c>
      <c r="B3391" s="138">
        <f>'Expenditures 15-22'!K217</f>
        <v>21386</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2043551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559553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426889</v>
      </c>
      <c r="D3417" s="2" t="str">
        <f t="shared" si="52"/>
        <v>Error?</v>
      </c>
    </row>
    <row r="3418" spans="1:4" x14ac:dyDescent="0.2">
      <c r="A3418" s="10">
        <v>3357</v>
      </c>
      <c r="D3418" s="2" t="str">
        <f t="shared" si="52"/>
        <v>OK</v>
      </c>
    </row>
    <row r="3419" spans="1:4" x14ac:dyDescent="0.2">
      <c r="A3419" s="5">
        <v>3358</v>
      </c>
      <c r="B3419" s="138">
        <f>'Assets-Liab 5-6'!F4</f>
        <v>181107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246896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158735</v>
      </c>
      <c r="D3425" s="2" t="str">
        <f t="shared" si="52"/>
        <v>Error?</v>
      </c>
    </row>
    <row r="3426" spans="1:4" x14ac:dyDescent="0.2">
      <c r="A3426" s="10">
        <v>3365</v>
      </c>
      <c r="D3426" s="2" t="str">
        <f t="shared" si="52"/>
        <v>OK</v>
      </c>
    </row>
    <row r="3427" spans="1:4" x14ac:dyDescent="0.2">
      <c r="A3427" s="5">
        <v>3366</v>
      </c>
      <c r="B3427" s="138">
        <f>'Assets-Liab 5-6'!I4</f>
        <v>133831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222025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67842</v>
      </c>
      <c r="C3446" s="2" t="s">
        <v>594</v>
      </c>
      <c r="D3446" s="2" t="str">
        <f t="shared" si="52"/>
        <v>Error?</v>
      </c>
    </row>
    <row r="3447" spans="1:4" x14ac:dyDescent="0.2">
      <c r="A3447" s="5">
        <v>3386</v>
      </c>
      <c r="B3447" s="138">
        <f>'Tax Sched 23'!D16</f>
        <v>38526</v>
      </c>
      <c r="C3447" s="2" t="s">
        <v>594</v>
      </c>
      <c r="D3447" s="2" t="str">
        <f t="shared" si="52"/>
        <v>Error?</v>
      </c>
    </row>
    <row r="3448" spans="1:4" x14ac:dyDescent="0.2">
      <c r="A3448" s="5">
        <v>3387</v>
      </c>
      <c r="B3448" s="138">
        <f>'Tax Sched 23'!C16</f>
        <v>29316</v>
      </c>
      <c r="D3448" s="2" t="str">
        <f t="shared" si="52"/>
        <v>Error?</v>
      </c>
    </row>
    <row r="3449" spans="1:4" x14ac:dyDescent="0.2">
      <c r="A3449" s="5">
        <v>3388</v>
      </c>
      <c r="B3449" s="138">
        <f>'Tax Sched 23'!F16</f>
        <v>38192</v>
      </c>
      <c r="C3449" s="2" t="s">
        <v>594</v>
      </c>
      <c r="D3449" s="2" t="str">
        <f t="shared" si="52"/>
        <v>Error?</v>
      </c>
    </row>
    <row r="3450" spans="1:4" x14ac:dyDescent="0.2">
      <c r="A3450" s="5">
        <v>3389</v>
      </c>
      <c r="B3450" s="138">
        <f>'Tax Sched 23'!E16</f>
        <v>67508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190596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190596</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190596</v>
      </c>
      <c r="D3567" s="2" t="str">
        <f t="shared" si="54"/>
        <v>Error?</v>
      </c>
    </row>
    <row r="3568" spans="1:4" x14ac:dyDescent="0.2">
      <c r="A3568" s="5">
        <v>3507</v>
      </c>
      <c r="B3568" s="138">
        <f>'Assets-Liab 5-6'!K41</f>
        <v>190596</v>
      </c>
      <c r="C3568" s="2" t="s">
        <v>594</v>
      </c>
      <c r="D3568" s="2" t="str">
        <f t="shared" si="54"/>
        <v>Error?</v>
      </c>
    </row>
    <row r="3569" spans="1:4" x14ac:dyDescent="0.2">
      <c r="A3569" s="5">
        <v>3508</v>
      </c>
      <c r="B3569" s="138">
        <f>'Acct Summary 7-8'!K4</f>
        <v>58560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58560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58560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58560</v>
      </c>
      <c r="C3588" s="2" t="s">
        <v>594</v>
      </c>
      <c r="D3588" s="2" t="str">
        <f t="shared" si="55"/>
        <v>Error?</v>
      </c>
    </row>
    <row r="3589" spans="1:4" x14ac:dyDescent="0.2">
      <c r="A3589" s="5">
        <v>3528</v>
      </c>
      <c r="B3589" s="138">
        <f>'Acct Summary 7-8'!K79</f>
        <v>132036</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190596</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58560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4150</v>
      </c>
      <c r="D3721" s="2" t="str">
        <f t="shared" si="57"/>
        <v>Error?</v>
      </c>
    </row>
    <row r="3722" spans="1:4" x14ac:dyDescent="0.2">
      <c r="A3722" s="5">
        <v>3661</v>
      </c>
      <c r="B3722" s="138">
        <f>'Expenditures 15-22'!D285</f>
        <v>4150</v>
      </c>
      <c r="C3722" s="2" t="s">
        <v>594</v>
      </c>
      <c r="D3722" s="2" t="str">
        <f t="shared" si="57"/>
        <v>Error?</v>
      </c>
    </row>
    <row r="3723" spans="1:4" x14ac:dyDescent="0.2">
      <c r="A3723" s="5">
        <v>3662</v>
      </c>
      <c r="B3723" s="138">
        <f>'Expenditures 15-22'!K283</f>
        <v>4150</v>
      </c>
      <c r="C3723" s="2" t="s">
        <v>594</v>
      </c>
      <c r="D3723" s="2" t="str">
        <f t="shared" si="57"/>
        <v>Error?</v>
      </c>
    </row>
    <row r="3724" spans="1:4" x14ac:dyDescent="0.2">
      <c r="A3724" s="5">
        <v>3663</v>
      </c>
      <c r="B3724" s="138">
        <f>'Expenditures 15-22'!K285</f>
        <v>4150</v>
      </c>
      <c r="C3724" s="2" t="s">
        <v>594</v>
      </c>
      <c r="D3724" s="2" t="str">
        <f t="shared" si="57"/>
        <v>Error?</v>
      </c>
    </row>
    <row r="3725" spans="1:4" x14ac:dyDescent="0.2">
      <c r="A3725" s="5">
        <v>3664</v>
      </c>
      <c r="B3725" s="138">
        <f>'Tax Sched 23'!B13</f>
        <v>56710</v>
      </c>
      <c r="C3725" s="2" t="s">
        <v>594</v>
      </c>
      <c r="D3725" s="2" t="str">
        <f t="shared" si="57"/>
        <v>Error?</v>
      </c>
    </row>
    <row r="3726" spans="1:4" x14ac:dyDescent="0.2">
      <c r="A3726" s="5">
        <v>3665</v>
      </c>
      <c r="B3726" s="138">
        <f>'Tax Sched 23'!D13</f>
        <v>32080</v>
      </c>
      <c r="C3726" s="2" t="s">
        <v>594</v>
      </c>
      <c r="D3726" s="2" t="str">
        <f t="shared" si="57"/>
        <v>Error?</v>
      </c>
    </row>
    <row r="3727" spans="1:4" x14ac:dyDescent="0.2">
      <c r="A3727" s="5">
        <v>3666</v>
      </c>
      <c r="B3727" s="138">
        <f>'Tax Sched 23'!C13</f>
        <v>24630</v>
      </c>
      <c r="D3727" s="2" t="str">
        <f t="shared" si="57"/>
        <v>Error?</v>
      </c>
    </row>
    <row r="3728" spans="1:4" x14ac:dyDescent="0.2">
      <c r="A3728" s="5">
        <v>3667</v>
      </c>
      <c r="B3728" s="138">
        <f>'Tax Sched 23'!F13</f>
        <v>32090</v>
      </c>
      <c r="C3728" s="2" t="s">
        <v>594</v>
      </c>
      <c r="D3728" s="2" t="str">
        <f t="shared" si="57"/>
        <v>Error?</v>
      </c>
    </row>
    <row r="3729" spans="1:4" x14ac:dyDescent="0.2">
      <c r="A3729" s="5">
        <v>3668</v>
      </c>
      <c r="B3729" s="138">
        <f>'Tax Sched 23'!E13</f>
        <v>56720</v>
      </c>
      <c r="D3729" s="2" t="str">
        <f t="shared" si="57"/>
        <v>Error?</v>
      </c>
    </row>
    <row r="3730" spans="1:4" x14ac:dyDescent="0.2">
      <c r="A3730" s="5">
        <v>3669</v>
      </c>
      <c r="B3730" s="138">
        <f>'ICR Computation 30'!E10</f>
        <v>119720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2313622</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7596080</v>
      </c>
      <c r="C4122" s="2" t="s">
        <v>594</v>
      </c>
      <c r="D4122" s="2" t="str">
        <f t="shared" si="63"/>
        <v>Error?</v>
      </c>
    </row>
    <row r="4123" spans="1:4" x14ac:dyDescent="0.2">
      <c r="A4123" s="5">
        <v>4062</v>
      </c>
      <c r="B4123" s="138">
        <f>'Acct Summary 7-8'!D10</f>
        <v>590216</v>
      </c>
      <c r="C4123" s="2" t="s">
        <v>594</v>
      </c>
      <c r="D4123" s="2" t="str">
        <f t="shared" si="63"/>
        <v>Error?</v>
      </c>
    </row>
    <row r="4124" spans="1:4" x14ac:dyDescent="0.2">
      <c r="A4124" s="5">
        <v>4063</v>
      </c>
      <c r="B4124" s="138">
        <f>'Acct Summary 7-8'!E10</f>
        <v>1117380</v>
      </c>
      <c r="C4124" s="2" t="s">
        <v>594</v>
      </c>
      <c r="D4124" s="2" t="str">
        <f t="shared" si="63"/>
        <v>Error?</v>
      </c>
    </row>
    <row r="4125" spans="1:4" x14ac:dyDescent="0.2">
      <c r="A4125" s="5">
        <v>4064</v>
      </c>
      <c r="B4125" s="138">
        <f>'Acct Summary 7-8'!F10</f>
        <v>527592</v>
      </c>
      <c r="C4125" s="2" t="s">
        <v>594</v>
      </c>
      <c r="D4125" s="2" t="str">
        <f t="shared" si="63"/>
        <v>Error?</v>
      </c>
    </row>
    <row r="4126" spans="1:4" x14ac:dyDescent="0.2">
      <c r="A4126" s="5">
        <v>4065</v>
      </c>
      <c r="B4126" s="138">
        <f>'Acct Summary 7-8'!G10</f>
        <v>125766</v>
      </c>
      <c r="C4126" s="2" t="s">
        <v>594</v>
      </c>
      <c r="D4126" s="2" t="str">
        <f t="shared" si="63"/>
        <v>Error?</v>
      </c>
    </row>
    <row r="4127" spans="1:4" x14ac:dyDescent="0.2">
      <c r="A4127" s="5">
        <v>4066</v>
      </c>
      <c r="B4127" s="138">
        <f>'Acct Summary 7-8'!H10</f>
        <v>158735</v>
      </c>
      <c r="C4127" s="2" t="s">
        <v>594</v>
      </c>
      <c r="D4127" s="2" t="str">
        <f t="shared" si="63"/>
        <v>Error?</v>
      </c>
    </row>
    <row r="4128" spans="1:4" x14ac:dyDescent="0.2">
      <c r="A4128" s="5">
        <v>4067</v>
      </c>
      <c r="B4128" s="138">
        <f>'Acct Summary 7-8'!I10</f>
        <v>58874</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58560</v>
      </c>
      <c r="C4130" s="2" t="s">
        <v>594</v>
      </c>
      <c r="D4130" s="2" t="str">
        <f t="shared" si="63"/>
        <v>Error?</v>
      </c>
    </row>
    <row r="4131" spans="1:4" x14ac:dyDescent="0.2">
      <c r="A4131" s="5">
        <v>4070</v>
      </c>
      <c r="B4131" s="138">
        <f>'Acct Summary 7-8'!C18</f>
        <v>2313622</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7182531</v>
      </c>
      <c r="C4136" s="2" t="s">
        <v>594</v>
      </c>
      <c r="D4136" s="2" t="str">
        <f t="shared" si="63"/>
        <v>Error?</v>
      </c>
    </row>
    <row r="4137" spans="1:4" x14ac:dyDescent="0.2">
      <c r="A4137" s="5">
        <v>4076</v>
      </c>
      <c r="B4137" s="138">
        <f>'Acct Summary 7-8'!D19</f>
        <v>507862</v>
      </c>
      <c r="C4137" s="2" t="s">
        <v>594</v>
      </c>
      <c r="D4137" s="2" t="str">
        <f t="shared" si="63"/>
        <v>Error?</v>
      </c>
    </row>
    <row r="4138" spans="1:4" x14ac:dyDescent="0.2">
      <c r="A4138" s="5">
        <v>4077</v>
      </c>
      <c r="B4138" s="138">
        <f>'Acct Summary 7-8'!E19</f>
        <v>1081173</v>
      </c>
      <c r="C4138" s="2" t="s">
        <v>594</v>
      </c>
      <c r="D4138" s="2" t="str">
        <f t="shared" si="63"/>
        <v>Error?</v>
      </c>
    </row>
    <row r="4139" spans="1:4" x14ac:dyDescent="0.2">
      <c r="A4139" s="5">
        <v>4078</v>
      </c>
      <c r="B4139" s="138">
        <f>'Acct Summary 7-8'!F19</f>
        <v>462266</v>
      </c>
      <c r="C4139" s="2" t="s">
        <v>594</v>
      </c>
      <c r="D4139" s="2" t="str">
        <f t="shared" si="63"/>
        <v>Error?</v>
      </c>
    </row>
    <row r="4140" spans="1:4" x14ac:dyDescent="0.2">
      <c r="A4140" s="5">
        <v>4079</v>
      </c>
      <c r="B4140" s="138">
        <f>'Acct Summary 7-8'!G19</f>
        <v>186784</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9991522</v>
      </c>
      <c r="C4171" s="2" t="s">
        <v>594</v>
      </c>
      <c r="D4171" s="2" t="str">
        <f t="shared" si="64"/>
        <v>Error?</v>
      </c>
    </row>
    <row r="4172" spans="1:4" x14ac:dyDescent="0.2">
      <c r="A4172" s="5">
        <v>4111</v>
      </c>
      <c r="B4172" s="138">
        <f>'Short-Term Long-Term Debt 24'!J49</f>
        <v>9564633</v>
      </c>
      <c r="C4172" s="2" t="s">
        <v>594</v>
      </c>
      <c r="D4172" s="2" t="str">
        <f t="shared" si="64"/>
        <v>Error?</v>
      </c>
    </row>
    <row r="4173" spans="1:4" x14ac:dyDescent="0.2">
      <c r="A4173" s="5">
        <v>4112</v>
      </c>
      <c r="B4173" s="138">
        <f>'Short-Term Long-Term Debt 24'!H49</f>
        <v>317933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1117</v>
      </c>
      <c r="D4201" s="2" t="str">
        <f t="shared" si="64"/>
        <v>Error?</v>
      </c>
    </row>
    <row r="4202" spans="1:4" x14ac:dyDescent="0.2">
      <c r="A4202" s="5">
        <v>4141</v>
      </c>
      <c r="B4202" s="138">
        <f>'Expenditures 15-22'!E137</f>
        <v>1117</v>
      </c>
      <c r="C4202" s="2" t="s">
        <v>594</v>
      </c>
      <c r="D4202" s="2" t="str">
        <f t="shared" si="64"/>
        <v>Error?</v>
      </c>
    </row>
    <row r="4203" spans="1:4" x14ac:dyDescent="0.2">
      <c r="A4203" s="5">
        <v>4142</v>
      </c>
      <c r="B4203" s="138">
        <f>'Expenditures 15-22'!E139</f>
        <v>1117</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2500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3200</v>
      </c>
      <c r="C4268" s="2" t="s">
        <v>594</v>
      </c>
      <c r="D4268" s="2" t="str">
        <f t="shared" si="65"/>
        <v>Error?</v>
      </c>
    </row>
    <row r="4269" spans="1:5" x14ac:dyDescent="0.2">
      <c r="A4269" s="12">
        <v>4208</v>
      </c>
      <c r="B4269" s="138">
        <f>'FP Info 3'!J16</f>
        <v>4257398</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6123</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61814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10989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143988</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143988</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3813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750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113439789</v>
      </c>
      <c r="D4995" s="2" t="str">
        <f t="shared" si="77"/>
        <v>Error?</v>
      </c>
    </row>
    <row r="4996" spans="1:4" x14ac:dyDescent="0.2">
      <c r="A4996" s="12">
        <v>4935</v>
      </c>
      <c r="B4996" s="138">
        <f>'FP Info 3'!H31</f>
        <v>15654690.882000001</v>
      </c>
      <c r="D4996" s="2" t="str">
        <f t="shared" si="77"/>
        <v>Error?</v>
      </c>
    </row>
    <row r="4997" spans="1:4" x14ac:dyDescent="0.2">
      <c r="A4997" s="12">
        <v>4936</v>
      </c>
      <c r="B4997" s="138">
        <f>'FP Info 3'!H37</f>
        <v>9991522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56710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2835519</v>
      </c>
      <c r="D5061" s="2" t="str">
        <f t="shared" si="78"/>
        <v>Error?</v>
      </c>
    </row>
    <row r="5062" spans="1:4" x14ac:dyDescent="0.2">
      <c r="A5062" s="10">
        <v>5001</v>
      </c>
      <c r="D5062" s="2" t="str">
        <f t="shared" si="78"/>
        <v>OK</v>
      </c>
    </row>
    <row r="5063" spans="1:4" x14ac:dyDescent="0.2">
      <c r="A5063" s="5">
        <v>5002</v>
      </c>
      <c r="B5063" s="138">
        <f>'Revenues 9-14'!C7</f>
        <v>283553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3175782</v>
      </c>
      <c r="C5066" s="2" t="s">
        <v>594</v>
      </c>
      <c r="D5066" s="2" t="str">
        <f t="shared" si="78"/>
        <v>Error?</v>
      </c>
    </row>
    <row r="5067" spans="1:4" x14ac:dyDescent="0.2">
      <c r="A5067" s="5">
        <v>5006</v>
      </c>
      <c r="B5067" s="138">
        <f>'Revenues 9-14'!C14</f>
        <v>264</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87033</v>
      </c>
      <c r="D5069" s="2" t="str">
        <f t="shared" si="78"/>
        <v>Error?</v>
      </c>
    </row>
    <row r="5070" spans="1:4" x14ac:dyDescent="0.2">
      <c r="A5070" s="5">
        <v>5009</v>
      </c>
      <c r="B5070" s="138">
        <f>'Revenues 9-14'!C17</f>
        <v>3693</v>
      </c>
      <c r="D5070" s="2" t="str">
        <f t="shared" si="78"/>
        <v>Error?</v>
      </c>
    </row>
    <row r="5071" spans="1:4" x14ac:dyDescent="0.2">
      <c r="A5071" s="5">
        <v>5010</v>
      </c>
      <c r="B5071" s="138">
        <f>'Revenues 9-14'!C18</f>
        <v>90990</v>
      </c>
      <c r="C5071" s="2" t="s">
        <v>594</v>
      </c>
      <c r="D5071" s="2" t="str">
        <f t="shared" si="78"/>
        <v>Error?</v>
      </c>
    </row>
    <row r="5072" spans="1:4" x14ac:dyDescent="0.2">
      <c r="A5072" s="5">
        <v>5011</v>
      </c>
      <c r="B5072" s="138">
        <f>'Revenues 9-14'!C20</f>
        <v>904</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904</v>
      </c>
      <c r="C5087" s="2" t="s">
        <v>594</v>
      </c>
      <c r="D5087" s="2" t="str">
        <f t="shared" si="78"/>
        <v>Error?</v>
      </c>
    </row>
    <row r="5088" spans="1:4" x14ac:dyDescent="0.2">
      <c r="A5088" s="5">
        <v>5027</v>
      </c>
      <c r="B5088" s="138">
        <f>'Revenues 9-14'!C65</f>
        <v>21112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21112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97939</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2391</v>
      </c>
      <c r="D5094" s="2" t="str">
        <f t="shared" si="78"/>
        <v>Error?</v>
      </c>
    </row>
    <row r="5095" spans="1:4" x14ac:dyDescent="0.2">
      <c r="A5095" s="5">
        <v>5034</v>
      </c>
      <c r="B5095" s="138">
        <f>'Revenues 9-14'!C74</f>
        <v>4956</v>
      </c>
      <c r="D5095" s="2" t="str">
        <f t="shared" si="78"/>
        <v>Error?</v>
      </c>
    </row>
    <row r="5096" spans="1:4" x14ac:dyDescent="0.2">
      <c r="A5096" s="5">
        <v>5035</v>
      </c>
      <c r="B5096" s="138">
        <f>'Revenues 9-14'!C75</f>
        <v>191890</v>
      </c>
      <c r="C5096" s="2" t="s">
        <v>594</v>
      </c>
      <c r="D5096" s="2" t="str">
        <f t="shared" si="78"/>
        <v>Error?</v>
      </c>
    </row>
    <row r="5097" spans="1:4" x14ac:dyDescent="0.2">
      <c r="A5097" s="5">
        <v>5036</v>
      </c>
      <c r="B5097" s="138">
        <f>'Revenues 9-14'!C77</f>
        <v>56065</v>
      </c>
      <c r="D5097" s="2" t="str">
        <f t="shared" si="78"/>
        <v>Error?</v>
      </c>
    </row>
    <row r="5098" spans="1:4" x14ac:dyDescent="0.2">
      <c r="A5098" s="5">
        <v>5037</v>
      </c>
      <c r="B5098" s="138">
        <f>'Revenues 9-14'!C78</f>
        <v>2885</v>
      </c>
      <c r="D5098" s="2" t="str">
        <f t="shared" si="78"/>
        <v>Error?</v>
      </c>
    </row>
    <row r="5099" spans="1:4" x14ac:dyDescent="0.2">
      <c r="A5099" s="5">
        <v>5038</v>
      </c>
      <c r="B5099" s="138">
        <f>'Revenues 9-14'!C79</f>
        <v>21980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15604</v>
      </c>
      <c r="D5101" s="2" t="str">
        <f t="shared" si="78"/>
        <v>Error?</v>
      </c>
    </row>
    <row r="5102" spans="1:4" x14ac:dyDescent="0.2">
      <c r="A5102" s="5">
        <v>5041</v>
      </c>
      <c r="B5102" s="138">
        <f>'Revenues 9-14'!C82</f>
        <v>96534</v>
      </c>
      <c r="C5102" s="2" t="s">
        <v>594</v>
      </c>
      <c r="D5102" s="2" t="str">
        <f t="shared" si="78"/>
        <v>Error?</v>
      </c>
    </row>
    <row r="5103" spans="1:4" x14ac:dyDescent="0.2">
      <c r="A5103" s="5">
        <v>5042</v>
      </c>
      <c r="B5103" s="138">
        <f>'Revenues 9-14'!C84</f>
        <v>42010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42010</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564</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32141</v>
      </c>
      <c r="D5118" s="2" t="str">
        <f t="shared" si="78"/>
        <v>Error?</v>
      </c>
    </row>
    <row r="5119" spans="1:4" x14ac:dyDescent="0.2">
      <c r="A5119" s="5">
        <v>5058</v>
      </c>
      <c r="B5119" s="138">
        <f>'Revenues 9-14'!C107</f>
        <v>4880</v>
      </c>
      <c r="D5119" s="2" t="str">
        <f t="shared" ref="D5119:D5182" si="79">IF(ISBLANK(B5119),"OK",IF(A5119-B5119=0,"OK","Error?"))</f>
        <v>Error?</v>
      </c>
    </row>
    <row r="5120" spans="1:4" x14ac:dyDescent="0.2">
      <c r="A5120" s="5">
        <v>5059</v>
      </c>
      <c r="B5120" s="138">
        <f>'Revenues 9-14'!C108</f>
        <v>48003</v>
      </c>
      <c r="C5120" s="2" t="s">
        <v>594</v>
      </c>
      <c r="D5120" s="2" t="str">
        <f t="shared" si="79"/>
        <v>Error?</v>
      </c>
    </row>
    <row r="5121" spans="1:4" x14ac:dyDescent="0.2">
      <c r="A5121" s="5">
        <v>5060</v>
      </c>
      <c r="B5121" s="138">
        <f>'Revenues 9-14'!C109</f>
        <v>3667225</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1171991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1171991</v>
      </c>
      <c r="C5132" s="2" t="s">
        <v>594</v>
      </c>
      <c r="D5132" s="2" t="str">
        <f t="shared" si="79"/>
        <v>Error?</v>
      </c>
    </row>
    <row r="5133" spans="1:4" x14ac:dyDescent="0.2">
      <c r="A5133" s="5">
        <v>5072</v>
      </c>
      <c r="B5133" s="138">
        <f>'Revenues 9-14'!C124</f>
        <v>19691</v>
      </c>
      <c r="D5133" s="2" t="str">
        <f t="shared" si="79"/>
        <v>Error?</v>
      </c>
    </row>
    <row r="5134" spans="1:4" x14ac:dyDescent="0.2">
      <c r="A5134" s="5">
        <v>5073</v>
      </c>
      <c r="B5134" s="138">
        <f>'Revenues 9-14'!C125</f>
        <v>41496</v>
      </c>
      <c r="D5134" s="2" t="str">
        <f t="shared" si="79"/>
        <v>Error?</v>
      </c>
    </row>
    <row r="5135" spans="1:4" x14ac:dyDescent="0.2">
      <c r="A5135" s="5">
        <v>5074</v>
      </c>
      <c r="B5135" s="138">
        <f>'Revenues 9-14'!C126</f>
        <v>32999</v>
      </c>
      <c r="D5135" s="2" t="str">
        <f t="shared" si="79"/>
        <v>Error?</v>
      </c>
    </row>
    <row r="5136" spans="1:4" x14ac:dyDescent="0.2">
      <c r="A5136" s="10">
        <v>5075</v>
      </c>
      <c r="D5136" s="2" t="str">
        <f t="shared" si="79"/>
        <v>OK</v>
      </c>
    </row>
    <row r="5137" spans="1:4" x14ac:dyDescent="0.2">
      <c r="A5137" s="5">
        <v>5076</v>
      </c>
      <c r="B5137" s="138">
        <f>'Revenues 9-14'!C127</f>
        <v>16985</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111171</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14616</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16629</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516</v>
      </c>
      <c r="D5167" s="2" t="str">
        <f t="shared" si="79"/>
        <v>Error?</v>
      </c>
    </row>
    <row r="5168" spans="1:4" x14ac:dyDescent="0.2">
      <c r="A5168" s="5">
        <v>5107</v>
      </c>
      <c r="B5168" s="138">
        <f>'Revenues 9-14'!C147</f>
        <v>7995</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76979</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214040</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1386031</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46212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46212</v>
      </c>
      <c r="C5246" s="2" t="s">
        <v>594</v>
      </c>
      <c r="D5246" s="2" t="str">
        <f t="shared" si="80"/>
        <v>Error?</v>
      </c>
    </row>
    <row r="5247" spans="1:4" x14ac:dyDescent="0.2">
      <c r="A5247" s="5">
        <v>5186</v>
      </c>
      <c r="B5247" s="138">
        <f>'Revenues 9-14'!C203</f>
        <v>87042</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87042</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539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15895</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16434</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588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588</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229202</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229202</v>
      </c>
      <c r="C5326" s="2" t="s">
        <v>594</v>
      </c>
      <c r="D5326" s="2" t="str">
        <f t="shared" si="82"/>
        <v>Error?</v>
      </c>
    </row>
    <row r="5327" spans="1:4" x14ac:dyDescent="0.2">
      <c r="A5327" s="5">
        <v>5266</v>
      </c>
      <c r="B5327" s="138">
        <f>'Revenues 9-14'!C275</f>
        <v>5282458</v>
      </c>
      <c r="C5327" s="2" t="s">
        <v>594</v>
      </c>
      <c r="D5327" s="2" t="str">
        <f t="shared" si="82"/>
        <v>Error?</v>
      </c>
    </row>
    <row r="5328" spans="1:4" x14ac:dyDescent="0.2">
      <c r="A5328" s="5">
        <v>5267</v>
      </c>
      <c r="B5328" s="138">
        <f>'Revenues 9-14'!D5</f>
        <v>567104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567104</v>
      </c>
      <c r="C5334" s="2" t="s">
        <v>594</v>
      </c>
      <c r="D5334" s="2" t="str">
        <f t="shared" si="82"/>
        <v>Error?</v>
      </c>
    </row>
    <row r="5335" spans="1:4" x14ac:dyDescent="0.2">
      <c r="A5335" s="5">
        <v>5274</v>
      </c>
      <c r="B5335" s="138">
        <f>'Revenues 9-14'!D14</f>
        <v>47</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660</v>
      </c>
      <c r="D5338" s="2" t="str">
        <f t="shared" si="82"/>
        <v>Error?</v>
      </c>
    </row>
    <row r="5339" spans="1:4" x14ac:dyDescent="0.2">
      <c r="A5339" s="5">
        <v>5278</v>
      </c>
      <c r="B5339" s="138">
        <f>'Revenues 9-14'!D18</f>
        <v>707</v>
      </c>
      <c r="C5339" s="2" t="s">
        <v>594</v>
      </c>
      <c r="D5339" s="2" t="str">
        <f t="shared" si="82"/>
        <v>Error?</v>
      </c>
    </row>
    <row r="5340" spans="1:4" x14ac:dyDescent="0.2">
      <c r="A5340" s="5">
        <v>5279</v>
      </c>
      <c r="B5340" s="138">
        <f>'Revenues 9-14'!D65</f>
        <v>8259</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8259</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8971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14146</v>
      </c>
      <c r="C5355" s="2" t="s">
        <v>594</v>
      </c>
      <c r="D5355" s="2" t="str">
        <f t="shared" si="82"/>
        <v>Error?</v>
      </c>
    </row>
    <row r="5356" spans="1:4" x14ac:dyDescent="0.2">
      <c r="A5356" s="5">
        <v>5295</v>
      </c>
      <c r="B5356" s="138">
        <f>'Revenues 9-14'!D109</f>
        <v>590216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590216</v>
      </c>
      <c r="C5508" s="2" t="s">
        <v>594</v>
      </c>
      <c r="D5508" s="2" t="str">
        <f t="shared" si="85"/>
        <v>Error?</v>
      </c>
    </row>
    <row r="5509" spans="1:4" x14ac:dyDescent="0.2">
      <c r="A5509" s="5">
        <v>5448</v>
      </c>
      <c r="B5509" s="138">
        <f>'Revenues 9-14'!E5</f>
        <v>960854</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960854</v>
      </c>
      <c r="C5513" s="2" t="s">
        <v>594</v>
      </c>
      <c r="D5513" s="2" t="str">
        <f t="shared" si="85"/>
        <v>Error?</v>
      </c>
    </row>
    <row r="5514" spans="1:4" x14ac:dyDescent="0.2">
      <c r="A5514" s="5">
        <v>5453</v>
      </c>
      <c r="B5514" s="138">
        <f>'Revenues 9-14'!E14</f>
        <v>79</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1099</v>
      </c>
      <c r="D5517" s="2" t="str">
        <f t="shared" si="85"/>
        <v>Error?</v>
      </c>
    </row>
    <row r="5518" spans="1:4" x14ac:dyDescent="0.2">
      <c r="A5518" s="5">
        <v>5457</v>
      </c>
      <c r="B5518" s="138">
        <f>'Revenues 9-14'!E18</f>
        <v>1178</v>
      </c>
      <c r="C5518" s="2" t="s">
        <v>594</v>
      </c>
      <c r="D5518" s="2" t="str">
        <f t="shared" si="85"/>
        <v>Error?</v>
      </c>
    </row>
    <row r="5519" spans="1:4" x14ac:dyDescent="0.2">
      <c r="A5519" s="5">
        <v>5458</v>
      </c>
      <c r="B5519" s="138">
        <f>'Revenues 9-14'!E65</f>
        <v>4860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4860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6500</v>
      </c>
      <c r="C5526" s="2" t="s">
        <v>594</v>
      </c>
      <c r="D5526" s="2" t="str">
        <f t="shared" si="85"/>
        <v>Error?</v>
      </c>
    </row>
    <row r="5527" spans="1:4" x14ac:dyDescent="0.2">
      <c r="A5527" s="5">
        <v>5466</v>
      </c>
      <c r="B5527" s="138">
        <f>'Revenues 9-14'!E109</f>
        <v>973392</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1117380</v>
      </c>
      <c r="C5552" s="2" t="s">
        <v>594</v>
      </c>
      <c r="D5552" s="2" t="str">
        <f t="shared" si="85"/>
        <v>Error?</v>
      </c>
    </row>
    <row r="5553" spans="1:4" x14ac:dyDescent="0.2">
      <c r="A5553" s="5">
        <v>5492</v>
      </c>
      <c r="B5553" s="138">
        <f>'Revenues 9-14'!F5</f>
        <v>226842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226842</v>
      </c>
      <c r="C5557" s="2" t="s">
        <v>594</v>
      </c>
      <c r="D5557" s="2" t="str">
        <f t="shared" si="85"/>
        <v>Error?</v>
      </c>
    </row>
    <row r="5558" spans="1:4" x14ac:dyDescent="0.2">
      <c r="A5558" s="5">
        <v>5497</v>
      </c>
      <c r="B5558" s="138">
        <f>'Revenues 9-14'!F14</f>
        <v>19</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264</v>
      </c>
      <c r="D5561" s="2" t="str">
        <f t="shared" si="85"/>
        <v>Error?</v>
      </c>
    </row>
    <row r="5562" spans="1:4" x14ac:dyDescent="0.2">
      <c r="A5562" s="5">
        <v>5501</v>
      </c>
      <c r="B5562" s="138">
        <f>'Revenues 9-14'!F18</f>
        <v>283</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3820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3820</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230945</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129075</v>
      </c>
      <c r="D5615" s="2" t="str">
        <f t="shared" si="86"/>
        <v>Error?</v>
      </c>
    </row>
    <row r="5616" spans="1:4" x14ac:dyDescent="0.2">
      <c r="A5616" s="10">
        <v>5555</v>
      </c>
      <c r="D5616" s="2" t="str">
        <f t="shared" si="86"/>
        <v>OK</v>
      </c>
    </row>
    <row r="5617" spans="1:4" x14ac:dyDescent="0.2">
      <c r="A5617" s="5">
        <v>5556</v>
      </c>
      <c r="B5617" s="138">
        <f>'Revenues 9-14'!F152</f>
        <v>149972</v>
      </c>
      <c r="D5617" s="2" t="str">
        <f t="shared" si="86"/>
        <v>Error?</v>
      </c>
    </row>
    <row r="5618" spans="1:4" x14ac:dyDescent="0.2">
      <c r="A5618" s="5">
        <v>5557</v>
      </c>
      <c r="B5618" s="138">
        <f>'Revenues 9-14'!F154</f>
        <v>279047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17600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296647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296647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527592</v>
      </c>
      <c r="C5720" s="2" t="s">
        <v>594</v>
      </c>
      <c r="D5720" s="2" t="str">
        <f t="shared" si="88"/>
        <v>Error?</v>
      </c>
    </row>
    <row r="5721" spans="1:4" x14ac:dyDescent="0.2">
      <c r="A5721" s="5">
        <v>5660</v>
      </c>
      <c r="B5721" s="138">
        <f>'Revenues 9-14'!G5</f>
        <v>45229</v>
      </c>
      <c r="D5721" s="2" t="str">
        <f t="shared" si="88"/>
        <v>Error?</v>
      </c>
    </row>
    <row r="5722" spans="1:4" x14ac:dyDescent="0.2">
      <c r="A5722" s="5">
        <v>5661</v>
      </c>
      <c r="B5722" s="138">
        <f>'Revenues 9-14'!G7</f>
        <v>0</v>
      </c>
      <c r="D5722" s="2" t="str">
        <f t="shared" si="88"/>
        <v>Error?</v>
      </c>
    </row>
    <row r="5723" spans="1:4" x14ac:dyDescent="0.2">
      <c r="A5723" s="5">
        <v>5662</v>
      </c>
      <c r="B5723" s="138">
        <f>'Revenues 9-14'!G8</f>
        <v>67842</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113071</v>
      </c>
      <c r="C5725" s="2" t="s">
        <v>594</v>
      </c>
      <c r="D5725" s="2" t="str">
        <f t="shared" si="88"/>
        <v>Error?</v>
      </c>
    </row>
    <row r="5726" spans="1:4" x14ac:dyDescent="0.2">
      <c r="A5726" s="5">
        <v>5665</v>
      </c>
      <c r="B5726" s="138">
        <f>'Revenues 9-14'!G14</f>
        <v>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7900</v>
      </c>
      <c r="D5728" s="2" t="str">
        <f t="shared" si="88"/>
        <v>Error?</v>
      </c>
    </row>
    <row r="5729" spans="1:4" x14ac:dyDescent="0.2">
      <c r="A5729" s="5">
        <v>5668</v>
      </c>
      <c r="B5729" s="138">
        <f>'Revenues 9-14'!G17</f>
        <v>132</v>
      </c>
      <c r="D5729" s="2" t="str">
        <f t="shared" si="88"/>
        <v>Error?</v>
      </c>
    </row>
    <row r="5730" spans="1:4" x14ac:dyDescent="0.2">
      <c r="A5730" s="5">
        <v>5669</v>
      </c>
      <c r="B5730" s="138">
        <f>'Revenues 9-14'!G18</f>
        <v>8041</v>
      </c>
      <c r="C5730" s="2" t="s">
        <v>594</v>
      </c>
      <c r="D5730" s="2" t="str">
        <f t="shared" si="88"/>
        <v>Error?</v>
      </c>
    </row>
    <row r="5731" spans="1:4" x14ac:dyDescent="0.2">
      <c r="A5731" s="5">
        <v>5670</v>
      </c>
      <c r="B5731" s="138">
        <f>'Revenues 9-14'!G65</f>
        <v>4654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4654</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125766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158735</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158735</v>
      </c>
      <c r="C5915" s="2" t="s">
        <v>594</v>
      </c>
      <c r="D5915" s="2" t="str">
        <f t="shared" si="91"/>
        <v>Error?</v>
      </c>
    </row>
    <row r="5916" spans="1:4" x14ac:dyDescent="0.2">
      <c r="A5916" s="5">
        <v>5855</v>
      </c>
      <c r="B5916" s="138">
        <f>'Revenues 9-14'!I5</f>
        <v>56710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56710</v>
      </c>
      <c r="C5918" s="2" t="s">
        <v>594</v>
      </c>
      <c r="D5918" s="2" t="str">
        <f t="shared" si="91"/>
        <v>Error?</v>
      </c>
    </row>
    <row r="5919" spans="1:4" x14ac:dyDescent="0.2">
      <c r="A5919" s="5">
        <v>5858</v>
      </c>
      <c r="B5919" s="138">
        <f>'Revenues 9-14'!I14</f>
        <v>5</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66</v>
      </c>
      <c r="D5922" s="2" t="str">
        <f t="shared" si="91"/>
        <v>Error?</v>
      </c>
    </row>
    <row r="5923" spans="1:4" x14ac:dyDescent="0.2">
      <c r="A5923" s="5">
        <v>5862</v>
      </c>
      <c r="B5923" s="138">
        <f>'Revenues 9-14'!I18</f>
        <v>71</v>
      </c>
      <c r="C5923" s="2" t="s">
        <v>594</v>
      </c>
      <c r="D5923" s="2" t="str">
        <f t="shared" si="91"/>
        <v>Error?</v>
      </c>
    </row>
    <row r="5924" spans="1:4" x14ac:dyDescent="0.2">
      <c r="A5924" s="5">
        <v>5863</v>
      </c>
      <c r="B5924" s="138">
        <f>'Revenues 9-14'!I65</f>
        <v>2093</v>
      </c>
      <c r="D5924" s="2" t="str">
        <f t="shared" si="91"/>
        <v>Error?</v>
      </c>
    </row>
    <row r="5925" spans="1:4" x14ac:dyDescent="0.2">
      <c r="A5925" s="5">
        <v>5864</v>
      </c>
      <c r="B5925" s="138">
        <f>'Revenues 9-14'!I66</f>
        <v>0</v>
      </c>
      <c r="D5925" s="2" t="str">
        <f t="shared" si="91"/>
        <v>Error?</v>
      </c>
    </row>
    <row r="5926" spans="1:4" x14ac:dyDescent="0.2">
      <c r="A5926" s="5">
        <v>5865</v>
      </c>
      <c r="B5926" s="138">
        <f>'Revenues 9-14'!I67</f>
        <v>2093</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58874</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56710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56710</v>
      </c>
      <c r="C5987" s="2" t="s">
        <v>594</v>
      </c>
      <c r="D5987" s="2" t="str">
        <f t="shared" si="92"/>
        <v>Error?</v>
      </c>
    </row>
    <row r="5988" spans="1:4" x14ac:dyDescent="0.2">
      <c r="A5988" s="5">
        <v>5927</v>
      </c>
      <c r="B5988" s="138">
        <f>'Revenues 9-14'!K14</f>
        <v>5</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66</v>
      </c>
      <c r="D5991" s="2" t="str">
        <f t="shared" si="92"/>
        <v>Error?</v>
      </c>
    </row>
    <row r="5992" spans="1:4" x14ac:dyDescent="0.2">
      <c r="A5992" s="5">
        <v>5931</v>
      </c>
      <c r="B5992" s="138">
        <f>'Revenues 9-14'!K18</f>
        <v>71</v>
      </c>
      <c r="C5992" s="2" t="s">
        <v>594</v>
      </c>
      <c r="D5992" s="2" t="str">
        <f t="shared" si="92"/>
        <v>Error?</v>
      </c>
    </row>
    <row r="5993" spans="1:4" x14ac:dyDescent="0.2">
      <c r="A5993" s="5">
        <v>5932</v>
      </c>
      <c r="B5993" s="138">
        <f>'Revenues 9-14'!K65</f>
        <v>1779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1779</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58560</v>
      </c>
      <c r="C6023" s="2" t="s">
        <v>594</v>
      </c>
      <c r="D6023" s="2" t="str">
        <f t="shared" si="93"/>
        <v>Error?</v>
      </c>
    </row>
    <row r="6024" spans="1:5" x14ac:dyDescent="0.2">
      <c r="A6024" s="5">
        <v>5963</v>
      </c>
      <c r="B6024" s="138">
        <f>'Revenues 9-14'!G109</f>
        <v>125766</v>
      </c>
      <c r="C6024" s="2" t="s">
        <v>594</v>
      </c>
      <c r="D6024" s="2" t="str">
        <f t="shared" si="93"/>
        <v>Error?</v>
      </c>
    </row>
    <row r="6025" spans="1:5" x14ac:dyDescent="0.2">
      <c r="A6025" s="5">
        <v>5964</v>
      </c>
      <c r="B6025" s="138">
        <f>'Revenues 9-14'!H109</f>
        <v>158735</v>
      </c>
      <c r="C6025" s="2" t="s">
        <v>594</v>
      </c>
      <c r="D6025" s="2" t="str">
        <f t="shared" si="93"/>
        <v>Error?</v>
      </c>
    </row>
    <row r="6026" spans="1:5" x14ac:dyDescent="0.2">
      <c r="A6026" s="5">
        <v>5965</v>
      </c>
      <c r="B6026" s="138">
        <f>'Revenues 9-14'!I109</f>
        <v>58874</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58560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86604</v>
      </c>
      <c r="D6031" s="2" t="str">
        <f t="shared" si="93"/>
        <v>Error?</v>
      </c>
    </row>
    <row r="6032" spans="1:5" x14ac:dyDescent="0.2">
      <c r="A6032" s="5">
        <v>5971</v>
      </c>
      <c r="B6032" s="138">
        <f>'Acct Summary 7-8'!G15</f>
        <v>4150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16826</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636.85</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409867</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409867</v>
      </c>
      <c r="D6215" s="2" t="str">
        <f t="shared" si="96"/>
        <v>Error?</v>
      </c>
      <c r="E6215" s="2" t="s">
        <v>199</v>
      </c>
    </row>
    <row r="6216" spans="1:5" x14ac:dyDescent="0.2">
      <c r="A6216">
        <v>6155</v>
      </c>
      <c r="B6216" s="138">
        <f>'Assets-Liab 5-6'!J41</f>
        <v>409867</v>
      </c>
      <c r="D6216" s="2" t="str">
        <f t="shared" si="96"/>
        <v>Error?</v>
      </c>
      <c r="E6216" s="2" t="s">
        <v>199</v>
      </c>
    </row>
    <row r="6217" spans="1:5" x14ac:dyDescent="0.2">
      <c r="A6217">
        <v>6156</v>
      </c>
      <c r="B6217" s="138">
        <f>'Assets-Liab 5-6'!J4</f>
        <v>106267</v>
      </c>
      <c r="D6217" s="2" t="str">
        <f t="shared" si="96"/>
        <v>Error?</v>
      </c>
      <c r="E6217" s="2" t="s">
        <v>199</v>
      </c>
    </row>
    <row r="6218" spans="1:5" x14ac:dyDescent="0.2">
      <c r="A6218">
        <v>6157</v>
      </c>
      <c r="B6218" s="138">
        <f>'Assets-Liab 5-6'!J5</f>
        <v>303600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279417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279417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279417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250886</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250886</v>
      </c>
      <c r="D6229" s="2" t="str">
        <f t="shared" si="96"/>
        <v>Error?</v>
      </c>
      <c r="E6229" s="2" t="s">
        <v>199</v>
      </c>
    </row>
    <row r="6230" spans="1:5" x14ac:dyDescent="0.2">
      <c r="A6230">
        <v>6169</v>
      </c>
      <c r="B6230" s="138">
        <f>'Acct Summary 7-8'!J20</f>
        <v>28531</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28531</v>
      </c>
      <c r="D6263" s="2" t="str">
        <f t="shared" si="96"/>
        <v>Error?</v>
      </c>
      <c r="E6263" s="2" t="s">
        <v>199</v>
      </c>
    </row>
    <row r="6264" spans="1:5" x14ac:dyDescent="0.2">
      <c r="A6264">
        <v>6203</v>
      </c>
      <c r="B6264" s="138">
        <f>'Acct Summary 7-8'!J79</f>
        <v>381336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409867</v>
      </c>
      <c r="D6266" s="2" t="str">
        <f t="shared" si="96"/>
        <v>Error?</v>
      </c>
      <c r="E6266" s="2" t="s">
        <v>199</v>
      </c>
    </row>
    <row r="6267" spans="1:5" x14ac:dyDescent="0.2">
      <c r="A6267">
        <v>6206</v>
      </c>
      <c r="B6267" s="138">
        <f>'Acct Summary 7-8'!C82</f>
        <v>413549</v>
      </c>
      <c r="D6267" s="2" t="str">
        <f t="shared" si="96"/>
        <v>Error?</v>
      </c>
      <c r="E6267" s="2" t="s">
        <v>199</v>
      </c>
    </row>
    <row r="6268" spans="1:5" x14ac:dyDescent="0.2">
      <c r="A6268">
        <v>6207</v>
      </c>
      <c r="B6268" s="138">
        <f>'Acct Summary 7-8'!D82</f>
        <v>82354</v>
      </c>
      <c r="D6268" s="2" t="str">
        <f t="shared" si="96"/>
        <v>Error?</v>
      </c>
      <c r="E6268" s="2" t="s">
        <v>199</v>
      </c>
    </row>
    <row r="6269" spans="1:5" x14ac:dyDescent="0.2">
      <c r="A6269">
        <v>6208</v>
      </c>
      <c r="B6269" s="138">
        <f>'Acct Summary 7-8'!E82</f>
        <v>36207</v>
      </c>
      <c r="D6269" s="2" t="str">
        <f t="shared" si="96"/>
        <v>Error?</v>
      </c>
      <c r="E6269" s="2" t="s">
        <v>199</v>
      </c>
    </row>
    <row r="6270" spans="1:5" x14ac:dyDescent="0.2">
      <c r="A6270">
        <v>6209</v>
      </c>
      <c r="B6270" s="138">
        <f>'Acct Summary 7-8'!F82</f>
        <v>65326</v>
      </c>
      <c r="D6270" s="2" t="str">
        <f t="shared" si="96"/>
        <v>Error?</v>
      </c>
      <c r="E6270" s="2" t="s">
        <v>199</v>
      </c>
    </row>
    <row r="6271" spans="1:5" x14ac:dyDescent="0.2">
      <c r="A6271">
        <v>6210</v>
      </c>
      <c r="B6271" s="138">
        <f>'Acct Summary 7-8'!G82</f>
        <v>-61018</v>
      </c>
      <c r="D6271" s="2" t="str">
        <f t="shared" ref="D6271:D6334" si="97">IF(ISBLANK(B6271),"OK",IF(A6271-B6271=0,"OK","Error?"))</f>
        <v>Error?</v>
      </c>
      <c r="E6271" s="2" t="s">
        <v>199</v>
      </c>
    </row>
    <row r="6272" spans="1:5" x14ac:dyDescent="0.2">
      <c r="A6272">
        <v>6211</v>
      </c>
      <c r="B6272" s="138">
        <f>'Acct Summary 7-8'!H82</f>
        <v>158735</v>
      </c>
      <c r="D6272" s="2" t="str">
        <f t="shared" si="97"/>
        <v>Error?</v>
      </c>
      <c r="E6272" s="2" t="s">
        <v>199</v>
      </c>
    </row>
    <row r="6273" spans="1:5" x14ac:dyDescent="0.2">
      <c r="A6273">
        <v>6212</v>
      </c>
      <c r="B6273" s="138">
        <f>'Acct Summary 7-8'!I82</f>
        <v>58874</v>
      </c>
      <c r="D6273" s="2" t="str">
        <f t="shared" si="97"/>
        <v>Error?</v>
      </c>
      <c r="E6273" s="2" t="s">
        <v>199</v>
      </c>
    </row>
    <row r="6274" spans="1:5" x14ac:dyDescent="0.2">
      <c r="A6274">
        <v>6213</v>
      </c>
      <c r="B6274" s="138">
        <f>'Acct Summary 7-8'!J82</f>
        <v>28531</v>
      </c>
      <c r="D6274" s="2" t="str">
        <f t="shared" si="97"/>
        <v>Error?</v>
      </c>
      <c r="E6274" s="2" t="s">
        <v>199</v>
      </c>
    </row>
    <row r="6275" spans="1:5" x14ac:dyDescent="0.2">
      <c r="A6275">
        <v>6214</v>
      </c>
      <c r="B6275" s="138">
        <f>'Acct Summary 7-8'!K82</f>
        <v>58560</v>
      </c>
      <c r="D6275" s="2" t="str">
        <f t="shared" si="97"/>
        <v>Error?</v>
      </c>
      <c r="E6275" s="2" t="s">
        <v>199</v>
      </c>
    </row>
    <row r="6276" spans="1:5" x14ac:dyDescent="0.2">
      <c r="A6276">
        <v>6215</v>
      </c>
      <c r="B6276" s="138">
        <f>'Acct Summary 7-8'!C83</f>
        <v>0.15665286693811561</v>
      </c>
      <c r="D6276" s="2" t="str">
        <f t="shared" si="97"/>
        <v>Error?</v>
      </c>
      <c r="E6276" s="2" t="s">
        <v>199</v>
      </c>
    </row>
    <row r="6277" spans="1:5" x14ac:dyDescent="0.2">
      <c r="A6277">
        <v>6216</v>
      </c>
      <c r="B6277" s="138">
        <f>'Acct Summary 7-8'!D83</f>
        <v>9.1907509935238205E-2</v>
      </c>
      <c r="D6277" s="2" t="str">
        <f t="shared" si="97"/>
        <v>Error?</v>
      </c>
      <c r="E6277" s="2" t="s">
        <v>199</v>
      </c>
    </row>
    <row r="6278" spans="1:5" x14ac:dyDescent="0.2">
      <c r="A6278">
        <v>6217</v>
      </c>
      <c r="B6278" s="138">
        <f>'Acct Summary 7-8'!E83</f>
        <v>8.481595918376908E-2</v>
      </c>
      <c r="D6278" s="2" t="str">
        <f t="shared" si="97"/>
        <v>Error?</v>
      </c>
      <c r="E6278" s="2" t="s">
        <v>199</v>
      </c>
    </row>
    <row r="6279" spans="1:5" x14ac:dyDescent="0.2">
      <c r="A6279">
        <v>6218</v>
      </c>
      <c r="B6279" s="138">
        <f>'Acct Summary 7-8'!F83</f>
        <v>0.15216616547132938</v>
      </c>
      <c r="D6279" s="2" t="str">
        <f t="shared" si="97"/>
        <v>Error?</v>
      </c>
      <c r="E6279" s="2" t="s">
        <v>199</v>
      </c>
    </row>
    <row r="6280" spans="1:5" x14ac:dyDescent="0.2">
      <c r="A6280">
        <v>6219</v>
      </c>
      <c r="B6280" s="138">
        <f>'Acct Summary 7-8'!G83</f>
        <v>-0.17615099481518262</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0.20153287395038527</v>
      </c>
      <c r="D6282" s="2" t="str">
        <f t="shared" si="97"/>
        <v>Error?</v>
      </c>
      <c r="E6282" s="2" t="s">
        <v>199</v>
      </c>
    </row>
    <row r="6283" spans="1:5" x14ac:dyDescent="0.2">
      <c r="A6283">
        <v>6222</v>
      </c>
      <c r="B6283" s="138">
        <f>'Acct Summary 7-8'!J83</f>
        <v>6.9610385808079212E-2</v>
      </c>
      <c r="D6283" s="2" t="str">
        <f t="shared" si="97"/>
        <v>Error?</v>
      </c>
      <c r="E6283" s="2" t="s">
        <v>199</v>
      </c>
    </row>
    <row r="6284" spans="1:5" x14ac:dyDescent="0.2">
      <c r="A6284">
        <v>6223</v>
      </c>
      <c r="B6284" s="138">
        <f>'Acct Summary 7-8'!K83</f>
        <v>0.3072467417994082</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275151</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275151</v>
      </c>
      <c r="D6301" s="2" t="str">
        <f t="shared" si="97"/>
        <v>Error?</v>
      </c>
      <c r="E6301" s="2" t="s">
        <v>199</v>
      </c>
    </row>
    <row r="6302" spans="1:5" x14ac:dyDescent="0.2">
      <c r="A6302">
        <v>6241</v>
      </c>
      <c r="B6302" s="138">
        <f>'Revenues 9-14'!J14</f>
        <v>23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322</v>
      </c>
      <c r="D6305" s="2" t="str">
        <f t="shared" si="97"/>
        <v>Error?</v>
      </c>
      <c r="E6305" s="2" t="s">
        <v>199</v>
      </c>
    </row>
    <row r="6306" spans="1:5" x14ac:dyDescent="0.2">
      <c r="A6306">
        <v>6245</v>
      </c>
      <c r="B6306" s="138">
        <f>'Revenues 9-14'!J18</f>
        <v>345</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3921</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3921</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6605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279417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2013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52893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143988</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143988</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54245</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20910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3880</v>
      </c>
      <c r="D6878" s="2" t="str">
        <f t="shared" si="106"/>
        <v>Error?</v>
      </c>
    </row>
    <row r="6879" spans="1:4" x14ac:dyDescent="0.2">
      <c r="A6879">
        <v>6818</v>
      </c>
      <c r="B6879" s="138">
        <f>'Expenditures 15-22'!K21</f>
        <v>3880</v>
      </c>
      <c r="D6879" s="2" t="str">
        <f t="shared" si="106"/>
        <v>Error?</v>
      </c>
    </row>
    <row r="6880" spans="1:4" x14ac:dyDescent="0.2">
      <c r="A6880">
        <v>6819</v>
      </c>
      <c r="B6880" s="138">
        <f>'Expenditures 15-22'!H22</f>
        <v>28145</v>
      </c>
      <c r="D6880" s="2" t="str">
        <f t="shared" si="106"/>
        <v>Error?</v>
      </c>
    </row>
    <row r="6881" spans="1:4" x14ac:dyDescent="0.2">
      <c r="A6881">
        <v>6820</v>
      </c>
      <c r="B6881" s="138">
        <f>'Expenditures 15-22'!K22</f>
        <v>28145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298064</v>
      </c>
      <c r="D6983" s="2" t="str">
        <f t="shared" si="108"/>
        <v>Error?</v>
      </c>
    </row>
    <row r="6984" spans="1:4" x14ac:dyDescent="0.2">
      <c r="A6984">
        <v>6923</v>
      </c>
      <c r="B6984" s="138">
        <f>'Expenditures 15-22'!K86</f>
        <v>298064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298064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250886</v>
      </c>
      <c r="D7042" s="2" t="str">
        <f t="shared" si="109"/>
        <v>Error?</v>
      </c>
    </row>
    <row r="7043" spans="1:5" x14ac:dyDescent="0.2">
      <c r="A7043">
        <v>6982</v>
      </c>
      <c r="B7043" s="138">
        <f>'Revenues 9-14'!H9</f>
        <v>0</v>
      </c>
      <c r="D7043" s="2" t="str">
        <f t="shared" si="109"/>
        <v>Error?</v>
      </c>
    </row>
    <row r="7044" spans="1:5" x14ac:dyDescent="0.2">
      <c r="A7044">
        <v>6983</v>
      </c>
      <c r="B7044" s="138">
        <f>'Revenues 9-14'!D106</f>
        <v>5175</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279417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4474</v>
      </c>
      <c r="D7073" s="2" t="str">
        <f t="shared" si="109"/>
        <v>Error?</v>
      </c>
    </row>
    <row r="7074" spans="1:4" x14ac:dyDescent="0.2">
      <c r="A7074">
        <v>7013</v>
      </c>
      <c r="B7074" s="138">
        <f>'Expenditures 15-22'!K216</f>
        <v>4474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281</v>
      </c>
      <c r="D7079" s="2" t="str">
        <f t="shared" si="109"/>
        <v>Error?</v>
      </c>
    </row>
    <row r="7080" spans="1:4" x14ac:dyDescent="0.2">
      <c r="A7080">
        <v>7019</v>
      </c>
      <c r="B7080" s="138">
        <f>'Expenditures 15-22'!K226</f>
        <v>281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24050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24050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12443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12443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43119</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43119</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160000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3806</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163806</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7468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7468</v>
      </c>
      <c r="D7198" s="2" t="str">
        <f t="shared" si="111"/>
        <v>Error?</v>
      </c>
    </row>
    <row r="7199" spans="1:4" x14ac:dyDescent="0.2">
      <c r="A7199">
        <v>7138</v>
      </c>
      <c r="B7199" s="138">
        <f>'Expenditures 15-22'!C330</f>
        <v>160000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90886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250886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160000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90886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250886</v>
      </c>
      <c r="D7224" s="2" t="str">
        <f t="shared" si="111"/>
        <v>Error?</v>
      </c>
    </row>
    <row r="7225" spans="1:4" x14ac:dyDescent="0.2">
      <c r="A7225">
        <v>7164</v>
      </c>
      <c r="B7225" s="138">
        <f>'Expenditures 15-22'!K343</f>
        <v>28531</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1352</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19376</v>
      </c>
      <c r="D7263" s="2" t="str">
        <f t="shared" si="112"/>
        <v>Error?</v>
      </c>
    </row>
    <row r="7264" spans="1:4" x14ac:dyDescent="0.2">
      <c r="A7264">
        <f t="shared" si="113"/>
        <v>7203</v>
      </c>
      <c r="B7264" s="138">
        <f>'Expenditures 15-22'!D17</f>
        <v>1049</v>
      </c>
      <c r="D7264" s="2" t="str">
        <f t="shared" si="112"/>
        <v>Error?</v>
      </c>
    </row>
    <row r="7265" spans="1:5" x14ac:dyDescent="0.2">
      <c r="A7265">
        <f t="shared" si="113"/>
        <v>7204</v>
      </c>
      <c r="B7265" s="138">
        <f>'Expenditures 15-22'!E17</f>
        <v>317</v>
      </c>
      <c r="D7265" s="2" t="str">
        <f t="shared" si="112"/>
        <v>Error?</v>
      </c>
    </row>
    <row r="7266" spans="1:5" x14ac:dyDescent="0.2">
      <c r="A7266">
        <f t="shared" si="113"/>
        <v>7205</v>
      </c>
      <c r="B7266" s="138">
        <f>'Expenditures 15-22'!F17</f>
        <v>158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10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520012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23363</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159</v>
      </c>
      <c r="D7711" s="2" t="str">
        <f t="shared" si="126"/>
        <v>Error?</v>
      </c>
      <c r="E7711" s="2" t="s">
        <v>881</v>
      </c>
    </row>
    <row r="7712" spans="1:5" x14ac:dyDescent="0.2">
      <c r="A7712">
        <v>7651</v>
      </c>
      <c r="B7712" s="138">
        <f>'Rest Tax Levies-Tort Im 25'!K7</f>
        <v>6605</v>
      </c>
      <c r="D7712" s="2" t="str">
        <f t="shared" si="126"/>
        <v>Error?</v>
      </c>
      <c r="E7712" s="2" t="s">
        <v>881</v>
      </c>
    </row>
    <row r="7713" spans="1:6" x14ac:dyDescent="0.2">
      <c r="A7713">
        <v>7652</v>
      </c>
      <c r="B7713" s="138">
        <f>'Rest Tax Levies-Tort Im 25'!J8</f>
        <v>165235</v>
      </c>
      <c r="D7713" s="2" t="str">
        <f t="shared" si="126"/>
        <v>Error?</v>
      </c>
      <c r="E7713" s="2" t="s">
        <v>881</v>
      </c>
    </row>
    <row r="7714" spans="1:6" x14ac:dyDescent="0.2">
      <c r="A7714">
        <v>7653</v>
      </c>
      <c r="B7714" s="138">
        <f>'Rest Tax Levies-Tort Im 25'!K9</f>
        <v>7995</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165235</v>
      </c>
      <c r="D7718" s="2" t="str">
        <f t="shared" si="126"/>
        <v>Error?</v>
      </c>
      <c r="E7718" s="2" t="s">
        <v>881</v>
      </c>
    </row>
    <row r="7719" spans="1:6" x14ac:dyDescent="0.2">
      <c r="A7719">
        <v>7658</v>
      </c>
      <c r="B7719" s="138">
        <f>'Rest Tax Levies-Tort Im 25'!K12</f>
        <v>14759</v>
      </c>
      <c r="D7719" s="2" t="str">
        <f t="shared" si="126"/>
        <v>Error?</v>
      </c>
      <c r="E7719" s="2" t="s">
        <v>881</v>
      </c>
    </row>
    <row r="7720" spans="1:6" x14ac:dyDescent="0.2">
      <c r="A7720">
        <v>7659</v>
      </c>
      <c r="B7720" s="138">
        <f>'Rest Tax Levies-Tort Im 25'!H14</f>
        <v>283673</v>
      </c>
      <c r="D7720" s="2" t="str">
        <f t="shared" si="126"/>
        <v>Error?</v>
      </c>
      <c r="E7720" s="2" t="s">
        <v>881</v>
      </c>
    </row>
    <row r="7721" spans="1:6" x14ac:dyDescent="0.2">
      <c r="A7721">
        <v>7660</v>
      </c>
      <c r="B7721" s="138">
        <f>'Rest Tax Levies-Tort Im 25'!K14</f>
        <v>20910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6500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6500</v>
      </c>
      <c r="D7727" s="2" t="str">
        <f t="shared" si="126"/>
        <v>Error?</v>
      </c>
      <c r="E7727" s="2" t="s">
        <v>881</v>
      </c>
    </row>
    <row r="7728" spans="1:6" x14ac:dyDescent="0.2">
      <c r="A7728">
        <v>7667</v>
      </c>
      <c r="B7728" s="138">
        <f>'Revenues 9-14'!E103</f>
        <v>6500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6500</v>
      </c>
      <c r="D7730" s="2" t="str">
        <f t="shared" si="126"/>
        <v>Error?</v>
      </c>
      <c r="E7730" s="2" t="s">
        <v>881</v>
      </c>
    </row>
    <row r="7731" spans="1:6" x14ac:dyDescent="0.2">
      <c r="A7731">
        <v>7670</v>
      </c>
      <c r="B7731" s="138">
        <f>'Revenues 9-14'!H103</f>
        <v>158735</v>
      </c>
      <c r="D7731" s="2" t="str">
        <f t="shared" si="126"/>
        <v>Error?</v>
      </c>
      <c r="E7731" s="2" t="s">
        <v>881</v>
      </c>
    </row>
    <row r="7732" spans="1:6" x14ac:dyDescent="0.2">
      <c r="A7732">
        <v>7671</v>
      </c>
      <c r="B7732" s="138">
        <f>'Rest Tax Levies-Tort Im 25'!J24</f>
        <v>158735</v>
      </c>
      <c r="D7732" s="2" t="str">
        <f t="shared" si="126"/>
        <v>Error?</v>
      </c>
      <c r="E7732" s="2" t="s">
        <v>881</v>
      </c>
    </row>
    <row r="7733" spans="1:6" x14ac:dyDescent="0.2">
      <c r="A7733">
        <v>7672</v>
      </c>
      <c r="B7733" s="138">
        <f>'Rest Tax Levies-Tort Im 25'!K24</f>
        <v>17212</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158735</v>
      </c>
      <c r="D7737" s="2" t="str">
        <f t="shared" si="126"/>
        <v>Error?</v>
      </c>
      <c r="E7737" s="2" t="s">
        <v>881</v>
      </c>
    </row>
    <row r="7738" spans="1:6" x14ac:dyDescent="0.2">
      <c r="A7738">
        <v>7677</v>
      </c>
      <c r="B7738" s="138">
        <f>'Rest Tax Levies-Tort Im 25'!K25</f>
        <v>17212</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143988</v>
      </c>
      <c r="D7747" s="2" t="str">
        <f t="shared" si="127"/>
        <v>Error?</v>
      </c>
      <c r="E7747" s="2" t="s">
        <v>881</v>
      </c>
      <c r="F7747" s="2" t="s">
        <v>882</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391337.83</v>
      </c>
      <c r="D7797" s="2" t="str">
        <f t="shared" si="127"/>
        <v>Error?</v>
      </c>
      <c r="E7797" s="4" t="s">
        <v>2019</v>
      </c>
    </row>
    <row r="7798" spans="1:5" x14ac:dyDescent="0.2">
      <c r="A7798">
        <v>7737</v>
      </c>
      <c r="B7798" s="138">
        <f>'Contracts Paid in CY 29'!F141</f>
        <v>25000</v>
      </c>
      <c r="D7798" s="2" t="str">
        <f t="shared" si="127"/>
        <v>Error?</v>
      </c>
      <c r="E7798" s="4" t="s">
        <v>2019</v>
      </c>
    </row>
    <row r="7799" spans="1:5" x14ac:dyDescent="0.2">
      <c r="A7799">
        <v>7738</v>
      </c>
      <c r="B7799" s="138">
        <f>'Contracts Paid in CY 29'!G141</f>
        <v>366337.83</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0" t="s">
        <v>1253</v>
      </c>
      <c r="B2" s="2400"/>
      <c r="C2" s="2400"/>
      <c r="D2" s="2400"/>
      <c r="E2" s="2400"/>
      <c r="F2" s="2400"/>
      <c r="G2" s="2400"/>
      <c r="H2" s="2400"/>
      <c r="I2" s="2400"/>
      <c r="J2" s="2400"/>
      <c r="K2" s="2400"/>
      <c r="L2" s="2400"/>
    </row>
    <row r="3" spans="1:29" ht="13.5" customHeight="1" x14ac:dyDescent="0.2">
      <c r="A3" s="2431" t="s">
        <v>1252</v>
      </c>
      <c r="B3" s="2431"/>
      <c r="C3" s="2431"/>
      <c r="D3" s="2431"/>
      <c r="E3" s="2431"/>
      <c r="F3" s="2431"/>
      <c r="G3" s="2431"/>
      <c r="H3" s="2431"/>
      <c r="I3" s="2431"/>
      <c r="J3" s="2431"/>
      <c r="K3" s="2431"/>
      <c r="L3" s="2431"/>
    </row>
    <row r="4" spans="1:29" ht="13.5" customHeight="1" x14ac:dyDescent="0.2">
      <c r="A4" s="2400" t="s">
        <v>1798</v>
      </c>
      <c r="B4" s="2421"/>
      <c r="C4" s="2421"/>
      <c r="D4" s="2421"/>
      <c r="E4" s="2421"/>
      <c r="F4" s="2421"/>
      <c r="G4" s="2421"/>
      <c r="H4" s="2421"/>
      <c r="I4" s="2421"/>
      <c r="J4" s="2421"/>
      <c r="K4" s="2421"/>
      <c r="L4" s="2421"/>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2" t="str">
        <f>COVER!A17</f>
        <v>Brimfield CUSD 309</v>
      </c>
      <c r="B7" s="2423"/>
      <c r="C7" s="2423"/>
      <c r="D7" s="2424"/>
      <c r="E7" s="2425">
        <f>COVER!A13</f>
        <v>48072309026</v>
      </c>
      <c r="F7" s="2426"/>
      <c r="G7" s="2432" t="str">
        <f>COVER!T23</f>
        <v>066-005027</v>
      </c>
      <c r="H7" s="2433"/>
      <c r="I7" s="2433"/>
      <c r="J7" s="2433"/>
      <c r="K7" s="2433"/>
      <c r="L7" s="2434"/>
    </row>
    <row r="8" spans="1:29" ht="13.5" customHeight="1" x14ac:dyDescent="0.2">
      <c r="A8" s="1183" t="s">
        <v>1596</v>
      </c>
      <c r="B8" s="1184"/>
      <c r="C8" s="1185"/>
      <c r="D8" s="1185"/>
      <c r="E8" s="1190"/>
      <c r="F8" s="1189"/>
      <c r="G8" s="1191" t="s">
        <v>1248</v>
      </c>
      <c r="H8" s="1192"/>
      <c r="I8" s="1192"/>
      <c r="J8" s="1192"/>
      <c r="K8" s="1192"/>
      <c r="L8" s="1193"/>
    </row>
    <row r="9" spans="1:29" ht="13.5" customHeight="1" x14ac:dyDescent="0.2">
      <c r="A9" s="2435"/>
      <c r="B9" s="2436"/>
      <c r="C9" s="2436"/>
      <c r="D9" s="2436"/>
      <c r="E9" s="2436"/>
      <c r="F9" s="2437"/>
      <c r="G9" s="2406" t="str">
        <f>COVER!T13</f>
        <v>Gorenz and Associates, Ltd.</v>
      </c>
      <c r="H9" s="2438"/>
      <c r="I9" s="2438"/>
      <c r="J9" s="2438"/>
      <c r="K9" s="2438"/>
      <c r="L9" s="2439"/>
    </row>
    <row r="10" spans="1:29" ht="13.5" customHeight="1" x14ac:dyDescent="0.2">
      <c r="A10" s="2412" t="str">
        <f>COVER!A38</f>
        <v>Robert Richardson</v>
      </c>
      <c r="B10" s="2413"/>
      <c r="C10" s="2413"/>
      <c r="D10" s="2413"/>
      <c r="E10" s="2413"/>
      <c r="F10" s="2414"/>
      <c r="G10" s="2406" t="str">
        <f>COVER!T17</f>
        <v>4200 N Knoxville Ave</v>
      </c>
      <c r="H10" s="2407"/>
      <c r="I10" s="2407"/>
      <c r="J10" s="2407"/>
      <c r="K10" s="2407"/>
      <c r="L10" s="2408"/>
    </row>
    <row r="11" spans="1:29" ht="13.5" customHeight="1" x14ac:dyDescent="0.2">
      <c r="A11" s="1183" t="s">
        <v>1598</v>
      </c>
      <c r="B11" s="1184"/>
      <c r="C11" s="1185"/>
      <c r="D11" s="1190"/>
      <c r="E11" s="1185"/>
      <c r="F11" s="1189"/>
      <c r="G11" s="2406" t="str">
        <f>COVER!T19</f>
        <v>Peoria</v>
      </c>
      <c r="H11" s="2407"/>
      <c r="I11" s="2407"/>
      <c r="J11" s="2407"/>
      <c r="K11" s="2407"/>
      <c r="L11" s="2408"/>
    </row>
    <row r="12" spans="1:29" ht="13.5" customHeight="1" x14ac:dyDescent="0.2">
      <c r="A12" s="2415" t="s">
        <v>1597</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1599</v>
      </c>
      <c r="H13" s="2402"/>
      <c r="I13" s="2418" t="str">
        <f>COVER!T25</f>
        <v>jhohulin@gorenzcpa.com</v>
      </c>
      <c r="J13" s="2419"/>
      <c r="K13" s="2419"/>
      <c r="L13" s="2420"/>
    </row>
    <row r="14" spans="1:29" ht="13.5" customHeight="1" x14ac:dyDescent="0.2">
      <c r="A14" s="2406" t="str">
        <f>COVER!A19</f>
        <v>323 East Clinton St.</v>
      </c>
      <c r="B14" s="2407"/>
      <c r="C14" s="2407"/>
      <c r="D14" s="2407"/>
      <c r="E14" s="2407"/>
      <c r="F14" s="2408"/>
      <c r="G14" s="1194" t="s">
        <v>1247</v>
      </c>
      <c r="H14" s="1192"/>
      <c r="I14" s="1192"/>
      <c r="J14" s="1192"/>
      <c r="K14" s="1192"/>
      <c r="L14" s="1193"/>
    </row>
    <row r="15" spans="1:29" ht="13.5" customHeight="1" x14ac:dyDescent="0.2">
      <c r="A15" s="2406" t="str">
        <f>COVER!A21</f>
        <v>Brimfield</v>
      </c>
      <c r="B15" s="2407"/>
      <c r="C15" s="2407"/>
      <c r="D15" s="2407"/>
      <c r="E15" s="2407"/>
      <c r="F15" s="2408"/>
      <c r="G15" s="2403" t="str">
        <f>COVER!T15</f>
        <v>Jason Hohulin, CPA</v>
      </c>
      <c r="H15" s="2404"/>
      <c r="I15" s="2404"/>
      <c r="J15" s="2404"/>
      <c r="K15" s="2404"/>
      <c r="L15" s="2405"/>
    </row>
    <row r="16" spans="1:29" ht="12.2" customHeight="1" x14ac:dyDescent="0.2">
      <c r="A16" s="2428">
        <f>COVER!A25</f>
        <v>61517</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4" t="s">
        <v>1246</v>
      </c>
      <c r="H17" s="1192"/>
      <c r="I17" s="1192"/>
      <c r="J17" s="1192"/>
      <c r="K17" s="1196" t="s">
        <v>1245</v>
      </c>
      <c r="L17" s="1189"/>
      <c r="M17" s="1182"/>
    </row>
    <row r="18" spans="1:13" ht="12.2" customHeight="1" x14ac:dyDescent="0.2">
      <c r="A18" s="2412"/>
      <c r="B18" s="2413"/>
      <c r="C18" s="2413"/>
      <c r="D18" s="2413"/>
      <c r="E18" s="2413"/>
      <c r="F18" s="2414"/>
      <c r="G18" s="2422" t="str">
        <f>COVER!T21</f>
        <v>309-685-7621</v>
      </c>
      <c r="H18" s="2423"/>
      <c r="I18" s="2423"/>
      <c r="J18" s="2423"/>
      <c r="K18" s="2422" t="str">
        <f>COVER!X21</f>
        <v>309-685-4758</v>
      </c>
      <c r="L18" s="2427"/>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1799</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1800</v>
      </c>
    </row>
    <row r="27" spans="1:13" s="1197" customFormat="1" ht="9" customHeight="1" x14ac:dyDescent="0.2">
      <c r="B27" s="1202"/>
      <c r="C27" s="1201"/>
    </row>
    <row r="28" spans="1:13" s="1197" customFormat="1" ht="12.2" customHeight="1" x14ac:dyDescent="0.2">
      <c r="A28" s="1204"/>
      <c r="B28" s="1200"/>
      <c r="C28" s="1201" t="s">
        <v>1801</v>
      </c>
    </row>
    <row r="29" spans="1:13" s="1197" customFormat="1" ht="9" customHeight="1" x14ac:dyDescent="0.2">
      <c r="A29" s="1204"/>
      <c r="B29" s="1202"/>
      <c r="C29" s="1201"/>
    </row>
    <row r="30" spans="1:13" s="1197" customFormat="1" ht="12.2" customHeight="1" x14ac:dyDescent="0.2">
      <c r="B30" s="1200"/>
      <c r="C30" s="1201" t="s">
        <v>1642</v>
      </c>
      <c r="D30" s="1195"/>
      <c r="E30" s="1195"/>
    </row>
    <row r="31" spans="1:13" s="1197" customFormat="1" ht="9" customHeight="1" x14ac:dyDescent="0.2">
      <c r="B31" s="1202"/>
      <c r="C31" s="1201"/>
      <c r="D31" s="1195"/>
      <c r="E31" s="1195"/>
    </row>
    <row r="32" spans="1:13" s="1197" customFormat="1" ht="12.2" customHeight="1" x14ac:dyDescent="0.2">
      <c r="B32" s="1200"/>
      <c r="C32" s="1201" t="s">
        <v>1643</v>
      </c>
      <c r="D32" s="1195"/>
      <c r="E32" s="1195"/>
    </row>
    <row r="33" spans="1:8" s="1197" customFormat="1" ht="10.9" customHeight="1" x14ac:dyDescent="0.2">
      <c r="B33" s="1202"/>
      <c r="C33" s="1205" t="s">
        <v>1802</v>
      </c>
      <c r="D33" s="1195"/>
      <c r="E33" s="1195"/>
    </row>
    <row r="34" spans="1:8" ht="9" customHeight="1" x14ac:dyDescent="0.2">
      <c r="B34" s="1202"/>
      <c r="C34" s="1205"/>
    </row>
    <row r="35" spans="1:8" s="1197" customFormat="1" ht="13.5" customHeight="1" x14ac:dyDescent="0.2">
      <c r="B35" s="1200"/>
      <c r="C35" s="1201" t="s">
        <v>1644</v>
      </c>
    </row>
    <row r="36" spans="1:8" s="1197" customFormat="1" ht="10.9" customHeight="1" x14ac:dyDescent="0.2">
      <c r="B36" s="1202"/>
      <c r="C36" s="1205" t="s">
        <v>1645</v>
      </c>
    </row>
    <row r="37" spans="1:8" ht="9" customHeight="1" x14ac:dyDescent="0.2">
      <c r="B37" s="1202"/>
      <c r="C37" s="1205"/>
    </row>
    <row r="38" spans="1:8" s="1197" customFormat="1" ht="12.2" customHeight="1" x14ac:dyDescent="0.2">
      <c r="B38" s="1200"/>
      <c r="C38" s="1201" t="s">
        <v>1646</v>
      </c>
    </row>
    <row r="39" spans="1:8" ht="9" customHeight="1" x14ac:dyDescent="0.2">
      <c r="B39" s="1202"/>
      <c r="C39" s="1205"/>
    </row>
    <row r="40" spans="1:8" s="1197" customFormat="1" ht="13.5" customHeight="1" x14ac:dyDescent="0.2">
      <c r="B40" s="1200"/>
      <c r="C40" s="1201" t="s">
        <v>1647</v>
      </c>
    </row>
    <row r="41" spans="1:8" ht="9" customHeight="1" x14ac:dyDescent="0.2">
      <c r="A41" s="1206"/>
      <c r="B41" s="1202"/>
      <c r="C41" s="1205"/>
    </row>
    <row r="42" spans="1:8" s="1197" customFormat="1" ht="13.5" customHeight="1" x14ac:dyDescent="0.2">
      <c r="B42" s="1200"/>
      <c r="C42" s="1201" t="s">
        <v>1946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1648</v>
      </c>
      <c r="D46" s="1195"/>
      <c r="E46" s="1195"/>
      <c r="F46" s="1195"/>
      <c r="G46" s="1195"/>
      <c r="H46" s="1195"/>
    </row>
    <row r="47" spans="1:8" ht="9" customHeight="1" x14ac:dyDescent="0.2"/>
    <row r="48" spans="1:8" ht="12.2" customHeight="1" x14ac:dyDescent="0.2">
      <c r="B48" s="1209"/>
      <c r="C48" s="1210" t="s">
        <v>1649</v>
      </c>
    </row>
    <row r="49" spans="1:12" ht="9" customHeight="1" x14ac:dyDescent="0.2"/>
    <row r="50" spans="1:12" ht="6" customHeight="1" x14ac:dyDescent="0.2">
      <c r="C50" s="1210"/>
    </row>
    <row r="51" spans="1:12" ht="12.2" customHeight="1" x14ac:dyDescent="0.2">
      <c r="A51" s="1212" t="s">
        <v>1803</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4" t="str">
        <f>'Single Audit Cover'!A7</f>
        <v>Brimfield CUSD 309</v>
      </c>
      <c r="B1" s="2421"/>
      <c r="C1" s="2421"/>
      <c r="D1" s="2421"/>
    </row>
    <row r="2" spans="1:11" s="1213" customFormat="1" ht="12.75" x14ac:dyDescent="0.2">
      <c r="A2" s="2445">
        <f>'Single Audit Cover'!E7</f>
        <v>48072309026</v>
      </c>
      <c r="B2" s="2446"/>
      <c r="C2" s="2446"/>
      <c r="D2" s="2446"/>
    </row>
    <row r="3" spans="1:11" s="1213" customFormat="1" ht="12.75" x14ac:dyDescent="0.2">
      <c r="A3" s="2444" t="s">
        <v>1592</v>
      </c>
      <c r="B3" s="2421"/>
      <c r="C3" s="2421"/>
      <c r="D3" s="2421"/>
    </row>
    <row r="4" spans="1:11" s="1213" customFormat="1" ht="4.5" customHeight="1" x14ac:dyDescent="0.2">
      <c r="A4" s="1214"/>
      <c r="B4" s="1215"/>
      <c r="C4" s="1215"/>
      <c r="D4" s="1215"/>
    </row>
    <row r="5" spans="1:11" x14ac:dyDescent="0.2">
      <c r="B5" s="1217" t="s">
        <v>1593</v>
      </c>
      <c r="C5" s="1218"/>
      <c r="D5" s="1219"/>
    </row>
    <row r="6" spans="1:11" x14ac:dyDescent="0.2">
      <c r="B6" s="1217" t="s">
        <v>1287</v>
      </c>
      <c r="C6" s="1218"/>
      <c r="D6" s="1219"/>
    </row>
    <row r="7" spans="1:11" x14ac:dyDescent="0.2">
      <c r="B7" s="1217" t="s">
        <v>1594</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1804</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1805</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1806</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1807</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1828</v>
      </c>
      <c r="E24" s="1226"/>
      <c r="F24" s="1226"/>
      <c r="G24" s="1226"/>
      <c r="H24" s="1226"/>
      <c r="I24" s="1226"/>
      <c r="J24" s="1226"/>
      <c r="K24" s="1226"/>
    </row>
    <row r="25" spans="1:11" x14ac:dyDescent="0.2">
      <c r="A25" s="1220"/>
      <c r="B25" s="1229"/>
      <c r="D25" s="1228" t="s">
        <v>1808</v>
      </c>
      <c r="E25" s="1226"/>
      <c r="F25" s="1226"/>
      <c r="G25" s="1226"/>
      <c r="H25" s="1226"/>
      <c r="I25" s="1226"/>
      <c r="J25" s="1226"/>
      <c r="K25" s="1226"/>
    </row>
    <row r="26" spans="1:11" x14ac:dyDescent="0.2">
      <c r="A26" s="1220"/>
      <c r="B26" s="1229"/>
      <c r="D26" s="1233" t="s">
        <v>1809</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1650</v>
      </c>
      <c r="E28" s="1226"/>
      <c r="F28" s="1226"/>
      <c r="G28" s="1226"/>
      <c r="H28" s="1226"/>
      <c r="I28" s="1226"/>
      <c r="J28" s="1226"/>
      <c r="K28" s="1226"/>
    </row>
    <row r="29" spans="1:11" ht="10.5" customHeight="1" x14ac:dyDescent="0.2">
      <c r="A29" s="1220"/>
      <c r="D29" s="1234" t="s">
        <v>1651</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1652</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1652</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1653</v>
      </c>
    </row>
    <row r="41" spans="1:5" ht="3" customHeight="1" x14ac:dyDescent="0.2">
      <c r="A41" s="1220"/>
      <c r="B41" s="1237"/>
      <c r="C41" s="1238"/>
      <c r="D41" s="1219"/>
    </row>
    <row r="42" spans="1:5" ht="10.5" customHeight="1" x14ac:dyDescent="0.2">
      <c r="A42" s="1220"/>
      <c r="B42" s="1239"/>
      <c r="C42" s="1230">
        <v>11</v>
      </c>
      <c r="D42" s="1241" t="s">
        <v>1654</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1655</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1810</v>
      </c>
    </row>
    <row r="57" spans="1:4" ht="10.5" customHeight="1" x14ac:dyDescent="0.2">
      <c r="A57" s="1220"/>
      <c r="D57" s="1235" t="s">
        <v>1811</v>
      </c>
    </row>
    <row r="58" spans="1:4" x14ac:dyDescent="0.2">
      <c r="A58" s="1220"/>
      <c r="C58" s="1242"/>
      <c r="D58" s="1235" t="s">
        <v>1812</v>
      </c>
    </row>
    <row r="59" spans="1:4" ht="10.5" customHeight="1" x14ac:dyDescent="0.2">
      <c r="A59" s="1220"/>
      <c r="D59" s="1219" t="s">
        <v>1271</v>
      </c>
    </row>
    <row r="60" spans="1:4" ht="10.5" customHeight="1" x14ac:dyDescent="0.2">
      <c r="A60" s="1220"/>
      <c r="D60" s="1243" t="s">
        <v>1680</v>
      </c>
    </row>
    <row r="61" spans="1:4" ht="10.5" customHeight="1" x14ac:dyDescent="0.2">
      <c r="A61" s="1220"/>
      <c r="C61" s="1242"/>
      <c r="D61" s="1235" t="s">
        <v>1813</v>
      </c>
    </row>
    <row r="62" spans="1:4" ht="10.5" customHeight="1" x14ac:dyDescent="0.2">
      <c r="A62" s="1220"/>
      <c r="D62" s="1244" t="s">
        <v>1270</v>
      </c>
    </row>
    <row r="63" spans="1:4" ht="10.5" customHeight="1" x14ac:dyDescent="0.2">
      <c r="A63" s="1220"/>
      <c r="D63" s="1219" t="s">
        <v>1656</v>
      </c>
    </row>
    <row r="64" spans="1:4" ht="10.5" customHeight="1" x14ac:dyDescent="0.2">
      <c r="A64" s="1220"/>
      <c r="D64" s="1243" t="s">
        <v>1679</v>
      </c>
    </row>
    <row r="65" spans="1:4" x14ac:dyDescent="0.2">
      <c r="A65" s="1220"/>
      <c r="C65" s="1242"/>
      <c r="D65" s="1235" t="s">
        <v>1814</v>
      </c>
    </row>
    <row r="66" spans="1:4" ht="10.5" customHeight="1" x14ac:dyDescent="0.2">
      <c r="A66" s="1220"/>
      <c r="D66" s="1245" t="s">
        <v>1269</v>
      </c>
    </row>
    <row r="67" spans="1:4" ht="10.5" customHeight="1" x14ac:dyDescent="0.2">
      <c r="A67" s="1220"/>
      <c r="D67" s="1219" t="s">
        <v>1657</v>
      </c>
    </row>
    <row r="68" spans="1:4" ht="10.5" customHeight="1" x14ac:dyDescent="0.2">
      <c r="A68" s="1220"/>
      <c r="D68" s="1243" t="s">
        <v>1679</v>
      </c>
    </row>
    <row r="69" spans="1:4" ht="10.5" customHeight="1" x14ac:dyDescent="0.2">
      <c r="A69" s="1220"/>
      <c r="C69" s="1242"/>
      <c r="D69" s="1235" t="s">
        <v>1815</v>
      </c>
    </row>
    <row r="70" spans="1:4" x14ac:dyDescent="0.2">
      <c r="A70" s="1220"/>
      <c r="D70" s="1244" t="s">
        <v>1268</v>
      </c>
    </row>
    <row r="71" spans="1:4" ht="3" customHeight="1" x14ac:dyDescent="0.2">
      <c r="A71" s="1220"/>
      <c r="D71" s="1219"/>
    </row>
    <row r="72" spans="1:4" x14ac:dyDescent="0.2">
      <c r="A72" s="1220"/>
      <c r="B72" s="1223"/>
      <c r="C72" s="1224">
        <f>C56+1</f>
        <v>18</v>
      </c>
      <c r="D72" s="1245" t="s">
        <v>1816</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1817</v>
      </c>
    </row>
    <row r="77" spans="1:4" ht="3" customHeight="1" x14ac:dyDescent="0.2">
      <c r="A77" s="1220"/>
      <c r="B77" s="1227"/>
      <c r="C77" s="1224"/>
      <c r="D77" s="1246"/>
    </row>
    <row r="78" spans="1:4" x14ac:dyDescent="0.2">
      <c r="A78" s="1220"/>
      <c r="B78" s="1223"/>
      <c r="C78" s="1224">
        <f>C76+1</f>
        <v>21</v>
      </c>
      <c r="D78" s="1219" t="s">
        <v>1818</v>
      </c>
    </row>
    <row r="79" spans="1:4" ht="3" customHeight="1" x14ac:dyDescent="0.2">
      <c r="A79" s="1220"/>
      <c r="B79" s="1227"/>
      <c r="C79" s="1224"/>
      <c r="D79" s="1219"/>
    </row>
    <row r="80" spans="1:4" x14ac:dyDescent="0.2">
      <c r="A80" s="1220"/>
      <c r="B80" s="1223"/>
      <c r="C80" s="1224">
        <f>C78+1</f>
        <v>22</v>
      </c>
      <c r="D80" s="1247" t="s">
        <v>1819</v>
      </c>
    </row>
    <row r="81" spans="1:4" ht="3" customHeight="1" x14ac:dyDescent="0.2">
      <c r="A81" s="1220"/>
      <c r="B81" s="1227"/>
      <c r="C81" s="1224"/>
      <c r="D81" s="1247"/>
    </row>
    <row r="82" spans="1:4" x14ac:dyDescent="0.2">
      <c r="A82" s="1220"/>
      <c r="B82" s="1223"/>
      <c r="C82" s="1224">
        <f>C80+1</f>
        <v>23</v>
      </c>
      <c r="D82" s="1246" t="s">
        <v>1820</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1821</v>
      </c>
    </row>
    <row r="92" spans="1:4" x14ac:dyDescent="0.2">
      <c r="A92" s="1220"/>
      <c r="B92" s="1248"/>
      <c r="C92" s="1242"/>
      <c r="D92" s="1235" t="s">
        <v>1262</v>
      </c>
    </row>
    <row r="93" spans="1:4" ht="4.5" customHeight="1" x14ac:dyDescent="0.2">
      <c r="A93" s="1220"/>
      <c r="D93" s="1219"/>
    </row>
    <row r="94" spans="1:4" x14ac:dyDescent="0.2">
      <c r="A94" s="1220"/>
      <c r="B94" s="1221" t="s">
        <v>1658</v>
      </c>
      <c r="C94" s="1222"/>
      <c r="D94" s="1219"/>
    </row>
    <row r="95" spans="1:4" ht="4.5" customHeight="1" x14ac:dyDescent="0.2">
      <c r="A95" s="1220"/>
      <c r="B95" s="1221"/>
      <c r="C95" s="1222"/>
      <c r="D95" s="1219"/>
    </row>
    <row r="96" spans="1:4" x14ac:dyDescent="0.2">
      <c r="A96" s="1220"/>
      <c r="B96" s="1223"/>
      <c r="C96" s="1224">
        <f>C91+1</f>
        <v>28</v>
      </c>
      <c r="D96" s="1235" t="s">
        <v>1822</v>
      </c>
    </row>
    <row r="97" spans="1:4" ht="3" customHeight="1" x14ac:dyDescent="0.2">
      <c r="A97" s="1220"/>
      <c r="B97" s="1227"/>
      <c r="C97" s="1224"/>
      <c r="D97" s="1235"/>
    </row>
    <row r="98" spans="1:4" x14ac:dyDescent="0.2">
      <c r="A98" s="1220"/>
      <c r="B98" s="1223"/>
      <c r="C98" s="1224">
        <f>C96+1</f>
        <v>29</v>
      </c>
      <c r="D98" s="1249" t="s">
        <v>1823</v>
      </c>
    </row>
    <row r="99" spans="1:4" ht="3" customHeight="1" x14ac:dyDescent="0.2">
      <c r="A99" s="1220"/>
      <c r="B99" s="1227"/>
      <c r="C99" s="1224"/>
      <c r="D99" s="1249"/>
    </row>
    <row r="100" spans="1:4" x14ac:dyDescent="0.2">
      <c r="A100" s="1220"/>
      <c r="B100" s="1223"/>
      <c r="C100" s="1224">
        <f>C98+1</f>
        <v>30</v>
      </c>
      <c r="D100" s="1235" t="s">
        <v>1824</v>
      </c>
    </row>
    <row r="101" spans="1:4" ht="3" customHeight="1" x14ac:dyDescent="0.2">
      <c r="A101" s="1220"/>
      <c r="B101" s="1227"/>
      <c r="C101" s="1224"/>
      <c r="D101" s="1250"/>
    </row>
    <row r="102" spans="1:4" x14ac:dyDescent="0.2">
      <c r="A102" s="1220"/>
      <c r="B102" s="1223"/>
      <c r="C102" s="1224">
        <f>C100+1</f>
        <v>31</v>
      </c>
      <c r="D102" s="1235" t="s">
        <v>1659</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1660</v>
      </c>
    </row>
    <row r="107" spans="1:4" ht="3" customHeight="1" x14ac:dyDescent="0.2">
      <c r="A107" s="1220"/>
      <c r="B107" s="1227"/>
      <c r="C107" s="1224"/>
      <c r="D107" s="1219"/>
    </row>
    <row r="108" spans="1:4" x14ac:dyDescent="0.2">
      <c r="A108" s="1220"/>
      <c r="B108" s="1223"/>
      <c r="C108" s="1224">
        <v>33</v>
      </c>
      <c r="D108" s="1219" t="s">
        <v>1825</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1826</v>
      </c>
    </row>
    <row r="118" spans="1:4" ht="3" customHeight="1" x14ac:dyDescent="0.2">
      <c r="A118" s="1220"/>
      <c r="B118" s="1227"/>
      <c r="C118" s="1224"/>
      <c r="D118" s="1235"/>
    </row>
    <row r="119" spans="1:4" x14ac:dyDescent="0.2">
      <c r="A119" s="1220"/>
      <c r="B119" s="1223"/>
      <c r="C119" s="1224">
        <f>C117+1</f>
        <v>38</v>
      </c>
      <c r="D119" s="1235" t="s">
        <v>1827</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1947</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8" t="str">
        <f>'Single Audit Cover'!A7</f>
        <v>Brimfield CUSD 309</v>
      </c>
      <c r="B1" s="2448"/>
      <c r="C1" s="2448"/>
      <c r="D1" s="2448"/>
      <c r="E1" s="2448"/>
    </row>
    <row r="2" spans="1:5" x14ac:dyDescent="0.2">
      <c r="A2" s="2449">
        <f>'Single Audit Cover'!E7</f>
        <v>48072309026</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58" t="s">
        <v>1305</v>
      </c>
    </row>
    <row r="10" spans="1:5" x14ac:dyDescent="0.2">
      <c r="A10" s="1259" t="s">
        <v>1304</v>
      </c>
      <c r="B10" s="1260" t="s">
        <v>1303</v>
      </c>
      <c r="C10" s="1260"/>
      <c r="D10" s="1261">
        <f>SUM('Acct Summary 7-8'!C7:K7)</f>
        <v>373190</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1829</v>
      </c>
      <c r="B14" s="1260"/>
      <c r="C14" s="1260"/>
      <c r="D14" s="1262">
        <f>'ICR Computation 30'!E11</f>
        <v>16826</v>
      </c>
    </row>
    <row r="15" spans="1:5" x14ac:dyDescent="0.2">
      <c r="A15" s="1259"/>
      <c r="B15" s="1260"/>
      <c r="C15" s="1260"/>
    </row>
    <row r="16" spans="1:5" x14ac:dyDescent="0.2">
      <c r="A16" s="1259" t="s">
        <v>1955</v>
      </c>
      <c r="B16" s="1260"/>
      <c r="C16" s="1260"/>
    </row>
    <row r="17" spans="1:4" x14ac:dyDescent="0.2">
      <c r="A17" s="1259" t="s">
        <v>1600</v>
      </c>
      <c r="B17" s="1260" t="s">
        <v>1298</v>
      </c>
      <c r="C17" s="1260"/>
      <c r="D17" s="1262">
        <f>-SUM('Revenues 9-14'!C271:D271,'Revenues 9-14'!F271:G271)</f>
        <v>-61814</v>
      </c>
    </row>
    <row r="19" spans="1:4" ht="13.5" thickBot="1" x14ac:dyDescent="0.25">
      <c r="A19" s="1263" t="s">
        <v>1297</v>
      </c>
      <c r="D19" s="1264">
        <f>SUM(D10:D17)</f>
        <v>328202</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50"/>
      <c r="B24" s="2450"/>
      <c r="D24" s="1266"/>
    </row>
    <row r="25" spans="1:4" x14ac:dyDescent="0.2">
      <c r="A25" s="2447"/>
      <c r="B25" s="2447"/>
      <c r="D25" s="1266"/>
    </row>
    <row r="26" spans="1:4" x14ac:dyDescent="0.2">
      <c r="A26" s="2447"/>
      <c r="B26" s="2447"/>
      <c r="D26" s="1266"/>
    </row>
    <row r="27" spans="1:4" x14ac:dyDescent="0.2">
      <c r="A27" s="2447"/>
      <c r="B27" s="2447"/>
      <c r="D27" s="1266"/>
    </row>
    <row r="28" spans="1:4" x14ac:dyDescent="0.2">
      <c r="A28" s="2447"/>
      <c r="B28" s="2447"/>
      <c r="D28" s="1266"/>
    </row>
    <row r="29" spans="1:4" x14ac:dyDescent="0.2">
      <c r="A29" s="2447"/>
      <c r="B29" s="2447"/>
      <c r="D29" s="1266"/>
    </row>
    <row r="30" spans="1:4" x14ac:dyDescent="0.2">
      <c r="A30" s="2447"/>
      <c r="B30" s="2447"/>
      <c r="D30" s="1266"/>
    </row>
    <row r="32" spans="1:4" x14ac:dyDescent="0.2">
      <c r="A32" s="1258" t="s">
        <v>1295</v>
      </c>
      <c r="D32" s="1261">
        <f>SUM(D19:D30)</f>
        <v>328202</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7"/>
      <c r="B40" s="2447"/>
      <c r="D40" s="1266"/>
    </row>
    <row r="41" spans="1:4" x14ac:dyDescent="0.2">
      <c r="A41" s="2447"/>
      <c r="B41" s="2447"/>
      <c r="D41" s="1269"/>
    </row>
    <row r="42" spans="1:4" x14ac:dyDescent="0.2">
      <c r="A42" s="2447"/>
      <c r="B42" s="2447"/>
      <c r="D42" s="1269"/>
    </row>
    <row r="43" spans="1:4" x14ac:dyDescent="0.2">
      <c r="A43" s="2447"/>
      <c r="B43" s="2447"/>
      <c r="D43" s="1269"/>
    </row>
    <row r="44" spans="1:4" x14ac:dyDescent="0.2">
      <c r="A44" s="2447"/>
      <c r="B44" s="2447"/>
      <c r="D44" s="1269"/>
    </row>
    <row r="45" spans="1:4" x14ac:dyDescent="0.2">
      <c r="A45" s="2447"/>
      <c r="B45" s="2447"/>
      <c r="D45" s="1269"/>
    </row>
    <row r="47" spans="1:4" x14ac:dyDescent="0.2">
      <c r="B47" s="1270" t="s">
        <v>1289</v>
      </c>
      <c r="C47" s="1270"/>
      <c r="D47" s="1271">
        <f>SUM(D35:D45)</f>
        <v>0</v>
      </c>
    </row>
    <row r="49" spans="2:4" x14ac:dyDescent="0.2">
      <c r="B49" s="1270" t="s">
        <v>1288</v>
      </c>
      <c r="C49" s="1270"/>
      <c r="D49" s="1271">
        <f>D32-D47</f>
        <v>328202</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Brimfield CUSD 309</v>
      </c>
      <c r="B1" s="2461"/>
      <c r="C1" s="2461"/>
      <c r="D1" s="2461"/>
      <c r="E1" s="2461"/>
      <c r="F1" s="2461"/>
    </row>
    <row r="2" spans="1:7" ht="13.5" customHeight="1" x14ac:dyDescent="0.2">
      <c r="A2" s="2462">
        <f>'Single Audit Cover'!E7</f>
        <v>48072309026</v>
      </c>
      <c r="B2" s="2462"/>
      <c r="C2" s="2462"/>
      <c r="D2" s="2462"/>
      <c r="E2" s="2462"/>
      <c r="F2" s="2462"/>
      <c r="G2" s="1273"/>
    </row>
    <row r="3" spans="1:7" ht="15.75" customHeight="1" x14ac:dyDescent="0.2">
      <c r="A3" s="2463" t="s">
        <v>1333</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4" t="s">
        <v>1830</v>
      </c>
      <c r="C6" s="317"/>
      <c r="D6" s="317"/>
    </row>
    <row r="7" spans="1:7" ht="60.95" customHeight="1" x14ac:dyDescent="0.2">
      <c r="A7" s="2460" t="s">
        <v>1831</v>
      </c>
      <c r="B7" s="2460"/>
      <c r="C7" s="2460"/>
      <c r="D7" s="2460"/>
      <c r="E7" s="2460"/>
      <c r="F7" s="2460"/>
    </row>
    <row r="8" spans="1:7" ht="12" customHeight="1" x14ac:dyDescent="0.2">
      <c r="A8" s="1274"/>
      <c r="B8" s="1280"/>
      <c r="C8" s="1280"/>
      <c r="D8" s="1280"/>
    </row>
    <row r="9" spans="1:7" ht="15" customHeight="1" x14ac:dyDescent="0.2">
      <c r="A9" s="1275" t="s">
        <v>1832</v>
      </c>
      <c r="B9" s="1278"/>
      <c r="C9" s="1278"/>
      <c r="D9" s="1278"/>
      <c r="E9" s="1276"/>
      <c r="F9" s="1276"/>
      <c r="G9" s="1276"/>
    </row>
    <row r="10" spans="1:7" ht="15" customHeight="1" x14ac:dyDescent="0.2">
      <c r="A10" s="1277" t="s">
        <v>1627</v>
      </c>
      <c r="B10" s="1278"/>
      <c r="C10" s="1279"/>
      <c r="D10" s="1278" t="s">
        <v>1628</v>
      </c>
      <c r="E10" s="1279"/>
      <c r="F10" s="1278" t="s">
        <v>101</v>
      </c>
      <c r="G10" s="1276"/>
    </row>
    <row r="11" spans="1:7" ht="12" customHeight="1" x14ac:dyDescent="0.2">
      <c r="A11" s="1277"/>
      <c r="B11" s="1278"/>
      <c r="C11" s="1925"/>
      <c r="D11" s="1278"/>
      <c r="E11" s="1925"/>
      <c r="F11" s="1278"/>
      <c r="G11" s="1276"/>
    </row>
    <row r="12" spans="1:7" x14ac:dyDescent="0.2">
      <c r="A12" s="1274" t="s">
        <v>1668</v>
      </c>
      <c r="C12" s="1258"/>
      <c r="D12" s="1258"/>
    </row>
    <row r="13" spans="1:7" ht="15" customHeight="1" x14ac:dyDescent="0.2">
      <c r="A13" s="2460" t="s">
        <v>1833</v>
      </c>
      <c r="B13" s="2460"/>
      <c r="C13" s="2460"/>
      <c r="D13" s="2460"/>
      <c r="E13" s="2460"/>
      <c r="F13" s="2460"/>
    </row>
    <row r="14" spans="1:7" ht="9.75" customHeight="1" x14ac:dyDescent="0.2">
      <c r="C14" s="1258"/>
      <c r="D14" s="1258"/>
    </row>
    <row r="15" spans="1:7" ht="13.5" customHeight="1" x14ac:dyDescent="0.2">
      <c r="C15" s="1869" t="s">
        <v>1332</v>
      </c>
      <c r="D15" s="2458" t="s">
        <v>1331</v>
      </c>
      <c r="E15" s="2458"/>
      <c r="F15" s="2458"/>
    </row>
    <row r="16" spans="1:7" ht="13.5" customHeight="1" x14ac:dyDescent="0.2">
      <c r="A16" s="1280"/>
      <c r="B16" s="1274" t="s">
        <v>1330</v>
      </c>
      <c r="C16" s="1869" t="s">
        <v>1329</v>
      </c>
      <c r="D16" s="2459" t="s">
        <v>1669</v>
      </c>
      <c r="E16" s="2459"/>
      <c r="F16" s="2459"/>
    </row>
    <row r="17" spans="1:6" ht="20.45" customHeight="1" x14ac:dyDescent="0.2">
      <c r="A17" s="1281"/>
      <c r="B17" s="1282"/>
      <c r="C17" s="1283"/>
      <c r="D17" s="2453"/>
      <c r="E17" s="2453"/>
      <c r="F17" s="2453"/>
    </row>
    <row r="18" spans="1:6" ht="20.65" customHeight="1" x14ac:dyDescent="0.2">
      <c r="A18" s="1281"/>
      <c r="B18" s="1282"/>
      <c r="C18" s="1283"/>
      <c r="D18" s="2453"/>
      <c r="E18" s="2453"/>
      <c r="F18" s="2453"/>
    </row>
    <row r="19" spans="1:6" ht="20.65" customHeight="1" x14ac:dyDescent="0.2">
      <c r="A19" s="1281"/>
      <c r="B19" s="1282"/>
      <c r="C19" s="1283"/>
      <c r="D19" s="2453"/>
      <c r="E19" s="2453"/>
      <c r="F19" s="2453"/>
    </row>
    <row r="20" spans="1:6" ht="20.65" customHeight="1" x14ac:dyDescent="0.2">
      <c r="A20" s="1281"/>
      <c r="B20" s="1282"/>
      <c r="C20" s="1283"/>
      <c r="D20" s="2453"/>
      <c r="E20" s="2453"/>
      <c r="F20" s="2453"/>
    </row>
    <row r="21" spans="1:6" ht="20.65" customHeight="1" x14ac:dyDescent="0.2">
      <c r="A21" s="1281"/>
      <c r="B21" s="1282"/>
      <c r="C21" s="1283"/>
      <c r="D21" s="2453"/>
      <c r="E21" s="2453"/>
      <c r="F21" s="2453"/>
    </row>
    <row r="22" spans="1:6" ht="20.65" customHeight="1" x14ac:dyDescent="0.2">
      <c r="A22" s="1281"/>
      <c r="B22" s="1282"/>
      <c r="C22" s="1283"/>
      <c r="D22" s="2453"/>
      <c r="E22" s="2453"/>
      <c r="F22" s="2453"/>
    </row>
    <row r="23" spans="1:6" ht="20.65" customHeight="1" x14ac:dyDescent="0.2">
      <c r="A23" s="1281"/>
      <c r="B23" s="1282"/>
      <c r="C23" s="1283"/>
      <c r="D23" s="2453"/>
      <c r="E23" s="2453"/>
      <c r="F23" s="2453"/>
    </row>
    <row r="24" spans="1:6" ht="20.65" customHeight="1" x14ac:dyDescent="0.2">
      <c r="A24" s="1281"/>
      <c r="B24" s="1282"/>
      <c r="C24" s="1283"/>
      <c r="D24" s="2453"/>
      <c r="E24" s="2453"/>
      <c r="F24" s="2453"/>
    </row>
    <row r="25" spans="1:6" ht="20.65" customHeight="1" x14ac:dyDescent="0.2">
      <c r="A25" s="1281"/>
      <c r="B25" s="1282"/>
      <c r="C25" s="1283"/>
      <c r="D25" s="2453"/>
      <c r="E25" s="2453"/>
      <c r="F25" s="2453"/>
    </row>
    <row r="26" spans="1:6" ht="20.65" customHeight="1" x14ac:dyDescent="0.2">
      <c r="A26" s="1281"/>
      <c r="B26" s="1282"/>
      <c r="C26" s="1283"/>
      <c r="D26" s="2453"/>
      <c r="E26" s="2453"/>
      <c r="F26" s="2453"/>
    </row>
    <row r="27" spans="1:6" ht="20.65" customHeight="1" x14ac:dyDescent="0.2">
      <c r="A27" s="1281"/>
      <c r="B27" s="1282"/>
      <c r="C27" s="1283"/>
      <c r="D27" s="2453"/>
      <c r="E27" s="2453"/>
      <c r="F27" s="2453"/>
    </row>
    <row r="28" spans="1:6" ht="20.65" customHeight="1" x14ac:dyDescent="0.2">
      <c r="A28" s="1281"/>
      <c r="B28" s="1282"/>
      <c r="C28" s="1283"/>
      <c r="D28" s="2453"/>
      <c r="E28" s="2453"/>
      <c r="F28" s="2453"/>
    </row>
    <row r="29" spans="1:6" ht="20.65" customHeight="1" x14ac:dyDescent="0.2">
      <c r="A29" s="1281"/>
      <c r="B29" s="1282"/>
      <c r="C29" s="1283"/>
      <c r="D29" s="2453"/>
      <c r="E29" s="2453"/>
      <c r="F29" s="2453"/>
    </row>
    <row r="30" spans="1:6" ht="12" customHeight="1" x14ac:dyDescent="0.2">
      <c r="A30" s="328"/>
      <c r="B30" s="328"/>
      <c r="C30" s="1476"/>
      <c r="D30" s="1926"/>
      <c r="E30" s="1284"/>
    </row>
    <row r="31" spans="1:6" ht="12" customHeight="1" x14ac:dyDescent="0.2">
      <c r="A31" s="1285" t="s">
        <v>1629</v>
      </c>
      <c r="B31" s="328"/>
      <c r="C31" s="1476"/>
      <c r="D31" s="1926"/>
      <c r="E31" s="1284"/>
    </row>
    <row r="32" spans="1:6" ht="30" customHeight="1" x14ac:dyDescent="0.2">
      <c r="A32" s="2454" t="s">
        <v>1834</v>
      </c>
      <c r="B32" s="2454"/>
      <c r="C32" s="2454"/>
      <c r="D32" s="2454"/>
      <c r="E32" s="2454"/>
      <c r="F32" s="2454"/>
    </row>
    <row r="33" spans="1:6" ht="13.5" customHeight="1" x14ac:dyDescent="0.2">
      <c r="A33" s="328" t="s">
        <v>1508</v>
      </c>
      <c r="B33" s="328"/>
      <c r="C33" s="1286">
        <v>0</v>
      </c>
      <c r="D33" s="1926"/>
      <c r="E33" s="1284"/>
    </row>
    <row r="34" spans="1:6" ht="13.5" customHeight="1" x14ac:dyDescent="0.2">
      <c r="A34" s="328" t="s">
        <v>1948</v>
      </c>
      <c r="B34" s="328"/>
      <c r="C34" s="1287">
        <v>0</v>
      </c>
      <c r="D34" s="1926" t="s">
        <v>1670</v>
      </c>
      <c r="E34" s="2455">
        <f>+C33+C34</f>
        <v>0</v>
      </c>
      <c r="F34" s="2456"/>
    </row>
    <row r="35" spans="1:6" ht="12" customHeight="1" x14ac:dyDescent="0.2">
      <c r="A35" s="328"/>
      <c r="B35" s="328"/>
      <c r="C35" s="1927"/>
      <c r="D35" s="1926"/>
      <c r="E35" s="1288"/>
      <c r="F35" s="1289"/>
    </row>
    <row r="36" spans="1:6" ht="13.5" customHeight="1" x14ac:dyDescent="0.2">
      <c r="A36" s="1285" t="s">
        <v>1630</v>
      </c>
      <c r="B36" s="328"/>
      <c r="C36" s="1476"/>
      <c r="D36" s="1926"/>
      <c r="E36" s="1284"/>
    </row>
    <row r="37" spans="1:6" ht="14.25" customHeight="1" x14ac:dyDescent="0.2">
      <c r="A37" s="328" t="s">
        <v>1562</v>
      </c>
      <c r="B37" s="328"/>
      <c r="C37" s="1928"/>
      <c r="D37" s="1926"/>
      <c r="E37" s="1284"/>
    </row>
    <row r="38" spans="1:6" ht="14.25" customHeight="1" x14ac:dyDescent="0.2">
      <c r="A38" s="328"/>
      <c r="B38" s="328" t="s">
        <v>1509</v>
      </c>
      <c r="C38" s="1290"/>
      <c r="D38" s="1926"/>
      <c r="E38" s="1284"/>
    </row>
    <row r="39" spans="1:6" ht="14.25" customHeight="1" x14ac:dyDescent="0.2">
      <c r="A39" s="328"/>
      <c r="B39" s="328" t="s">
        <v>1510</v>
      </c>
      <c r="C39" s="1290"/>
      <c r="D39" s="1926"/>
      <c r="E39" s="1284"/>
    </row>
    <row r="40" spans="1:6" ht="14.25" customHeight="1" x14ac:dyDescent="0.2">
      <c r="A40" s="328"/>
      <c r="B40" s="328" t="s">
        <v>1511</v>
      </c>
      <c r="C40" s="1290"/>
      <c r="D40" s="1926"/>
      <c r="E40" s="1284"/>
    </row>
    <row r="41" spans="1:6" ht="14.25" customHeight="1" x14ac:dyDescent="0.2">
      <c r="A41" s="328"/>
      <c r="B41" s="328" t="s">
        <v>1512</v>
      </c>
      <c r="C41" s="1290"/>
      <c r="D41" s="1926"/>
      <c r="E41" s="1284"/>
    </row>
    <row r="42" spans="1:6" ht="14.25" customHeight="1" x14ac:dyDescent="0.2">
      <c r="A42" s="328" t="s">
        <v>1513</v>
      </c>
      <c r="B42" s="328"/>
      <c r="C42" s="1924"/>
      <c r="D42" s="1926"/>
      <c r="E42" s="1284"/>
    </row>
    <row r="43" spans="1:6" ht="14.25" customHeight="1" x14ac:dyDescent="0.2">
      <c r="A43" s="328" t="s">
        <v>1514</v>
      </c>
      <c r="B43" s="328"/>
      <c r="C43" s="1291"/>
      <c r="D43" s="1926"/>
      <c r="E43" s="1284"/>
    </row>
    <row r="44" spans="1:6" ht="14.25" customHeight="1" x14ac:dyDescent="0.2">
      <c r="A44" s="328"/>
      <c r="B44" s="328"/>
      <c r="C44" s="1928" t="s">
        <v>1515</v>
      </c>
      <c r="D44" s="1926"/>
      <c r="E44" s="1284"/>
    </row>
    <row r="45" spans="1:6" ht="13.5" customHeight="1" x14ac:dyDescent="0.2">
      <c r="B45" s="322"/>
      <c r="C45" s="1292"/>
      <c r="D45" s="1292"/>
    </row>
    <row r="46" spans="1:6" x14ac:dyDescent="0.2">
      <c r="A46" s="1293" t="s">
        <v>1835</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7" t="s">
        <v>1671</v>
      </c>
      <c r="C49" s="2457"/>
      <c r="D49" s="2457"/>
      <c r="E49" s="1397"/>
    </row>
    <row r="50" spans="1:5" s="1298" customFormat="1" ht="3.75" customHeight="1" x14ac:dyDescent="0.2">
      <c r="A50" s="1297"/>
      <c r="B50" s="1868"/>
      <c r="C50" s="1868"/>
      <c r="D50" s="1868"/>
      <c r="E50" s="1397"/>
    </row>
    <row r="51" spans="1:5" s="1298" customFormat="1" ht="20.25" customHeight="1" x14ac:dyDescent="0.2">
      <c r="A51" s="1299">
        <v>6</v>
      </c>
      <c r="B51" s="2452" t="s">
        <v>1631</v>
      </c>
      <c r="C51" s="2452"/>
      <c r="D51" s="2452"/>
    </row>
    <row r="52" spans="1:5" ht="14.25" customHeight="1" x14ac:dyDescent="0.2">
      <c r="A52" s="1299"/>
      <c r="B52" s="2452"/>
      <c r="C52" s="2452"/>
      <c r="D52" s="2452"/>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1" t="str">
        <f>'Single Audit Cover'!A7</f>
        <v>Brimfield CUSD 309</v>
      </c>
      <c r="C1" s="2465"/>
      <c r="D1" s="2465"/>
      <c r="E1" s="2465"/>
      <c r="F1" s="2465"/>
      <c r="G1" s="2465"/>
      <c r="H1" s="2465"/>
      <c r="I1" s="2465"/>
      <c r="J1" s="2465"/>
      <c r="K1" s="2465"/>
      <c r="L1" s="2465"/>
      <c r="M1" s="2465"/>
    </row>
    <row r="2" spans="2:14" ht="15" x14ac:dyDescent="0.2">
      <c r="B2" s="2462">
        <f>'Single Audit Cover'!E7</f>
        <v>48072309026</v>
      </c>
      <c r="C2" s="2462"/>
      <c r="D2" s="2462"/>
      <c r="E2" s="2462"/>
      <c r="F2" s="2462"/>
      <c r="G2" s="2462"/>
      <c r="H2" s="2462"/>
      <c r="I2" s="2462"/>
      <c r="J2" s="2462"/>
      <c r="K2" s="2462"/>
      <c r="L2" s="2462"/>
      <c r="M2" s="2462"/>
      <c r="N2" s="1300"/>
    </row>
    <row r="3" spans="2:14" ht="15" x14ac:dyDescent="0.2">
      <c r="B3" s="2466" t="s">
        <v>1281</v>
      </c>
      <c r="C3" s="2466"/>
      <c r="D3" s="2466"/>
      <c r="E3" s="2466"/>
      <c r="F3" s="2466"/>
      <c r="G3" s="2466"/>
      <c r="H3" s="2466"/>
      <c r="I3" s="2466"/>
      <c r="J3" s="2466"/>
      <c r="K3" s="2466"/>
      <c r="L3" s="2466"/>
      <c r="M3" s="2466"/>
      <c r="N3" s="1300"/>
    </row>
    <row r="4" spans="2:14" ht="15" x14ac:dyDescent="0.2">
      <c r="B4" s="2467" t="str">
        <f>'Single Audit Cover'!A4</f>
        <v>Year Ending June 30, 2018</v>
      </c>
      <c r="C4" s="2467"/>
      <c r="D4" s="2467"/>
      <c r="E4" s="2467"/>
      <c r="F4" s="2467"/>
      <c r="G4" s="2467"/>
      <c r="H4" s="2467"/>
      <c r="I4" s="2467"/>
      <c r="J4" s="2467"/>
      <c r="K4" s="2467"/>
      <c r="L4" s="2467"/>
      <c r="M4" s="2467"/>
      <c r="N4" s="1300"/>
    </row>
    <row r="6" spans="2:14" x14ac:dyDescent="0.2">
      <c r="B6" s="1301"/>
      <c r="C6" s="1302"/>
      <c r="D6" s="1303" t="s">
        <v>1327</v>
      </c>
      <c r="E6" s="1304" t="s">
        <v>548</v>
      </c>
      <c r="F6" s="1305"/>
      <c r="G6" s="1306" t="s">
        <v>1836</v>
      </c>
      <c r="H6" s="1304"/>
      <c r="I6" s="1304"/>
      <c r="J6" s="1304"/>
      <c r="K6" s="1307"/>
      <c r="L6" s="1308"/>
      <c r="M6" s="1309"/>
    </row>
    <row r="7" spans="2:14" x14ac:dyDescent="0.2">
      <c r="B7" s="1310" t="s">
        <v>1661</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1662</v>
      </c>
      <c r="I8" s="1317" t="s">
        <v>1324</v>
      </c>
      <c r="J8" s="1316" t="s">
        <v>1949</v>
      </c>
      <c r="K8" s="1317" t="s">
        <v>1323</v>
      </c>
      <c r="L8" s="1318" t="s">
        <v>1319</v>
      </c>
      <c r="M8" s="1319" t="s">
        <v>30</v>
      </c>
    </row>
    <row r="9" spans="2:14" ht="14.25" x14ac:dyDescent="0.2">
      <c r="B9" s="1323" t="s">
        <v>1321</v>
      </c>
      <c r="C9" s="1311" t="s">
        <v>1837</v>
      </c>
      <c r="D9" s="1312" t="s">
        <v>1838</v>
      </c>
      <c r="E9" s="1320" t="s">
        <v>1662</v>
      </c>
      <c r="F9" s="1321" t="s">
        <v>1949</v>
      </c>
      <c r="G9" s="1322" t="s">
        <v>1662</v>
      </c>
      <c r="H9" s="1315" t="s">
        <v>1663</v>
      </c>
      <c r="I9" s="1317" t="s">
        <v>1949</v>
      </c>
      <c r="J9" s="1316" t="s">
        <v>1663</v>
      </c>
      <c r="K9" s="1317" t="s">
        <v>1320</v>
      </c>
      <c r="L9" s="1324" t="s">
        <v>1664</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t="s">
        <v>1231</v>
      </c>
      <c r="M11" s="1338"/>
    </row>
    <row r="12" spans="2:14" ht="20.100000000000001" customHeight="1" x14ac:dyDescent="0.2">
      <c r="B12" s="1335" t="s">
        <v>2084</v>
      </c>
      <c r="C12" s="1339"/>
      <c r="D12" s="1340"/>
      <c r="E12" s="1341"/>
      <c r="F12" s="1341"/>
      <c r="G12" s="1341"/>
      <c r="H12" s="1341"/>
      <c r="I12" s="1341"/>
      <c r="J12" s="1341"/>
      <c r="K12" s="1341"/>
      <c r="L12" s="1338" t="s">
        <v>1231</v>
      </c>
      <c r="M12" s="1341"/>
    </row>
    <row r="13" spans="2:14" ht="20.100000000000001" customHeight="1" x14ac:dyDescent="0.2">
      <c r="B13" s="1335" t="s">
        <v>1231</v>
      </c>
      <c r="C13" s="1339"/>
      <c r="D13" s="1340"/>
      <c r="E13" s="1341"/>
      <c r="F13" s="1341"/>
      <c r="G13" s="1341"/>
      <c r="H13" s="1341"/>
      <c r="I13" s="1341"/>
      <c r="J13" s="1341"/>
      <c r="K13" s="1341"/>
      <c r="L13" s="1338" t="s">
        <v>1231</v>
      </c>
      <c r="M13" s="1341"/>
    </row>
    <row r="14" spans="2:14" ht="20.100000000000001" customHeight="1" x14ac:dyDescent="0.2">
      <c r="B14" s="1335"/>
      <c r="C14" s="1339"/>
      <c r="D14" s="1340"/>
      <c r="E14" s="1341"/>
      <c r="F14" s="1341"/>
      <c r="G14" s="1341"/>
      <c r="H14" s="1341"/>
      <c r="I14" s="1341"/>
      <c r="J14" s="1341"/>
      <c r="K14" s="1341"/>
      <c r="L14" s="1338" t="s">
        <v>1231</v>
      </c>
      <c r="M14" s="1341"/>
    </row>
    <row r="15" spans="2:14" ht="20.100000000000001" customHeight="1" x14ac:dyDescent="0.2">
      <c r="B15" s="1335" t="s">
        <v>1231</v>
      </c>
      <c r="C15" s="1339"/>
      <c r="D15" s="1340"/>
      <c r="E15" s="1341"/>
      <c r="F15" s="1341"/>
      <c r="G15" s="1341"/>
      <c r="H15" s="1341"/>
      <c r="I15" s="1341"/>
      <c r="J15" s="1341"/>
      <c r="K15" s="1341"/>
      <c r="L15" s="1338" t="s">
        <v>1231</v>
      </c>
      <c r="M15" s="1341"/>
    </row>
    <row r="16" spans="2:14" ht="20.100000000000001" customHeight="1" x14ac:dyDescent="0.2">
      <c r="B16" s="1335"/>
      <c r="C16" s="1339"/>
      <c r="D16" s="1340"/>
      <c r="E16" s="1341"/>
      <c r="F16" s="1341"/>
      <c r="G16" s="1341"/>
      <c r="H16" s="1341"/>
      <c r="I16" s="1341"/>
      <c r="J16" s="1341"/>
      <c r="K16" s="1341"/>
      <c r="L16" s="1338" t="s">
        <v>1231</v>
      </c>
      <c r="M16" s="1341"/>
    </row>
    <row r="17" spans="2:14" ht="20.100000000000001" customHeight="1" x14ac:dyDescent="0.2">
      <c r="B17" s="1335"/>
      <c r="C17" s="1339"/>
      <c r="D17" s="1340"/>
      <c r="E17" s="1341"/>
      <c r="F17" s="1341"/>
      <c r="G17" s="1341"/>
      <c r="H17" s="1341"/>
      <c r="I17" s="1341"/>
      <c r="J17" s="1341"/>
      <c r="K17" s="1341"/>
      <c r="L17" s="1338" t="s">
        <v>1231</v>
      </c>
      <c r="M17" s="1341"/>
    </row>
    <row r="18" spans="2:14" ht="20.100000000000001" customHeight="1" x14ac:dyDescent="0.2">
      <c r="B18" s="1335"/>
      <c r="C18" s="1339"/>
      <c r="D18" s="1340"/>
      <c r="E18" s="1341"/>
      <c r="F18" s="1341"/>
      <c r="G18" s="1341"/>
      <c r="H18" s="1341"/>
      <c r="I18" s="1341"/>
      <c r="J18" s="1341"/>
      <c r="K18" s="1341"/>
      <c r="L18" s="1338" t="s">
        <v>1231</v>
      </c>
      <c r="M18" s="1341"/>
    </row>
    <row r="19" spans="2:14" ht="20.100000000000001" customHeight="1" x14ac:dyDescent="0.2">
      <c r="B19" s="1335"/>
      <c r="C19" s="1339"/>
      <c r="D19" s="1340"/>
      <c r="E19" s="1341"/>
      <c r="F19" s="1341"/>
      <c r="G19" s="1341"/>
      <c r="H19" s="1341"/>
      <c r="I19" s="1341"/>
      <c r="J19" s="1341"/>
      <c r="K19" s="1341"/>
      <c r="L19" s="1338" t="s">
        <v>1231</v>
      </c>
      <c r="M19" s="1341"/>
    </row>
    <row r="20" spans="2:14" ht="20.100000000000001" customHeight="1" x14ac:dyDescent="0.2">
      <c r="B20" s="1335"/>
      <c r="C20" s="1339"/>
      <c r="D20" s="1340"/>
      <c r="E20" s="1341"/>
      <c r="F20" s="1341"/>
      <c r="G20" s="1341"/>
      <c r="H20" s="1341"/>
      <c r="I20" s="1341"/>
      <c r="J20" s="1341"/>
      <c r="K20" s="1341"/>
      <c r="L20" s="1338" t="s">
        <v>1231</v>
      </c>
      <c r="M20" s="1341"/>
    </row>
    <row r="21" spans="2:14" ht="20.100000000000001" customHeight="1" x14ac:dyDescent="0.2">
      <c r="B21" s="1335"/>
      <c r="C21" s="1339"/>
      <c r="D21" s="1340"/>
      <c r="E21" s="1341"/>
      <c r="F21" s="1341"/>
      <c r="G21" s="1341"/>
      <c r="H21" s="1341"/>
      <c r="I21" s="1341"/>
      <c r="J21" s="1341"/>
      <c r="K21" s="1341"/>
      <c r="L21" s="1338" t="s">
        <v>1231</v>
      </c>
      <c r="M21" s="1341"/>
    </row>
    <row r="22" spans="2:14" ht="20.100000000000001" customHeight="1" x14ac:dyDescent="0.2">
      <c r="B22" s="1335"/>
      <c r="C22" s="1339"/>
      <c r="D22" s="1340"/>
      <c r="E22" s="1341"/>
      <c r="F22" s="1341"/>
      <c r="G22" s="1341"/>
      <c r="H22" s="1341"/>
      <c r="I22" s="1341"/>
      <c r="J22" s="1341"/>
      <c r="K22" s="1341"/>
      <c r="L22" s="1338" t="s">
        <v>1231</v>
      </c>
      <c r="M22" s="1341"/>
    </row>
    <row r="23" spans="2:14" ht="20.100000000000001" customHeight="1" x14ac:dyDescent="0.2">
      <c r="B23" s="1335"/>
      <c r="C23" s="1339"/>
      <c r="D23" s="1340"/>
      <c r="E23" s="1341"/>
      <c r="F23" s="1341"/>
      <c r="G23" s="1341"/>
      <c r="H23" s="1341"/>
      <c r="I23" s="1341"/>
      <c r="J23" s="1341"/>
      <c r="K23" s="1341"/>
      <c r="L23" s="1338" t="s">
        <v>1231</v>
      </c>
      <c r="M23" s="1341"/>
    </row>
    <row r="24" spans="2:14" ht="20.100000000000001" customHeight="1" x14ac:dyDescent="0.2">
      <c r="B24" s="1335"/>
      <c r="C24" s="1339"/>
      <c r="D24" s="1340"/>
      <c r="E24" s="1341"/>
      <c r="F24" s="1341"/>
      <c r="G24" s="1341"/>
      <c r="H24" s="1341"/>
      <c r="I24" s="1341"/>
      <c r="J24" s="1341"/>
      <c r="K24" s="1341"/>
      <c r="L24" s="1338" t="s">
        <v>1231</v>
      </c>
      <c r="M24" s="1341"/>
    </row>
    <row r="25" spans="2:14" ht="20.100000000000001" customHeight="1" x14ac:dyDescent="0.2">
      <c r="B25" s="1335"/>
      <c r="C25" s="1339"/>
      <c r="D25" s="1340"/>
      <c r="E25" s="1341"/>
      <c r="F25" s="1341"/>
      <c r="G25" s="1341"/>
      <c r="H25" s="1341"/>
      <c r="I25" s="1341"/>
      <c r="J25" s="1341"/>
      <c r="K25" s="1341"/>
      <c r="L25" s="1338" t="s">
        <v>1231</v>
      </c>
      <c r="M25" s="1341"/>
    </row>
    <row r="26" spans="2:14" ht="20.100000000000001" customHeight="1" x14ac:dyDescent="0.2">
      <c r="B26" s="1335"/>
      <c r="C26" s="1339"/>
      <c r="D26" s="1340"/>
      <c r="E26" s="1341"/>
      <c r="F26" s="1341"/>
      <c r="G26" s="1341"/>
      <c r="H26" s="1341"/>
      <c r="I26" s="1341"/>
      <c r="J26" s="1341"/>
      <c r="K26" s="1341"/>
      <c r="L26" s="1338" t="s">
        <v>1231</v>
      </c>
      <c r="M26" s="1341"/>
    </row>
    <row r="27" spans="2:14" ht="20.100000000000001" customHeight="1" x14ac:dyDescent="0.2">
      <c r="B27" s="1335"/>
      <c r="C27" s="1339"/>
      <c r="D27" s="1340"/>
      <c r="E27" s="1341"/>
      <c r="F27" s="1341"/>
      <c r="G27" s="1341"/>
      <c r="H27" s="1341"/>
      <c r="I27" s="1341"/>
      <c r="J27" s="1341"/>
      <c r="K27" s="1341"/>
      <c r="L27" s="1338" t="s">
        <v>1231</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1839</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1950</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1840</v>
      </c>
      <c r="C37" s="1363"/>
      <c r="D37" s="1363"/>
      <c r="E37" s="1363"/>
      <c r="F37" s="1363"/>
      <c r="G37" s="1363"/>
      <c r="H37" s="1363"/>
      <c r="I37" s="1364"/>
      <c r="J37" s="1364"/>
      <c r="K37" s="1364"/>
      <c r="L37" s="1364"/>
      <c r="M37" s="1364"/>
    </row>
    <row r="38" spans="2:13" ht="11.25" customHeight="1" x14ac:dyDescent="0.2">
      <c r="B38" s="1365" t="s">
        <v>1665</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1841</v>
      </c>
      <c r="C40" s="1364"/>
      <c r="D40" s="1364"/>
      <c r="E40" s="1364"/>
      <c r="F40" s="1364"/>
      <c r="G40" s="1364"/>
      <c r="H40" s="1364"/>
      <c r="I40" s="1364"/>
      <c r="J40" s="1364"/>
      <c r="K40" s="1364"/>
      <c r="L40" s="1364"/>
      <c r="M40" s="1364"/>
    </row>
    <row r="41" spans="2:13" ht="11.25" customHeight="1" x14ac:dyDescent="0.2">
      <c r="B41" s="1298" t="s">
        <v>1666</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1842</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1843</v>
      </c>
      <c r="C45" s="1366"/>
      <c r="D45" s="1367"/>
      <c r="E45" s="1298"/>
      <c r="F45" s="1298"/>
      <c r="G45" s="1298"/>
      <c r="H45" s="1298"/>
      <c r="I45" s="1298"/>
      <c r="J45" s="1298"/>
      <c r="K45" s="1368"/>
      <c r="L45" s="1368"/>
      <c r="M45" s="1298"/>
    </row>
    <row r="46" spans="2:13" ht="11.25" customHeight="1" x14ac:dyDescent="0.2">
      <c r="B46" s="1298" t="s">
        <v>1667</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Brimfield CUSD 309</v>
      </c>
      <c r="C1" s="2480"/>
      <c r="D1" s="2480"/>
      <c r="E1" s="2480"/>
      <c r="F1" s="2480"/>
      <c r="G1" s="2480"/>
      <c r="H1" s="2480"/>
      <c r="I1" s="2480"/>
      <c r="J1" s="1420"/>
    </row>
    <row r="2" spans="2:10" s="317" customFormat="1" ht="12.75" customHeight="1" x14ac:dyDescent="0.2">
      <c r="B2" s="2481">
        <f>'Single Audit Cover'!E7</f>
        <v>48072309026</v>
      </c>
      <c r="C2" s="2482"/>
      <c r="D2" s="2482"/>
      <c r="E2" s="2482"/>
      <c r="F2" s="2482"/>
      <c r="G2" s="2482"/>
      <c r="H2" s="2482"/>
      <c r="I2" s="2482"/>
      <c r="J2" s="1420"/>
    </row>
    <row r="3" spans="2:10" s="317" customFormat="1" ht="12.75" customHeight="1" x14ac:dyDescent="0.2">
      <c r="B3" s="2483" t="s">
        <v>1347</v>
      </c>
      <c r="C3" s="2484"/>
      <c r="D3" s="2484"/>
      <c r="E3" s="2484"/>
      <c r="F3" s="2484"/>
      <c r="G3" s="2484"/>
      <c r="H3" s="2484"/>
      <c r="I3" s="2484"/>
      <c r="J3" s="1421"/>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3" t="s">
        <v>1346</v>
      </c>
      <c r="C7" s="2484"/>
      <c r="D7" s="2484"/>
      <c r="E7" s="2484"/>
      <c r="F7" s="2484"/>
      <c r="G7" s="2484"/>
      <c r="H7" s="2484"/>
      <c r="I7" s="2484"/>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5"/>
      <c r="D11" s="2485"/>
      <c r="E11" s="1430"/>
      <c r="F11" s="1430"/>
      <c r="G11" s="1430"/>
    </row>
    <row r="12" spans="2:10" s="317" customFormat="1" ht="11.45" customHeight="1" x14ac:dyDescent="0.2">
      <c r="B12" s="1355"/>
      <c r="C12" s="1431" t="s">
        <v>1516</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1517</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1672</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1517</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6"/>
      <c r="E29" s="2486"/>
      <c r="F29" s="2486"/>
      <c r="G29" s="2486"/>
      <c r="H29" s="2486"/>
      <c r="I29" s="2486"/>
    </row>
    <row r="30" spans="2:9" s="317" customFormat="1" x14ac:dyDescent="0.2">
      <c r="B30" s="1366"/>
      <c r="C30" s="322"/>
      <c r="D30" s="1431" t="s">
        <v>1850</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1632</v>
      </c>
      <c r="C33" s="1280"/>
      <c r="E33" s="1436"/>
      <c r="F33" s="1298" t="s">
        <v>940</v>
      </c>
      <c r="G33" s="1436"/>
      <c r="H33" s="1298" t="s">
        <v>101</v>
      </c>
    </row>
    <row r="35" spans="2:9" x14ac:dyDescent="0.2">
      <c r="B35" s="1439" t="s">
        <v>1851</v>
      </c>
      <c r="C35" s="1440"/>
      <c r="D35" s="1265"/>
    </row>
    <row r="36" spans="2:9" ht="6" customHeight="1" x14ac:dyDescent="0.2">
      <c r="B36" s="1439"/>
      <c r="C36" s="1440"/>
      <c r="D36" s="1265"/>
    </row>
    <row r="37" spans="2:9" ht="17.25" customHeight="1" x14ac:dyDescent="0.2">
      <c r="B37" s="1441" t="s">
        <v>1852</v>
      </c>
      <c r="C37" s="2487" t="s">
        <v>1853</v>
      </c>
      <c r="D37" s="2488"/>
      <c r="E37" s="2488"/>
      <c r="F37" s="2489"/>
      <c r="G37" s="2487" t="s">
        <v>1673</v>
      </c>
      <c r="H37" s="2488"/>
      <c r="I37" s="2489"/>
    </row>
    <row r="38" spans="2:9" ht="16.5" customHeight="1" x14ac:dyDescent="0.2">
      <c r="B38" s="1442"/>
      <c r="C38" s="2475"/>
      <c r="D38" s="2476"/>
      <c r="E38" s="2476"/>
      <c r="F38" s="2477"/>
      <c r="G38" s="2490"/>
      <c r="H38" s="2491"/>
      <c r="I38" s="2492"/>
    </row>
    <row r="39" spans="2:9" ht="16.5" customHeight="1" x14ac:dyDescent="0.2">
      <c r="B39" s="1442"/>
      <c r="C39" s="2475"/>
      <c r="D39" s="2476"/>
      <c r="E39" s="2476"/>
      <c r="F39" s="2477"/>
      <c r="G39" s="2478"/>
      <c r="H39" s="2478"/>
      <c r="I39" s="2478"/>
    </row>
    <row r="40" spans="2:9" ht="16.5" customHeight="1" x14ac:dyDescent="0.2">
      <c r="B40" s="1442"/>
      <c r="C40" s="2475"/>
      <c r="D40" s="2476"/>
      <c r="E40" s="2476"/>
      <c r="F40" s="2477"/>
      <c r="G40" s="2478"/>
      <c r="H40" s="2478"/>
      <c r="I40" s="2478"/>
    </row>
    <row r="41" spans="2:9" ht="16.5" customHeight="1" x14ac:dyDescent="0.2">
      <c r="B41" s="1442"/>
      <c r="C41" s="2475"/>
      <c r="D41" s="2476"/>
      <c r="E41" s="2476"/>
      <c r="F41" s="2477"/>
      <c r="G41" s="2478"/>
      <c r="H41" s="2478"/>
      <c r="I41" s="2478"/>
    </row>
    <row r="42" spans="2:9" ht="16.5" customHeight="1" x14ac:dyDescent="0.2">
      <c r="B42" s="1442"/>
      <c r="C42" s="2475"/>
      <c r="D42" s="2476"/>
      <c r="E42" s="2476"/>
      <c r="F42" s="2477"/>
      <c r="G42" s="2478"/>
      <c r="H42" s="2478"/>
      <c r="I42" s="2478"/>
    </row>
    <row r="43" spans="2:9" ht="16.5" customHeight="1" x14ac:dyDescent="0.2">
      <c r="B43" s="1442"/>
      <c r="C43" s="2468" t="s">
        <v>1674</v>
      </c>
      <c r="D43" s="2469"/>
      <c r="E43" s="2469"/>
      <c r="F43" s="2470"/>
      <c r="G43" s="2471">
        <f>SUM(G38:I42)</f>
        <v>0</v>
      </c>
      <c r="H43" s="2471"/>
      <c r="I43" s="2471"/>
    </row>
    <row r="44" spans="2:9" ht="12.75" customHeight="1" x14ac:dyDescent="0.2"/>
    <row r="45" spans="2:9" ht="12.75" customHeight="1" x14ac:dyDescent="0.2">
      <c r="B45" s="1433" t="s">
        <v>1951</v>
      </c>
      <c r="D45" s="2472">
        <v>0</v>
      </c>
      <c r="E45" s="2473"/>
    </row>
    <row r="46" spans="2:9" ht="5.25" customHeight="1" x14ac:dyDescent="0.2">
      <c r="B46" s="1443"/>
      <c r="D46" s="1444"/>
      <c r="E46" s="1445"/>
    </row>
    <row r="47" spans="2:9" ht="12.75" customHeight="1" x14ac:dyDescent="0.2">
      <c r="B47" s="1298" t="s">
        <v>1675</v>
      </c>
      <c r="C47" s="1298"/>
      <c r="D47" s="1446" t="e">
        <f>+G43/D45</f>
        <v>#DIV/0!</v>
      </c>
      <c r="E47" s="1447"/>
      <c r="F47" s="1448"/>
      <c r="I47" s="1449"/>
    </row>
    <row r="48" spans="2:9" ht="9.9499999999999993" customHeight="1" x14ac:dyDescent="0.2"/>
    <row r="49" spans="1:9" x14ac:dyDescent="0.2">
      <c r="B49" s="1366" t="s">
        <v>1335</v>
      </c>
      <c r="C49" s="1280"/>
      <c r="D49" s="1280"/>
      <c r="E49" s="2474"/>
      <c r="F49" s="2474"/>
      <c r="G49" s="2474"/>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1854</v>
      </c>
      <c r="C54" s="1458"/>
      <c r="D54" s="1458"/>
    </row>
    <row r="55" spans="1:9" s="1459" customFormat="1" ht="12.75" customHeight="1" x14ac:dyDescent="0.2">
      <c r="A55" s="1456"/>
      <c r="B55" s="1460" t="s">
        <v>1676</v>
      </c>
      <c r="C55" s="1456"/>
      <c r="D55" s="1456"/>
    </row>
    <row r="56" spans="1:9" s="1459" customFormat="1" ht="12.75" customHeight="1" x14ac:dyDescent="0.2">
      <c r="A56" s="1456"/>
      <c r="B56" s="1460" t="s">
        <v>1677</v>
      </c>
      <c r="C56" s="1456"/>
      <c r="D56" s="1456"/>
    </row>
    <row r="57" spans="1:9" s="1459" customFormat="1" ht="3.95" customHeight="1" x14ac:dyDescent="0.2">
      <c r="A57" s="1456"/>
      <c r="B57" s="1460"/>
      <c r="C57" s="1456"/>
      <c r="D57" s="1456"/>
    </row>
    <row r="58" spans="1:9" s="1459" customFormat="1" ht="13.5" customHeight="1" x14ac:dyDescent="0.2">
      <c r="A58" s="1456"/>
      <c r="B58" s="1461" t="s">
        <v>1855</v>
      </c>
      <c r="C58" s="1462"/>
      <c r="D58" s="1462"/>
    </row>
    <row r="59" spans="1:9" s="1459" customFormat="1" ht="3.95" customHeight="1" x14ac:dyDescent="0.2">
      <c r="A59" s="1456"/>
      <c r="B59" s="1461"/>
      <c r="C59" s="1462"/>
      <c r="D59" s="1462"/>
    </row>
    <row r="60" spans="1:9" s="1459" customFormat="1" ht="13.5" customHeight="1" x14ac:dyDescent="0.2">
      <c r="A60" s="1456"/>
      <c r="B60" s="1461" t="s">
        <v>1856</v>
      </c>
      <c r="C60" s="1462"/>
      <c r="D60" s="1462"/>
    </row>
    <row r="61" spans="1:9" s="1459" customFormat="1" ht="3.95" customHeight="1" x14ac:dyDescent="0.2">
      <c r="A61" s="1456"/>
      <c r="B61" s="1461"/>
      <c r="C61" s="1462"/>
      <c r="D61" s="1462"/>
    </row>
    <row r="62" spans="1:9" s="1459" customFormat="1" ht="12.75" customHeight="1" x14ac:dyDescent="0.2">
      <c r="A62" s="1456"/>
      <c r="B62" s="1461" t="s">
        <v>1857</v>
      </c>
      <c r="C62" s="1462"/>
      <c r="D62" s="1462"/>
    </row>
    <row r="63" spans="1:9" s="1459" customFormat="1" ht="13.5" customHeight="1" x14ac:dyDescent="0.2">
      <c r="A63" s="1456"/>
      <c r="B63" s="1460" t="s">
        <v>1678</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Brimfield CUSD 309</v>
      </c>
      <c r="C1" s="2479"/>
      <c r="D1" s="2479"/>
      <c r="E1" s="2479"/>
      <c r="F1" s="2479"/>
      <c r="G1" s="2479"/>
      <c r="H1" s="2479"/>
      <c r="I1" s="2479"/>
      <c r="J1" s="2479"/>
      <c r="K1" s="2479"/>
      <c r="L1" s="1372"/>
      <c r="M1" s="1372"/>
    </row>
    <row r="2" spans="1:13" ht="12" customHeight="1" x14ac:dyDescent="0.2">
      <c r="B2" s="2481">
        <f>'Single Audit Cover'!E7</f>
        <v>48072309026</v>
      </c>
      <c r="C2" s="2481"/>
      <c r="D2" s="2481"/>
      <c r="E2" s="2481"/>
      <c r="F2" s="2481"/>
      <c r="G2" s="2481"/>
      <c r="H2" s="2481"/>
      <c r="I2" s="2481"/>
      <c r="J2" s="2481"/>
      <c r="K2" s="2481"/>
      <c r="L2" s="1373"/>
      <c r="M2" s="1374"/>
    </row>
    <row r="3" spans="1:13" ht="10.35" customHeight="1" x14ac:dyDescent="0.2">
      <c r="B3" s="2494" t="s">
        <v>1347</v>
      </c>
      <c r="C3" s="2494"/>
      <c r="D3" s="2494"/>
      <c r="E3" s="2494"/>
      <c r="F3" s="2494"/>
      <c r="G3" s="2494"/>
      <c r="H3" s="2494"/>
      <c r="I3" s="2494"/>
      <c r="J3" s="2494"/>
      <c r="K3" s="2494"/>
      <c r="L3" s="1375"/>
      <c r="M3" s="1375"/>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1362</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1844</v>
      </c>
      <c r="C10" s="1383" t="s">
        <v>1952</v>
      </c>
      <c r="D10" s="1384">
        <v>1</v>
      </c>
      <c r="E10" s="322"/>
      <c r="F10" s="1385" t="s">
        <v>1361</v>
      </c>
      <c r="G10" s="1386"/>
      <c r="H10" s="1387" t="s">
        <v>1360</v>
      </c>
      <c r="I10" s="1386" t="s">
        <v>2076</v>
      </c>
      <c r="J10" s="1388"/>
      <c r="K10" s="322"/>
      <c r="L10" s="1379"/>
    </row>
    <row r="11" spans="1:13" ht="13.5" customHeight="1" x14ac:dyDescent="0.2">
      <c r="B11" s="322"/>
      <c r="C11" s="322"/>
      <c r="D11" s="322"/>
      <c r="E11" s="322"/>
      <c r="F11" s="322"/>
      <c r="G11" s="1381"/>
      <c r="H11" s="322"/>
      <c r="I11" s="1389" t="s">
        <v>1359</v>
      </c>
      <c r="J11" s="322"/>
      <c r="K11" s="1390" t="s">
        <v>2134</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3" t="s">
        <v>2127</v>
      </c>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t="s">
        <v>2128</v>
      </c>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1845</v>
      </c>
      <c r="C19" s="1391"/>
      <c r="D19" s="1392"/>
      <c r="E19" s="1392"/>
      <c r="F19" s="1392"/>
      <c r="G19" s="1393"/>
      <c r="H19" s="1392"/>
      <c r="I19" s="1393"/>
      <c r="J19" s="1392"/>
      <c r="K19" s="1392"/>
      <c r="L19" s="1394"/>
    </row>
    <row r="20" spans="2:12" ht="45.75" customHeight="1" x14ac:dyDescent="0.2">
      <c r="B20" s="2493" t="s">
        <v>2129</v>
      </c>
      <c r="C20" s="2493"/>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t="s">
        <v>2130</v>
      </c>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t="s">
        <v>2131</v>
      </c>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3" t="s">
        <v>2132</v>
      </c>
      <c r="C29" s="2493"/>
      <c r="D29" s="2493"/>
      <c r="E29" s="2493"/>
      <c r="F29" s="2493"/>
      <c r="G29" s="2493"/>
      <c r="H29" s="2493"/>
      <c r="I29" s="2493"/>
      <c r="J29" s="2493"/>
      <c r="K29" s="249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1846</v>
      </c>
      <c r="C31" s="1401"/>
      <c r="D31" s="1376"/>
      <c r="E31" s="1377"/>
      <c r="F31" s="1377"/>
      <c r="G31" s="1378"/>
      <c r="H31" s="1377"/>
      <c r="I31" s="1378"/>
      <c r="J31" s="1377"/>
      <c r="K31" s="1377"/>
      <c r="L31" s="1379"/>
    </row>
    <row r="32" spans="2:12" s="322" customFormat="1" ht="44.25" customHeight="1" x14ac:dyDescent="0.2">
      <c r="B32" s="2493" t="s">
        <v>2133</v>
      </c>
      <c r="C32" s="2493"/>
      <c r="D32" s="2493"/>
      <c r="E32" s="2493"/>
      <c r="F32" s="2493"/>
      <c r="G32" s="2493"/>
      <c r="H32" s="2493"/>
      <c r="I32" s="2493"/>
      <c r="J32" s="2493"/>
      <c r="K32" s="249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1847</v>
      </c>
      <c r="C35" s="1417"/>
      <c r="D35" s="322"/>
      <c r="E35" s="322"/>
      <c r="F35" s="322"/>
      <c r="L35" s="1379"/>
    </row>
    <row r="36" spans="1:13" ht="9.6" customHeight="1" x14ac:dyDescent="0.2">
      <c r="B36" s="1298" t="s">
        <v>1953</v>
      </c>
      <c r="C36" s="1298"/>
      <c r="L36" s="1379"/>
    </row>
    <row r="37" spans="1:13" ht="9.6" customHeight="1" x14ac:dyDescent="0.2">
      <c r="B37" s="1298" t="s">
        <v>1954</v>
      </c>
      <c r="C37" s="1298"/>
    </row>
    <row r="38" spans="1:13" ht="11.85" customHeight="1" x14ac:dyDescent="0.2">
      <c r="B38" s="1418" t="s">
        <v>1848</v>
      </c>
      <c r="C38" s="1418"/>
    </row>
    <row r="39" spans="1:13" ht="9.6" customHeight="1" x14ac:dyDescent="0.2">
      <c r="B39" s="1298" t="s">
        <v>1348</v>
      </c>
      <c r="C39" s="1298"/>
      <c r="M39" s="1419"/>
    </row>
    <row r="40" spans="1:13" ht="12.6" customHeight="1" x14ac:dyDescent="0.2">
      <c r="B40" s="1418" t="s">
        <v>1849</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Brimfield CUSD 309</v>
      </c>
      <c r="C1" s="2501"/>
      <c r="D1" s="2501"/>
      <c r="E1" s="2501"/>
      <c r="F1" s="2501"/>
      <c r="G1" s="2501"/>
      <c r="H1" s="2501"/>
      <c r="I1" s="2501"/>
      <c r="J1" s="2501"/>
      <c r="K1" s="2501"/>
      <c r="L1" s="1463"/>
    </row>
    <row r="2" spans="1:12" ht="12.75" customHeight="1" x14ac:dyDescent="0.2">
      <c r="B2" s="2502">
        <f>'Single Audit Cover'!E7</f>
        <v>48072309026</v>
      </c>
      <c r="C2" s="2502"/>
      <c r="D2" s="2502"/>
      <c r="E2" s="2502"/>
      <c r="F2" s="2502"/>
      <c r="G2" s="2502"/>
      <c r="H2" s="2502"/>
      <c r="I2" s="2502"/>
      <c r="J2" s="2502"/>
      <c r="K2" s="2502"/>
      <c r="L2" s="1464"/>
    </row>
    <row r="3" spans="1:12" ht="12.75" customHeight="1" x14ac:dyDescent="0.2">
      <c r="B3" s="2494" t="s">
        <v>1347</v>
      </c>
      <c r="C3" s="2494"/>
      <c r="D3" s="2494"/>
      <c r="E3" s="2494"/>
      <c r="F3" s="2494"/>
      <c r="G3" s="2494"/>
      <c r="H3" s="2494"/>
      <c r="I3" s="2494"/>
      <c r="J3" s="2494"/>
      <c r="K3" s="2494"/>
      <c r="L3" s="1375"/>
    </row>
    <row r="4" spans="1:12" ht="12.75" customHeight="1" x14ac:dyDescent="0.2">
      <c r="B4" s="2494" t="str">
        <f>'Single Audit Cover'!A4</f>
        <v>Year Ending June 30, 2018</v>
      </c>
      <c r="C4" s="2494"/>
      <c r="D4" s="2494"/>
      <c r="E4" s="2494"/>
      <c r="F4" s="2494"/>
      <c r="G4" s="2494"/>
      <c r="H4" s="2494"/>
      <c r="I4" s="2494"/>
      <c r="J4" s="2494"/>
      <c r="K4" s="2494"/>
      <c r="L4" s="1375"/>
    </row>
    <row r="5" spans="1:12" ht="5.25" customHeight="1" x14ac:dyDescent="0.2">
      <c r="B5" s="1258" t="s">
        <v>1231</v>
      </c>
      <c r="C5" s="1258"/>
      <c r="L5" s="322"/>
    </row>
    <row r="6" spans="1:12" ht="30.75" customHeight="1" x14ac:dyDescent="0.2">
      <c r="A6" s="322"/>
      <c r="B6" s="2503" t="s">
        <v>1374</v>
      </c>
      <c r="C6" s="2503"/>
      <c r="D6" s="2503"/>
      <c r="E6" s="2503"/>
      <c r="F6" s="2503"/>
      <c r="G6" s="2503"/>
      <c r="H6" s="2503"/>
      <c r="I6" s="2503"/>
      <c r="J6" s="2503"/>
      <c r="K6" s="2503"/>
      <c r="L6" s="322"/>
    </row>
    <row r="7" spans="1:12" ht="4.5" customHeight="1" x14ac:dyDescent="0.2">
      <c r="B7" s="1377"/>
      <c r="C7" s="1377"/>
      <c r="D7" s="1377"/>
      <c r="E7" s="1377"/>
      <c r="F7" s="1377"/>
      <c r="G7" s="1378"/>
      <c r="H7" s="1377"/>
      <c r="I7" s="1378"/>
      <c r="J7" s="1377"/>
      <c r="K7" s="1377"/>
      <c r="L7" s="322"/>
    </row>
    <row r="8" spans="1:12" ht="13.5" customHeight="1" x14ac:dyDescent="0.2">
      <c r="B8" s="1385" t="s">
        <v>1858</v>
      </c>
      <c r="C8" s="1465" t="s">
        <v>1952</v>
      </c>
      <c r="D8" s="1466"/>
      <c r="E8" s="322"/>
      <c r="F8" s="1382" t="s">
        <v>1361</v>
      </c>
      <c r="G8" s="1467"/>
      <c r="H8" s="1468" t="s">
        <v>1373</v>
      </c>
      <c r="I8" s="1467"/>
      <c r="J8" s="1469" t="s">
        <v>1372</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1371</v>
      </c>
      <c r="C12" s="1382"/>
      <c r="D12" s="304"/>
      <c r="E12" s="322"/>
      <c r="F12" s="2486"/>
      <c r="G12" s="2486"/>
      <c r="H12" s="2486"/>
      <c r="I12" s="2486"/>
      <c r="J12" s="2486"/>
      <c r="K12" s="2486"/>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1370</v>
      </c>
      <c r="C14" s="1385"/>
      <c r="D14" s="2498"/>
      <c r="E14" s="2498"/>
      <c r="F14" s="2498"/>
      <c r="H14" s="1473" t="s">
        <v>1369</v>
      </c>
      <c r="I14" s="2499"/>
      <c r="J14" s="2499"/>
      <c r="K14" s="2499"/>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1368</v>
      </c>
      <c r="C16" s="1385"/>
      <c r="D16" s="2499"/>
      <c r="E16" s="2499"/>
      <c r="F16" s="2499"/>
      <c r="G16" s="2499"/>
      <c r="H16" s="2499"/>
      <c r="I16" s="2499"/>
      <c r="J16" s="2499"/>
      <c r="K16" s="2499"/>
      <c r="L16" s="322"/>
    </row>
    <row r="17" spans="2:12" ht="13.5" customHeight="1" x14ac:dyDescent="0.2">
      <c r="B17" s="1385" t="s">
        <v>1367</v>
      </c>
      <c r="C17" s="1385"/>
      <c r="D17" s="2500"/>
      <c r="E17" s="2500"/>
      <c r="F17" s="2500"/>
      <c r="G17" s="2500"/>
      <c r="H17" s="2500"/>
      <c r="I17" s="2500"/>
      <c r="J17" s="2500"/>
      <c r="K17" s="2500"/>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1366</v>
      </c>
      <c r="C19" s="1475"/>
      <c r="D19" s="328"/>
      <c r="E19" s="328"/>
      <c r="F19" s="328"/>
      <c r="G19" s="1476"/>
      <c r="H19" s="328"/>
      <c r="I19" s="1476"/>
      <c r="J19" s="322"/>
      <c r="K19" s="322"/>
      <c r="L19" s="322"/>
    </row>
    <row r="20" spans="2:12" ht="35.25" customHeight="1" x14ac:dyDescent="0.2">
      <c r="B20" s="2497"/>
      <c r="C20" s="2497"/>
      <c r="D20" s="2497"/>
      <c r="E20" s="2497"/>
      <c r="F20" s="2497"/>
      <c r="G20" s="2497"/>
      <c r="H20" s="2497"/>
      <c r="I20" s="2497"/>
      <c r="J20" s="2497"/>
      <c r="K20" s="2497"/>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1859</v>
      </c>
      <c r="C22" s="1475"/>
      <c r="D22" s="322"/>
      <c r="E22" s="322"/>
      <c r="F22" s="322"/>
      <c r="G22" s="1381"/>
      <c r="H22" s="322"/>
      <c r="I22" s="1381"/>
      <c r="J22" s="322"/>
      <c r="K22" s="322"/>
      <c r="L22" s="322"/>
    </row>
    <row r="23" spans="2:12" ht="37.5" customHeight="1" x14ac:dyDescent="0.2">
      <c r="B23" s="2497"/>
      <c r="C23" s="2497"/>
      <c r="D23" s="2497"/>
      <c r="E23" s="2497"/>
      <c r="F23" s="2497"/>
      <c r="G23" s="2497"/>
      <c r="H23" s="2497"/>
      <c r="I23" s="2497"/>
      <c r="J23" s="2497"/>
      <c r="K23" s="2497"/>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1860</v>
      </c>
      <c r="C25" s="1475"/>
      <c r="D25" s="322"/>
      <c r="E25" s="322"/>
      <c r="F25" s="322"/>
      <c r="G25" s="1381"/>
      <c r="H25" s="322"/>
      <c r="I25" s="1381"/>
      <c r="J25" s="322"/>
      <c r="K25" s="322"/>
      <c r="L25" s="322"/>
    </row>
    <row r="26" spans="2:12" ht="37.5" customHeight="1" x14ac:dyDescent="0.2">
      <c r="B26" s="2497"/>
      <c r="C26" s="2497"/>
      <c r="D26" s="2497"/>
      <c r="E26" s="2497"/>
      <c r="F26" s="2497"/>
      <c r="G26" s="2497"/>
      <c r="H26" s="2497"/>
      <c r="I26" s="2497"/>
      <c r="J26" s="2497"/>
      <c r="K26" s="2497"/>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1861</v>
      </c>
      <c r="C28" s="1475"/>
      <c r="D28" s="322"/>
      <c r="E28" s="322"/>
      <c r="F28" s="322"/>
      <c r="G28" s="1381"/>
      <c r="H28" s="322"/>
      <c r="I28" s="1381"/>
      <c r="J28" s="322"/>
      <c r="K28" s="322"/>
      <c r="L28" s="322"/>
    </row>
    <row r="29" spans="2:12" ht="37.5" customHeight="1" x14ac:dyDescent="0.2">
      <c r="B29" s="2497"/>
      <c r="C29" s="2497"/>
      <c r="D29" s="2497"/>
      <c r="E29" s="2497"/>
      <c r="F29" s="2497"/>
      <c r="G29" s="2497"/>
      <c r="H29" s="2497"/>
      <c r="I29" s="2497"/>
      <c r="J29" s="2497"/>
      <c r="K29" s="2497"/>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1365</v>
      </c>
      <c r="C31" s="1475"/>
      <c r="D31" s="322"/>
      <c r="E31" s="322"/>
      <c r="F31" s="322"/>
      <c r="G31" s="1381"/>
      <c r="H31" s="322"/>
      <c r="I31" s="1381"/>
      <c r="J31" s="322"/>
      <c r="K31" s="322"/>
      <c r="L31" s="322"/>
    </row>
    <row r="32" spans="2:12" ht="37.5" customHeight="1" x14ac:dyDescent="0.2">
      <c r="B32" s="2497"/>
      <c r="C32" s="2497"/>
      <c r="D32" s="2497"/>
      <c r="E32" s="2497"/>
      <c r="F32" s="2497"/>
      <c r="G32" s="2497"/>
      <c r="H32" s="2497"/>
      <c r="I32" s="2497"/>
      <c r="J32" s="2497"/>
      <c r="K32" s="2497"/>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1364</v>
      </c>
      <c r="C34" s="1382"/>
      <c r="D34" s="322"/>
      <c r="E34" s="322"/>
      <c r="F34" s="322"/>
      <c r="G34" s="1381"/>
      <c r="H34" s="322"/>
      <c r="I34" s="1381"/>
      <c r="J34" s="322"/>
      <c r="K34" s="322"/>
      <c r="L34" s="322"/>
    </row>
    <row r="35" spans="2:12" ht="37.5" customHeight="1" x14ac:dyDescent="0.2">
      <c r="B35" s="2497"/>
      <c r="C35" s="2497"/>
      <c r="D35" s="2497"/>
      <c r="E35" s="2497"/>
      <c r="F35" s="2497"/>
      <c r="G35" s="2497"/>
      <c r="H35" s="2497"/>
      <c r="I35" s="2497"/>
      <c r="J35" s="2497"/>
      <c r="K35" s="2497"/>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1363</v>
      </c>
      <c r="C37" s="1382"/>
      <c r="D37" s="322"/>
      <c r="E37" s="322"/>
      <c r="F37" s="322"/>
      <c r="G37" s="1381"/>
      <c r="H37" s="322"/>
      <c r="I37" s="1381"/>
      <c r="J37" s="322"/>
      <c r="K37" s="322"/>
      <c r="L37" s="322"/>
    </row>
    <row r="38" spans="2:12" ht="35.25" customHeight="1" x14ac:dyDescent="0.2">
      <c r="B38" s="2497"/>
      <c r="C38" s="2497"/>
      <c r="D38" s="2497"/>
      <c r="E38" s="2497"/>
      <c r="F38" s="2497"/>
      <c r="G38" s="2497"/>
      <c r="H38" s="2497"/>
      <c r="I38" s="2497"/>
      <c r="J38" s="2497"/>
      <c r="K38" s="2497"/>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1862</v>
      </c>
      <c r="C40" s="1401"/>
      <c r="D40" s="1376"/>
      <c r="E40" s="1377"/>
      <c r="F40" s="1377"/>
      <c r="G40" s="1378"/>
      <c r="H40" s="1377"/>
      <c r="I40" s="1378"/>
      <c r="J40" s="1377"/>
      <c r="K40" s="1377"/>
    </row>
    <row r="41" spans="2:12" s="322" customFormat="1" ht="33.75" customHeight="1" x14ac:dyDescent="0.2">
      <c r="B41" s="2497"/>
      <c r="C41" s="2497"/>
      <c r="D41" s="2497"/>
      <c r="E41" s="2497"/>
      <c r="F41" s="2497"/>
      <c r="G41" s="2497"/>
      <c r="H41" s="2497"/>
      <c r="I41" s="2497"/>
      <c r="J41" s="2497"/>
      <c r="K41" s="2497"/>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1863</v>
      </c>
      <c r="C48" s="1417"/>
      <c r="D48" s="322"/>
      <c r="E48" s="322"/>
      <c r="F48" s="322"/>
    </row>
    <row r="49" spans="2:3" s="317" customFormat="1" ht="10.5" customHeight="1" x14ac:dyDescent="0.2">
      <c r="B49" s="1418" t="s">
        <v>1864</v>
      </c>
      <c r="C49" s="1418"/>
    </row>
    <row r="50" spans="2:3" s="317" customFormat="1" ht="11.1" customHeight="1" x14ac:dyDescent="0.2">
      <c r="B50" s="1418" t="s">
        <v>1865</v>
      </c>
      <c r="C50" s="1418"/>
    </row>
    <row r="51" spans="2:3" s="317" customFormat="1" ht="11.1" customHeight="1" x14ac:dyDescent="0.2">
      <c r="B51" s="1418" t="s">
        <v>1866</v>
      </c>
      <c r="C51" s="1418"/>
    </row>
    <row r="52" spans="2:3" s="317" customFormat="1" ht="11.1" customHeight="1" x14ac:dyDescent="0.2">
      <c r="B52" s="1418" t="s">
        <v>1867</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9" t="str">
        <f>'Single Audit Cover'!A7</f>
        <v>Brimfield CUSD 309</v>
      </c>
      <c r="C1" s="2479"/>
      <c r="D1" s="2479"/>
      <c r="E1" s="1489"/>
    </row>
    <row r="2" spans="2:5" s="1280" customFormat="1" ht="12.75" customHeight="1" x14ac:dyDescent="0.2">
      <c r="B2" s="2481">
        <f>'Single Audit Cover'!E7</f>
        <v>48072309026</v>
      </c>
      <c r="C2" s="2481"/>
      <c r="D2" s="2481"/>
      <c r="E2" s="1490"/>
    </row>
    <row r="3" spans="2:5" ht="12.75" customHeight="1" x14ac:dyDescent="0.2">
      <c r="B3" s="2494" t="s">
        <v>1868</v>
      </c>
      <c r="C3" s="2494"/>
      <c r="D3" s="2494"/>
      <c r="E3" s="1272"/>
    </row>
    <row r="4" spans="2:5" s="1280" customFormat="1" ht="12.75" customHeight="1" x14ac:dyDescent="0.2">
      <c r="B4" s="2504" t="str">
        <f>'Single Audit Cover'!A4</f>
        <v>Year Ending June 30, 2018</v>
      </c>
      <c r="C4" s="2504"/>
      <c r="D4" s="2504"/>
      <c r="E4" s="1491"/>
    </row>
    <row r="5" spans="2:5" s="1280" customFormat="1" ht="40.15" hidden="1" customHeight="1" x14ac:dyDescent="0.2">
      <c r="B5" s="1492" t="s">
        <v>1869</v>
      </c>
      <c r="C5" s="328"/>
      <c r="D5" s="328"/>
      <c r="E5" s="328"/>
    </row>
    <row r="6" spans="2:5" s="1280" customFormat="1" ht="13.5" customHeight="1" x14ac:dyDescent="0.2">
      <c r="B6" s="1493" t="s">
        <v>1381</v>
      </c>
      <c r="C6" s="1493" t="s">
        <v>1380</v>
      </c>
      <c r="D6" s="1493" t="s">
        <v>1870</v>
      </c>
    </row>
    <row r="7" spans="2:5" ht="13.5" customHeight="1" x14ac:dyDescent="0.2">
      <c r="B7" s="1955" t="s">
        <v>2098</v>
      </c>
      <c r="C7" s="1954" t="s">
        <v>2099</v>
      </c>
      <c r="D7" s="1954" t="s">
        <v>2107</v>
      </c>
      <c r="E7" s="324"/>
    </row>
    <row r="8" spans="2:5" ht="13.5" customHeight="1" x14ac:dyDescent="0.2">
      <c r="B8" s="1955" t="s">
        <v>2100</v>
      </c>
      <c r="C8" s="1954" t="s">
        <v>2101</v>
      </c>
      <c r="D8" s="1954" t="s">
        <v>2108</v>
      </c>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1379</v>
      </c>
      <c r="C44" s="322"/>
    </row>
    <row r="45" spans="2:5" ht="12.2" customHeight="1" x14ac:dyDescent="0.2">
      <c r="B45" s="1503" t="s">
        <v>1871</v>
      </c>
    </row>
    <row r="46" spans="2:5" ht="12.2" customHeight="1" x14ac:dyDescent="0.2">
      <c r="B46" s="1503" t="s">
        <v>1872</v>
      </c>
    </row>
    <row r="47" spans="2:5" ht="12.2" customHeight="1" x14ac:dyDescent="0.2">
      <c r="B47" s="1504" t="s">
        <v>1378</v>
      </c>
    </row>
    <row r="48" spans="2:5" ht="12.2" customHeight="1" x14ac:dyDescent="0.2">
      <c r="B48" s="1504" t="s">
        <v>1377</v>
      </c>
    </row>
    <row r="49" spans="2:5" ht="12.2" customHeight="1" x14ac:dyDescent="0.2">
      <c r="B49" s="1504" t="s">
        <v>1376</v>
      </c>
    </row>
    <row r="50" spans="2:5" ht="12.2" customHeight="1" x14ac:dyDescent="0.2">
      <c r="B50" s="1504" t="s">
        <v>1375</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4d435f69-8686-490b-bd6d-b153bf22ab50"/>
    <ds:schemaRef ds:uri="http://purl.org/dc/elements/1.1/"/>
    <ds:schemaRef ds:uri="http://purl.org/dc/terms/"/>
    <ds:schemaRef ds:uri="http://schemas.microsoft.com/sharepoint/v3"/>
    <ds:schemaRef ds:uri="6ce3111e-7420-4802-b50a-75d4e9a0b980"/>
    <ds:schemaRef ds:uri="http://www.w3.org/XML/1998/namespace"/>
    <ds:schemaRef ds:uri="http://schemas.microsoft.com/office/2006/documentManagement/types"/>
    <ds:schemaRef ds:uri="http://schemas.microsoft.com/office/infopath/2007/PartnerControls"/>
    <ds:schemaRef ds:uri="http://purl.org/dc/dcmitype/"/>
    <ds:schemaRef ds:uri="http://schemas.openxmlformats.org/package/2006/metadata/core-properties"/>
    <ds:schemaRef ds:uri="d21dc803-237d-4c68-8692-8d731fd29118"/>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Finding 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2018-10-09T14:24:41Z</cp:lastPrinted>
  <dcterms:created xsi:type="dcterms:W3CDTF">2003-10-29T19:06:34Z</dcterms:created>
  <dcterms:modified xsi:type="dcterms:W3CDTF">2018-10-26T19:04:31Z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