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L3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7" s="1"/>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A2" i="173" l="1"/>
  <c r="B2" i="179"/>
  <c r="B2" i="183"/>
  <c r="A2" i="170"/>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B2975" i="106" s="1"/>
  <c r="D2975" i="106" s="1"/>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c r="B5118" i="106"/>
  <c r="D5118" i="106" s="1"/>
  <c r="B5119" i="106"/>
  <c r="D5119" i="106" s="1"/>
  <c r="B5122" i="106"/>
  <c r="D5122" i="106" s="1"/>
  <c r="B5123" i="106"/>
  <c r="D5123" i="106"/>
  <c r="B5124" i="106"/>
  <c r="D5124" i="106" s="1"/>
  <c r="B5126" i="106"/>
  <c r="D5126" i="106"/>
  <c r="B5127" i="106"/>
  <c r="D5127" i="106" s="1"/>
  <c r="D5128" i="106"/>
  <c r="D5129" i="106"/>
  <c r="D5130" i="106"/>
  <c r="D5131" i="106"/>
  <c r="B5133" i="106"/>
  <c r="D5133" i="106" s="1"/>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4" i="127"/>
  <c r="B65" i="127"/>
  <c r="D26" i="108"/>
  <c r="E26" i="108"/>
  <c r="F26" i="108"/>
  <c r="G26" i="108"/>
  <c r="E27" i="108"/>
  <c r="G27" i="108"/>
  <c r="F31" i="108"/>
  <c r="F36" i="108"/>
  <c r="F37" i="108"/>
  <c r="G28" i="108"/>
  <c r="E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D11" i="37"/>
  <c r="D22" i="37"/>
  <c r="H22" i="37"/>
  <c r="J22" i="37"/>
  <c r="L22" i="37"/>
  <c r="D5" i="7"/>
  <c r="B1761" i="106" s="1"/>
  <c r="D1761" i="106" s="1"/>
  <c r="D13" i="7"/>
  <c r="B3726" i="106" s="1"/>
  <c r="D3726" i="106" s="1"/>
  <c r="D9" i="7"/>
  <c r="B1767" i="106" s="1"/>
  <c r="D1767" i="106" s="1"/>
  <c r="F131" i="34"/>
  <c r="F127" i="34"/>
  <c r="B5847" i="106"/>
  <c r="D5847" i="106" s="1"/>
  <c r="B5752" i="106"/>
  <c r="D5752" i="106" s="1"/>
  <c r="H173" i="5"/>
  <c r="B5906" i="106" s="1"/>
  <c r="D5906" i="106" s="1"/>
  <c r="F106" i="34"/>
  <c r="D7" i="7"/>
  <c r="B1763" i="106" s="1"/>
  <c r="D1763" i="106" s="1"/>
  <c r="B1746" i="106"/>
  <c r="D1746" i="106" s="1"/>
  <c r="D17" i="7"/>
  <c r="B4104" i="106" s="1"/>
  <c r="D4104" i="106" s="1"/>
  <c r="D11" i="7"/>
  <c r="B1768" i="106" s="1"/>
  <c r="D1768" i="106" s="1"/>
  <c r="D15" i="7"/>
  <c r="B1772" i="106" s="1"/>
  <c r="D1772" i="106" s="1"/>
  <c r="C342" i="29" l="1"/>
  <c r="B7216" i="106" s="1"/>
  <c r="D7216" i="106" s="1"/>
  <c r="D4" i="7"/>
  <c r="B1760" i="106" s="1"/>
  <c r="D1760" i="106" s="1"/>
  <c r="K173" i="5"/>
  <c r="K6" i="4" s="1"/>
  <c r="B3570" i="106" s="1"/>
  <c r="D3570" i="106" s="1"/>
  <c r="G172" i="5"/>
  <c r="L5" i="11"/>
  <c r="B2056" i="106" s="1"/>
  <c r="D2056" i="106" s="1"/>
  <c r="I173" i="5"/>
  <c r="B4216" i="106" s="1"/>
  <c r="D4216" i="106" s="1"/>
  <c r="F50" i="34"/>
  <c r="F44" i="34"/>
  <c r="B1995" i="106"/>
  <c r="D1995" i="106" s="1"/>
  <c r="I24" i="12"/>
  <c r="K285" i="29"/>
  <c r="B3723" i="106"/>
  <c r="D3723" i="106" s="1"/>
  <c r="B1223" i="106"/>
  <c r="D1223" i="106" s="1"/>
  <c r="C129" i="29"/>
  <c r="B1225" i="106" s="1"/>
  <c r="D1225" i="106" s="1"/>
  <c r="B1124" i="106"/>
  <c r="D1124" i="106" s="1"/>
  <c r="H6" i="4"/>
  <c r="B2656" i="106" s="1"/>
  <c r="D2656" i="106" s="1"/>
  <c r="K274" i="5"/>
  <c r="F111" i="34"/>
  <c r="H29" i="118"/>
  <c r="K28" i="118" s="1"/>
  <c r="O27" i="118" s="1"/>
  <c r="O29" i="118" s="1"/>
  <c r="D5" i="4"/>
  <c r="B3406" i="106" s="1"/>
  <c r="D3406" i="106" s="1"/>
  <c r="F46" i="34"/>
  <c r="I342" i="29"/>
  <c r="B7222" i="106" s="1"/>
  <c r="D7222" i="106" s="1"/>
  <c r="B3621" i="106"/>
  <c r="D3621" i="106" s="1"/>
  <c r="C367" i="29"/>
  <c r="B3622" i="106" s="1"/>
  <c r="D3622" i="106" s="1"/>
  <c r="H365" i="29"/>
  <c r="G210" i="29"/>
  <c r="E174" i="29"/>
  <c r="B1309" i="106" s="1"/>
  <c r="D1309" i="106" s="1"/>
  <c r="B3649" i="106"/>
  <c r="D3649" i="106" s="1"/>
  <c r="G367" i="29"/>
  <c r="D6103" i="106"/>
  <c r="B279" i="106"/>
  <c r="D279" i="106" s="1"/>
  <c r="M40" i="3"/>
  <c r="D69" i="36"/>
  <c r="D68" i="36"/>
  <c r="H33" i="118"/>
  <c r="F19" i="7"/>
  <c r="B1807" i="106" s="1"/>
  <c r="D1807" i="106" s="1"/>
  <c r="L15" i="11"/>
  <c r="B3459" i="106" s="1"/>
  <c r="D3459" i="106" s="1"/>
  <c r="D24" i="37"/>
  <c r="B4270" i="106" s="1"/>
  <c r="D4270" i="106" s="1"/>
  <c r="L342" i="29"/>
  <c r="L312" i="29"/>
  <c r="G30" i="108"/>
  <c r="E30" i="108"/>
  <c r="F27" i="108"/>
  <c r="F130" i="34"/>
  <c r="C172" i="5"/>
  <c r="C109" i="5"/>
  <c r="B5121" i="106" s="1"/>
  <c r="D5121" i="106" s="1"/>
  <c r="D12" i="7"/>
  <c r="B1769" i="106" s="1"/>
  <c r="D1769" i="106" s="1"/>
  <c r="K350" i="29"/>
  <c r="H109" i="5"/>
  <c r="H275" i="5" s="1"/>
  <c r="B1410" i="106"/>
  <c r="D1410" i="106" s="1"/>
  <c r="G109" i="5"/>
  <c r="B6024" i="106" s="1"/>
  <c r="D6024" i="106" s="1"/>
  <c r="K184" i="29"/>
  <c r="F13" i="4" s="1"/>
  <c r="B2596" i="106" s="1"/>
  <c r="D2596" i="106" s="1"/>
  <c r="G29" i="108"/>
  <c r="B1329" i="106"/>
  <c r="D1329" i="106" s="1"/>
  <c r="F61" i="34"/>
  <c r="E109" i="5"/>
  <c r="E4" i="4" s="1"/>
  <c r="B2630" i="106" s="1"/>
  <c r="D2630" i="106" s="1"/>
  <c r="D109" i="5"/>
  <c r="B5356" i="106" s="1"/>
  <c r="D5356" i="106" s="1"/>
  <c r="E28" i="108"/>
  <c r="F28" i="108"/>
  <c r="F41" i="108" s="1"/>
  <c r="G43" i="108" s="1"/>
  <c r="D4" i="4"/>
  <c r="B2564" i="106" s="1"/>
  <c r="D2564"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F274" i="5"/>
  <c r="E273" i="5"/>
  <c r="B6835" i="106"/>
  <c r="D6835" i="106" s="1"/>
  <c r="G273" i="5"/>
  <c r="B4398" i="106"/>
  <c r="D4398" i="106" s="1"/>
  <c r="B5537" i="106"/>
  <c r="D5537" i="106" s="1"/>
  <c r="E173" i="5"/>
  <c r="I109" i="5"/>
  <c r="L279" i="29"/>
  <c r="L295" i="29" s="1"/>
  <c r="L74" i="29"/>
  <c r="K33" i="29"/>
  <c r="B720" i="106"/>
  <c r="D720" i="106" s="1"/>
  <c r="B2031" i="106"/>
  <c r="D2031"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5914" i="106"/>
  <c r="D5914" i="106" s="1"/>
  <c r="J7" i="4"/>
  <c r="B2657" i="106"/>
  <c r="D2657" i="106" s="1"/>
  <c r="D274" i="5"/>
  <c r="B3447" i="106"/>
  <c r="D3447" i="106" s="1"/>
  <c r="B7270" i="106"/>
  <c r="F73" i="34" l="1"/>
  <c r="G15" i="4"/>
  <c r="B6032" i="106" s="1"/>
  <c r="D6032" i="106" s="1"/>
  <c r="G173" i="5"/>
  <c r="B5770" i="106"/>
  <c r="D5770" i="106" s="1"/>
  <c r="D7255" i="106"/>
  <c r="B1996" i="106"/>
  <c r="D1996" i="106" s="1"/>
  <c r="I26" i="12"/>
  <c r="B7741" i="106" s="1"/>
  <c r="D7741" i="106" s="1"/>
  <c r="B280" i="106"/>
  <c r="D280" i="106" s="1"/>
  <c r="M41" i="3"/>
  <c r="D7252" i="106"/>
  <c r="D7256" i="106"/>
  <c r="D7251" i="106"/>
  <c r="B1365" i="106"/>
  <c r="D1365" i="106" s="1"/>
  <c r="F65" i="34"/>
  <c r="B1328" i="106"/>
  <c r="D1328" i="106" s="1"/>
  <c r="D7253" i="106"/>
  <c r="H367" i="29"/>
  <c r="B3660" i="106" s="1"/>
  <c r="D3660" i="106" s="1"/>
  <c r="B7242" i="106"/>
  <c r="D7242" i="106" s="1"/>
  <c r="L16" i="11"/>
  <c r="B2061" i="106" s="1"/>
  <c r="D2061" i="106" s="1"/>
  <c r="L114" i="29"/>
  <c r="C4" i="4"/>
  <c r="B2551" i="106" s="1"/>
  <c r="D2551" i="106" s="1"/>
  <c r="C114" i="29"/>
  <c r="B757" i="106" s="1"/>
  <c r="D757" i="106" s="1"/>
  <c r="B5214" i="106"/>
  <c r="D5214" i="106" s="1"/>
  <c r="C173" i="5"/>
  <c r="D19" i="7"/>
  <c r="B1775" i="106" s="1"/>
  <c r="D1775" i="106" s="1"/>
  <c r="B3670" i="106"/>
  <c r="D3670" i="106" s="1"/>
  <c r="K352" i="29"/>
  <c r="K367" i="29"/>
  <c r="K342" i="29"/>
  <c r="F13" i="34" s="1"/>
  <c r="B6025" i="106"/>
  <c r="D6025" i="106" s="1"/>
  <c r="H4" i="4"/>
  <c r="G4" i="4"/>
  <c r="B2603" i="106" s="1"/>
  <c r="D2603" i="106" s="1"/>
  <c r="B1381" i="106"/>
  <c r="D1381" i="106" s="1"/>
  <c r="F6" i="4"/>
  <c r="B2593" i="106" s="1"/>
  <c r="D2593" i="106" s="1"/>
  <c r="F275" i="5"/>
  <c r="B5720" i="106" s="1"/>
  <c r="D5720" i="106" s="1"/>
  <c r="B1317" i="106"/>
  <c r="D1317" i="106" s="1"/>
  <c r="B5527" i="106"/>
  <c r="D5527"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D7" i="4"/>
  <c r="D275" i="5"/>
  <c r="B5507" i="106"/>
  <c r="D5507" i="106" s="1"/>
  <c r="B7298" i="106"/>
  <c r="B7299" i="106"/>
  <c r="B5778" i="106" l="1"/>
  <c r="D5778" i="106" s="1"/>
  <c r="G6" i="4"/>
  <c r="B2604" i="106" s="1"/>
  <c r="D2604" i="106" s="1"/>
  <c r="B281" i="106"/>
  <c r="D281" i="106" s="1"/>
  <c r="D54" i="36"/>
  <c r="B1145" i="106"/>
  <c r="D1145" i="106" s="1"/>
  <c r="B5223" i="106"/>
  <c r="D5223" i="106" s="1"/>
  <c r="C6" i="4"/>
  <c r="B2553" i="106" s="1"/>
  <c r="D2553" i="106" s="1"/>
  <c r="K13" i="4"/>
  <c r="B3572" i="106" s="1"/>
  <c r="D3572" i="106" s="1"/>
  <c r="B3672" i="106"/>
  <c r="D3672" i="106" s="1"/>
  <c r="B7224" i="106"/>
  <c r="D7224" i="106" s="1"/>
  <c r="J17" i="4"/>
  <c r="J19" i="4" s="1"/>
  <c r="B6229" i="106" s="1"/>
  <c r="D6229" i="106" s="1"/>
  <c r="B2655" i="106"/>
  <c r="D2655" i="106" s="1"/>
  <c r="H8" i="4"/>
  <c r="E41" i="108"/>
  <c r="E44" i="108" s="1"/>
  <c r="E45" i="108" s="1"/>
  <c r="G41" i="108"/>
  <c r="G44" i="108" s="1"/>
  <c r="G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K17" i="4" l="1"/>
  <c r="F76" i="34"/>
  <c r="D10" i="171"/>
  <c r="D19" i="171" s="1"/>
  <c r="D32" i="171" s="1"/>
  <c r="D49" i="171" s="1"/>
  <c r="J20" i="4"/>
  <c r="B6230" i="106" s="1"/>
  <c r="D6230" i="106" s="1"/>
  <c r="B6227" i="106"/>
  <c r="D6227" i="106" s="1"/>
  <c r="B2658" i="106"/>
  <c r="D2658" i="106" s="1"/>
  <c r="H10" i="4"/>
  <c r="B4127" i="106" s="1"/>
  <c r="D4127" i="106" s="1"/>
  <c r="B2595" i="106"/>
  <c r="D2595" i="106" s="1"/>
  <c r="F10" i="4"/>
  <c r="B4125" i="106" s="1"/>
  <c r="D41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B6263" i="106" s="1"/>
  <c r="D626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D78" i="4"/>
  <c r="B2574" i="106"/>
  <c r="D2574" i="106" s="1"/>
  <c r="F179" i="34" l="1"/>
  <c r="F79" i="34"/>
  <c r="B6215" i="106"/>
  <c r="D6215" i="106" s="1"/>
  <c r="J41" i="3"/>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K41" i="3" l="1"/>
  <c r="B3567" i="106"/>
  <c r="D3567" i="106" s="1"/>
  <c r="B6216" i="106"/>
  <c r="D6216" i="106" s="1"/>
  <c r="D51" i="36"/>
  <c r="B2912" i="106"/>
  <c r="D2912" i="106" s="1"/>
  <c r="I41" i="3"/>
  <c r="B212" i="106"/>
  <c r="D212" i="106" s="1"/>
  <c r="H41" i="3"/>
  <c r="B123" i="106"/>
  <c r="D123" i="106" s="1"/>
  <c r="D41" i="3"/>
  <c r="B3278" i="106"/>
  <c r="D3278" i="106" s="1"/>
  <c r="E81" i="4"/>
  <c r="E39" i="3" s="1"/>
  <c r="B3233" i="106"/>
  <c r="D3233" i="106" s="1"/>
  <c r="C81" i="4"/>
  <c r="C39" i="3" s="1"/>
  <c r="A7263" i="106"/>
  <c r="D7262" i="106"/>
  <c r="B1700" i="106"/>
  <c r="D1700" i="106" s="1"/>
  <c r="H82" i="4"/>
  <c r="D62" i="36"/>
  <c r="J20" i="118"/>
  <c r="O16" i="118"/>
  <c r="K20" i="118"/>
  <c r="F81" i="4"/>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913" i="106"/>
  <c r="D2913" i="106" s="1"/>
  <c r="D50" i="36"/>
  <c r="B213" i="106"/>
  <c r="D213" i="106" s="1"/>
  <c r="D49" i="36"/>
  <c r="B189" i="106"/>
  <c r="D189" i="106" s="1"/>
  <c r="G41" i="3"/>
  <c r="J16" i="37"/>
  <c r="B4269" i="106" s="1"/>
  <c r="D4269" i="106" s="1"/>
  <c r="F39" i="3"/>
  <c r="D76" i="36" s="1"/>
  <c r="B140" i="106"/>
  <c r="D140" i="106" s="1"/>
  <c r="E41" i="3"/>
  <c r="D45" i="36"/>
  <c r="B124" i="106"/>
  <c r="D124" i="106" s="1"/>
  <c r="B92" i="106"/>
  <c r="D92" i="106" s="1"/>
  <c r="C41" i="3"/>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90" i="106" l="1"/>
  <c r="D190" i="106" s="1"/>
  <c r="D48" i="36"/>
  <c r="B170" i="106"/>
  <c r="D170" i="106" s="1"/>
  <c r="F41" i="3"/>
  <c r="D46" i="36"/>
  <c r="B141" i="106"/>
  <c r="D141" i="106" s="1"/>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171" i="106" l="1"/>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<sst xmlns="http://schemas.openxmlformats.org/spreadsheetml/2006/main" count="5095" uniqueCount="2126">
  <si>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</si>
  <si>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</si>
  <si>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</si>
  <si>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</si>
  <si>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</si>
  <si>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</si>
  <si>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</si>
  <si>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</si>
  <si>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</si>
  <si>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</si>
  <si>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</si>
  <si>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</si>
  <si>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</si>
  <si>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</si>
  <si>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</si>
  <si>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</si>
  <si>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</si>
  <si>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</si>
  <si>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</si>
  <si>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</si>
  <si>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</si>
  <si>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</si>
  <si>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</si>
  <si>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</si>
  <si>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</si>
  <si>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</si>
  <si>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</si>
  <si>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</si>
  <si>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</si>
  <si>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</si>
  <si>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</si>
  <si>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</si>
  <si>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</si>
  <si>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</si>
  <si>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</si>
  <si>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</si>
  <si>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</si>
  <si>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</si>
  <si>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</si>
  <si>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</si>
  <si>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</si>
  <si>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</si>
  <si>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</si>
  <si>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</si>
  <si>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</si>
  <si>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</si>
  <si>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</si>
  <si>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</si>
  <si>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</si>
  <si>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</si>
  <si>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</si>
  <si>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</si>
  <si>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</si>
  <si>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</si>
  <si>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</si>
  <si>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</si>
  <si>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</si>
  <si>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</si>
  <si>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</si>
  <si>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</si>
  <si>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</si>
  <si>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</si>
  <si>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</si>
  <si>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</si>
  <si>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</si>
  <si>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</si>
  <si>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</si>
  <si>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</si>
  <si>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</si>
  <si>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</si>
  <si>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</si>
  <si>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</si>
  <si>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</si>
  <si>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</si>
  <si>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</si>
  <si>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</si>
  <si>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</si>
  <si>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</si>
  <si>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</si>
  <si>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</si>
  <si>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</si>
  <si>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</si>
  <si>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</si>
  <si>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</si>
  <si>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</si>
  <si>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</si>
  <si>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</si>
  <si>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</si>
  <si>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</si>
  <si>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</si>
  <si>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</si>
  <si>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</si>
  <si>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</si>
  <si>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</si>
  <si>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</si>
  <si>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</si>
  <si>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</si>
  <si>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</si>
  <si>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</si>
  <si>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</si>
  <si>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</si>
  <si>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</si>
  <si>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</si>
  <si>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</si>
  <si>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</si>
  <si>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</si>
  <si>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</si>
  <si>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</si>
  <si>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</si>
  <si>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</si>
  <si>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</si>
  <si>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</si>
  <si>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</si>
  <si>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</si>
  <si>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</si>
  <si>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</si>
  <si>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</si>
  <si>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</si>
  <si>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</si>
  <si>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</si>
  <si>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</si>
  <si>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</si>
  <si>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</si>
  <si>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</si>
  <si>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</si>
  <si>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</si>
  <si>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</si>
  <si>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</si>
  <si>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</si>
  <si>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</si>
  <si>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</si>
  <si>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</si>
  <si>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</si>
  <si>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</si>
  <si>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</si>
  <si>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</si>
  <si>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</si>
  <si>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</si>
  <si>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</si>
  <si>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</si>
  <si>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</si>
  <si>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</si>
  <si>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</si>
  <si>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</si>
  <si>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</si>
  <si>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</si>
  <si>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</si>
  <si>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</si>
  <si>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</si>
  <si>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</si>
  <si>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</si>
  <si>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</si>
  <si>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</si>
  <si>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</si>
  <si>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</si>
  <si>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</si>
  <si>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</si>
  <si>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</si>
  <si>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</si>
  <si>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</si>
  <si>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</si>
  <si>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</si>
  <si>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</si>
  <si>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</si>
  <si>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</si>
  <si>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</si>
  <si>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</si>
  <si>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</si>
  <si>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</si>
  <si>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</si>
  <si>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</si>
  <si>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</si>
  <si>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</si>
  <si>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</si>
  <si>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</si>
  <si>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</si>
  <si>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</si>
  <si>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</si>
  <si>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</si>
  <si>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</si>
  <si>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</si>
  <si>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</si>
  <si>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</si>
  <si>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</si>
  <si>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</si>
  <si>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</si>
  <si>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</si>
  <si>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</si>
  <si>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</si>
  <si>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</si>
  <si>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</si>
  <si>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</si>
  <si>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</si>
  <si>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</si>
  <si>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</si>
  <si>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</si>
  <si>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</si>
  <si>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</si>
  <si>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</si>
  <si>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</si>
  <si>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</si>
  <si>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</si>
  <si>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</si>
  <si>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</si>
  <si>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</si>
  <si>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</si>
  <si>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</si>
  <si>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</si>
  <si>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</si>
  <si>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</si>
  <si>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</si>
  <si>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</si>
  <si>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</si>
  <si>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</si>
  <si>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</si>
  <si>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</si>
  <si>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</si>
  <si>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</si>
  <si>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</si>
  <si>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</si>
  <si>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</si>
  <si>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</si>
  <si>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</si>
  <si>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</si>
  <si>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</si>
  <si>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</si>
  <si>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</si>
  <si>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</si>
  <si>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</si>
  <si>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</si>
  <si>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</si>
  <si>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</si>
  <si>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</si>
  <si>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</si>
  <si>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</si>
  <si>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</si>
  <si>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</si>
  <si>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</si>
  <si>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</si>
  <si>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</si>
  <si>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</si>
  <si>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</si>
  <si>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</si>
  <si>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</si>
  <si>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</si>
  <si>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</si>
  <si>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</si>
  <si>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</si>
  <si>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</si>
  <si>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</si>
  <si>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</si>
  <si>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</si>
  <si>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</si>
  <si>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</si>
  <si>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</si>
  <si>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</si>
  <si>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</si>
  <si>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</si>
  <si>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</si>
  <si>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</si>
  <si>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</si>
  <si>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</si>
  <si>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</si>
  <si>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</si>
  <si>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</si>
  <si>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</si>
  <si>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</si>
  <si>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</si>
  <si>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</si>
  <si>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</si>
  <si>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</si>
  <si>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</si>
  <si>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</si>
  <si>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</si>
  <si>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</si>
  <si>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</si>
  <si>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</si>
  <si>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</si>
  <si>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</si>
  <si>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</si>
  <si>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</si>
  <si>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</si>
  <si>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</si>
  <si>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</si>
  <si>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</si>
  <si>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</si>
  <si>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</si>
  <si>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</si>
  <si>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</si>
  <si>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</si>
  <si>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</si>
  <si>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</si>
  <si>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</si>
  <si>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</si>
  <si>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</si>
  <si>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</si>
  <si>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</si>
  <si>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</si>
  <si>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</si>
  <si>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</si>
  <si>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</si>
  <si>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</si>
  <si>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</si>
  <si>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</si>
  <si>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</si>
  <si>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</si>
  <si>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</si>
  <si>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</si>
  <si>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</si>
  <si>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</si>
  <si>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</si>
  <si>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</si>
  <si>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</si>
  <si>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</si>
  <si>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</si>
  <si>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</si>
  <si>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</si>
  <si>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</si>
  <si>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</si>
  <si>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</si>
  <si>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</si>
  <si>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</si>
  <si>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</si>
  <si>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</si>
  <si>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</si>
  <si>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</si>
  <si>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</si>
  <si>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</si>
  <si>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</si>
  <si>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</si>
  <si>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</si>
  <si>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</si>
  <si>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</si>
  <si>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</si>
  <si>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</si>
  <si>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</si>
  <si>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</si>
  <si>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</si>
  <si>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</si>
  <si>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</si>
  <si>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</si>
  <si>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</si>
  <si>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</si>
  <si>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</si>
  <si>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</si>
  <si>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</si>
  <si>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</si>
  <si>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</si>
  <si>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</si>
  <si>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</si>
  <si>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</si>
  <si>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</si>
  <si>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</si>
  <si>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</si>
  <si>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</si>
  <si>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</si>
  <si>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</si>
  <si>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</si>
  <si>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</si>
  <si>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</si>
  <si>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</si>
  <si>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</si>
  <si>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</si>
  <si>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</si>
  <si>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</si>
  <si>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</si>
  <si>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</si>
  <si>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</si>
  <si>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</si>
  <si>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</si>
  <si>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</si>
  <si>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</si>
  <si>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</si>
  <si>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</si>
  <si>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</si>
  <si>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</si>
  <si>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</si>
  <si>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</si>
  <si>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</si>
  <si>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</si>
  <si>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</si>
  <si>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</si>
  <si>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</si>
  <si>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</si>
  <si>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</si>
  <si>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</si>
  <si>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</si>
  <si>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</si>
  <si>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</si>
  <si>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</si>
  <si>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</si>
  <si>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</si>
  <si>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</si>
  <si>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</si>
  <si>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</si>
  <si>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</si>
  <si>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</si>
  <si>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</si>
  <si>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</si>
  <si>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</si>
  <si>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</si>
  <si>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</si>
  <si>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</si>
  <si>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</si>
  <si>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</si>
  <si>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</si>
  <si>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</si>
  <si>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</si>
  <si>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</si>
  <si>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</si>
  <si>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</si>
  <si>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</si>
  <si>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</si>
  <si>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</si>
  <si>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</si>
  <si>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</si>
  <si>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</si>
  <si>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</si>
  <si>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</si>
  <si>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</si>
  <si>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</si>
  <si>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</si>
  <si>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</si>
  <si>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</si>
  <si>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</si>
  <si>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</si>
  <si>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</si>
  <si>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</si>
  <si>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</si>
  <si>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</si>
  <si>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</si>
  <si>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</si>
  <si>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</si>
  <si>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</si>
  <si>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</si>
  <si>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</si>
  <si>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</si>
  <si>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</si>
  <si>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</si>
  <si>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</si>
  <si>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</si>
  <si>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</si>
  <si>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</si>
  <si>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</si>
  <si>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</si>
  <si>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</si>
  <si>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</si>
  <si>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</si>
  <si>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</si>
  <si>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</si>
  <si>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</si>
  <si>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</si>
  <si>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</si>
  <si>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</si>
  <si>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</si>
  <si>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</si>
  <si>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</si>
  <si>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</si>
  <si>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</si>
  <si>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</si>
  <si>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</si>
  <si>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</si>
  <si>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</si>
  <si>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</si>
  <si>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</si>
  <si>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</si>
  <si>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</si>
  <si>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</si>
  <si>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</si>
  <si>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</si>
  <si>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</si>
  <si>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</si>
  <si>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</si>
  <si>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</si>
  <si>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</si>
  <si>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</si>
  <si>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</si>
  <si>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</si>
  <si>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</si>
  <si>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</si>
  <si>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</si>
  <si>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</si>
  <si>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</si>
  <si>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</si>
  <si>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</si>
  <si>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</si>
  <si>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</si>
  <si>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</si>
  <si>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</si>
  <si>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</si>
  <si>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</si>
  <si>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</si>
  <si>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</si>
  <si>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</si>
  <si>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</si>
  <si>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</si>
  <si>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</si>
  <si>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</si>
  <si>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</si>
  <si>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</si>
  <si>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</si>
  <si>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</si>
  <si>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</si>
  <si>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</si>
  <si>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</si>
  <si>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</si>
  <si>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</si>
  <si>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</si>
  <si>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</si>
  <si>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</si>
  <si>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</si>
  <si>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</si>
  <si>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</si>
  <si>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</si>
  <si>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</si>
  <si>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</si>
  <si>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</si>
  <si>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</si>
  <si>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</si>
  <si>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</si>
  <si>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</si>
  <si>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</si>
  <si>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</si>
  <si>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</si>
  <si>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</si>
  <si>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</si>
  <si>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</si>
  <si>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</si>
  <si>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</si>
  <si>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</si>
  <si>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</si>
  <si>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</si>
  <si>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</si>
  <si>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</si>
  <si>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</si>
  <si>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</si>
  <si>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</si>
  <si>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</si>
  <si>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</si>
  <si>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</si>
  <si>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</si>
  <si>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</si>
  <si>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</si>
  <si>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</si>
  <si>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</si>
  <si>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</si>
  <si>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</si>
  <si>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</si>
  <si>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</si>
  <si>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</si>
  <si>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</si>
  <si>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</si>
  <si>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</si>
  <si>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</si>
  <si>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</si>
  <si>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</si>
  <si>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</si>
  <si>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</si>
  <si>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</si>
  <si>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</si>
  <si>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</si>
  <si>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</si>
  <si>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</si>
  <si>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</si>
  <si>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</si>
  <si>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</si>
  <si>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</si>
  <si>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</si>
  <si>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</si>
  <si>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</si>
  <si>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</si>
  <si>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</si>
  <si>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</si>
  <si>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</si>
  <si>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</si>
  <si>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</si>
  <si>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</si>
  <si>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</si>
  <si>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</si>
  <si>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</si>
  <si>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</si>
  <si>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</si>
  <si>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</si>
  <si>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</si>
  <si>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</si>
  <si>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</si>
  <si>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</si>
  <si>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</si>
  <si>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</si>
  <si>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</si>
  <si>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</si>
  <si>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</si>
  <si>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</si>
  <si>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</si>
  <si>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</si>
  <si>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</si>
  <si>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</si>
  <si>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</si>
  <si>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</si>
  <si>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</si>
  <si>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</si>
  <si>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</si>
  <si>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</si>
  <si>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</si>
  <si>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</si>
  <si>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</si>
  <si>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</si>
  <si>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</si>
  <si>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</si>
  <si>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</si>
  <si>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</si>
  <si>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</si>
  <si>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</si>
  <si>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</si>
  <si>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</si>
  <si>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</si>
  <si>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</si>
  <si>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</si>
  <si>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</si>
  <si>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</si>
  <si>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</si>
  <si>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</si>
  <si>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</si>
  <si>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</si>
  <si>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</si>
  <si>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</si>
  <si>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</si>
  <si>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</si>
  <si>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</si>
  <si>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</si>
  <si>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</si>
  <si>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</si>
  <si>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</si>
  <si>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</si>
  <si>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</si>
  <si>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</si>
  <si>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</si>
  <si>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</si>
  <si>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</si>
  <si>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</si>
  <si>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</si>
  <si>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</si>
  <si>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</si>
  <si>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</si>
  <si>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</si>
  <si>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</si>
  <si>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</si>
  <si>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</si>
  <si>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</si>
  <si>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</si>
  <si>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</si>
  <si>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</si>
  <si>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</si>
  <si>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</si>
  <si>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</si>
  <si>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</si>
  <si>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</si>
  <si>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</si>
  <si>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</si>
  <si>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</si>
  <si>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</si>
  <si>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</si>
  <si>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</si>
  <si>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</si>
  <si>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</si>
  <si>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</si>
  <si>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</si>
  <si>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</si>
  <si>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</si>
  <si>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</si>
  <si>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</si>
  <si>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</si>
  <si>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</si>
  <si>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</si>
  <si>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</si>
  <si>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</si>
  <si>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</si>
  <si>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</si>
  <si>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</si>
  <si>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</si>
  <si>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</si>
  <si>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</si>
  <si>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</si>
  <si>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</si>
  <si>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</si>
  <si>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</si>
  <si>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</si>
  <si>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</si>
  <si>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</si>
  <si>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</si>
  <si>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</si>
  <si>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</si>
  <si>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</si>
  <si>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</si>
  <si>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</si>
  <si>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</si>
  <si>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</si>
  <si>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</si>
  <si>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</si>
  <si>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</si>
  <si>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</si>
  <si>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</si>
  <si>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</si>
  <si>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</si>
  <si>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</si>
  <si>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</si>
  <si>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</si>
  <si>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</si>
  <si>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</si>
  <si>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</si>
  <si>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</si>
  <si>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</si>
  <si>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</si>
  <si>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</si>
  <si>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</si>
  <si>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</si>
  <si>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</si>
  <si>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</si>
  <si>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</si>
  <si>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</si>
  <si>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</si>
  <si>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</si>
  <si>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</si>
  <si>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</si>
  <si>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</si>
  <si>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</si>
  <si>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</si>
  <si>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</si>
  <si>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</si>
  <si>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</si>
  <si>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</si>
  <si>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</si>
  <si>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</si>
  <si>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</si>
  <si>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</si>
  <si>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</si>
  <si>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</si>
  <si>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</si>
  <si>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</si>
  <si>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</si>
  <si>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</si>
  <si>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</si>
  <si>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</si>
  <si>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</si>
  <si>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</si>
  <si>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</si>
  <si>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</si>
  <si>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</si>
  <si>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</si>
  <si>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</si>
  <si>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</si>
  <si>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</si>
  <si>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</si>
  <si>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</si>
  <si>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</si>
  <si>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</si>
  <si>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</si>
  <si>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</si>
  <si>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</si>
  <si>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</si>
  <si>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</si>
  <si>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</si>
  <si>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</si>
  <si>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</si>
  <si>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</si>
  <si>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</si>
  <si>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</si>
  <si>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</si>
  <si>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</si>
  <si>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</si>
  <si>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</si>
  <si>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</si>
  <si>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</si>
  <si>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</si>
  <si>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</si>
  <si>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</si>
  <si>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</si>
  <si>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</si>
  <si>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</si>
  <si>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</si>
  <si>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</si>
  <si>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</si>
  <si>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</si>
  <si>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</si>
  <si>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</si>
  <si>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</si>
  <si>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</si>
  <si>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</si>
  <si>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</si>
  <si>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</si>
  <si>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</si>
  <si>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</si>
  <si>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</si>
  <si>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</si>
  <si>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</si>
  <si>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</si>
  <si>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</si>
  <si>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</si>
  <si>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</si>
  <si>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</si>
  <si>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</si>
  <si>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</si>
  <si>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</si>
  <si>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</si>
  <si>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</si>
  <si>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</si>
  <si>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</si>
  <si>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</si>
  <si>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</si>
  <si>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</si>
  <si>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</si>
  <si>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</si>
  <si>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</si>
  <si>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</si>
  <si>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</si>
  <si>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</si>
  <si>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</si>
  <si>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</si>
  <si>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</si>
  <si>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</si>
  <si>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</si>
  <si>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</si>
  <si>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</si>
  <si>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</si>
  <si>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</si>
  <si>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</si>
  <si>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</si>
  <si>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</si>
  <si>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</si>
  <si>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</si>
  <si>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</si>
  <si>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</si>
  <si>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</si>
  <si>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</si>
  <si>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</si>
  <si>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</si>
  <si>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</si>
  <si>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</si>
  <si>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</si>
  <si>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</si>
  <si>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</si>
  <si>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</si>
  <si>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</si>
  <si>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</si>
  <si>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</si>
  <si>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</si>
  <si>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</si>
  <si>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</si>
  <si>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</si>
  <si>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</si>
  <si>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</si>
  <si>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</si>
  <si>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</si>
  <si>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</si>
  <si>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</si>
  <si>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</si>
  <si>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</si>
  <si>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</si>
  <si>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</si>
  <si>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</si>
  <si>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</si>
  <si>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</si>
  <si>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</si>
  <si>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</si>
  <si>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</si>
  <si>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</si>
  <si>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</si>
  <si>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</si>
  <si>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</si>
  <si>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</si>
  <si>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</si>
  <si>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</si>
  <si>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</si>
  <si>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</si>
  <si>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</si>
  <si>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</si>
  <si>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</si>
  <si>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</si>
  <si>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</si>
  <si>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</si>
  <si>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</si>
  <si>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</si>
  <si>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</si>
  <si>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</si>
  <si>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</si>
  <si>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</si>
  <si>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</si>
  <si>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</si>
  <si>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</si>
  <si>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</si>
  <si>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</si>
  <si>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</si>
  <si>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</si>
  <si>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</si>
  <si>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</si>
  <si>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</si>
  <si>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</si>
  <si>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</si>
  <si>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</si>
  <si>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</si>
  <si>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</si>
  <si>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</si>
  <si>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</si>
  <si>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</si>
  <si>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</si>
  <si>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</si>
  <si>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</si>
  <si>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</si>
  <si>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</si>
  <si>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</si>
  <si>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</si>
  <si>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</si>
  <si>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</si>
  <si>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</si>
  <si>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</si>
  <si>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</si>
  <si>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</si>
  <si>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</si>
  <si>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</si>
  <si>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</si>
  <si>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</si>
  <si>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</si>
  <si>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</si>
  <si>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</si>
  <si>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</si>
  <si>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</si>
  <si>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</si>
  <si>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</si>
  <si>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</si>
  <si>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</si>
  <si>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</si>
  <si>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</si>
  <si>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</si>
  <si>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</si>
  <si>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</si>
  <si>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</si>
  <si>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</si>
  <si>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</si>
  <si>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</si>
  <si>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</si>
  <si>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</si>
  <si>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</si>
  <si>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</si>
  <si>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</si>
  <si>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</si>
  <si>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</si>
  <si>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</si>
  <si>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</si>
  <si>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</si>
  <si>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</si>
  <si>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</si>
  <si>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</si>
  <si>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</si>
  <si>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</si>
  <si>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</si>
  <si>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</si>
  <si>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</si>
  <si>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</si>
  <si>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</si>
  <si>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</si>
  <si>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</si>
  <si>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</si>
  <si>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</si>
  <si>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</si>
  <si>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</si>
  <si>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</si>
  <si>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</si>
  <si>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</si>
  <si>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</si>
  <si>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</si>
  <si>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</si>
  <si>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</si>
  <si>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</si>
  <si>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</si>
  <si>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</si>
  <si>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</si>
  <si>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</si>
  <si>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</si>
  <si>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</si>
  <si>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</si>
  <si>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</si>
  <si>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</si>
  <si>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</si>
  <si>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</si>
  <si>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</si>
  <si>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</si>
  <si>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</si>
  <si>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</si>
  <si>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</si>
  <si>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</si>
  <si>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</si>
  <si>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</si>
  <si>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</si>
  <si>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</si>
  <si>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</si>
  <si>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</si>
  <si>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</si>
  <si>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</si>
  <si>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</si>
  <si>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</si>
  <si>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</si>
  <si>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</si>
  <si>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</si>
  <si>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</si>
  <si>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</si>
  <si>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</si>
  <si>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</si>
  <si>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</si>
  <si>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</si>
  <si>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</si>
  <si>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</si>
  <si>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</si>
  <si>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</si>
  <si>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</si>
  <si>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</si>
  <si>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</si>
  <si>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</si>
  <si>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</si>
  <si>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</si>
  <si>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</si>
  <si>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</si>
  <si>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</si>
  <si>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</si>
  <si>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</si>
  <si>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</si>
  <si>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</si>
  <si>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</si>
  <si>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</si>
  <si>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</si>
  <si>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</si>
  <si>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</si>
  <si>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</si>
  <si>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</si>
  <si>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</si>
  <si>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</si>
  <si>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</si>
  <si>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</si>
  <si>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</si>
  <si>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</si>
  <si>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</si>
  <si>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</si>
  <si>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</si>
  <si>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</si>
  <si>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</si>
  <si>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</si>
  <si>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</si>
  <si>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</si>
  <si>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</si>
  <si>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</si>
  <si>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</si>
  <si>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</si>
  <si>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</si>
  <si>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</si>
  <si>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</si>
  <si>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</si>
  <si>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</si>
  <si>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</si>
  <si>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</si>
  <si>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</si>
  <si>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</si>
  <si>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</si>
  <si>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</si>
  <si>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</si>
  <si>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</si>
  <si>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</si>
  <si>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</si>
  <si>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</si>
  <si>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</si>
  <si>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</si>
  <si>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</si>
  <si>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</si>
  <si>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</si>
  <si>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</si>
  <si>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</si>
  <si>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</si>
  <si>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</si>
  <si>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</si>
  <si>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</si>
  <si>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</si>
  <si>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</si>
  <si>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</si>
  <si>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</si>
  <si>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</si>
  <si>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</si>
  <si>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</si>
  <si>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</si>
  <si>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</si>
  <si>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</si>
  <si>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</si>
  <si>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</si>
  <si>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</si>
  <si>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</si>
  <si>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</si>
  <si>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</si>
  <si>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</si>
  <si>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</si>
  <si>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</si>
  <si>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</si>
  <si>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</si>
  <si>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</si>
  <si>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</si>
  <si>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</si>
  <si>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</si>
  <si>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</si>
  <si>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</si>
  <si>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</si>
  <si>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</si>
  <si>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</si>
  <si>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</si>
  <si>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</si>
  <si>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</si>
  <si>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</si>
  <si>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</si>
  <si>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</si>
  <si>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</si>
  <si>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</si>
  <si>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</si>
  <si>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</si>
  <si>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</si>
  <si>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</si>
  <si>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</si>
  <si>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</si>
  <si>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</si>
  <si>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</si>
  <si>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</si>
  <si>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</si>
  <si>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</si>
  <si>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</si>
  <si>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</si>
  <si>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</si>
  <si>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</si>
  <si>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</si>
  <si>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</si>
  <si>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</si>
  <si>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</si>
  <si>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</si>
  <si>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</si>
  <si>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</si>
  <si>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</si>
  <si>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</si>
  <si>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</si>
  <si>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</si>
  <si>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</si>
  <si>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</si>
  <si>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</si>
  <si>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</si>
  <si>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</si>
  <si>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</si>
  <si>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</si>
  <si>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</si>
  <si>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</si>
  <si>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</si>
  <si>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</si>
  <si>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</si>
  <si>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</si>
  <si>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</si>
  <si>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</si>
  <si>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</si>
  <si>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</si>
  <si>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</si>
  <si>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</si>
  <si>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</si>
  <si>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</si>
  <si>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</si>
  <si>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</si>
  <si>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</si>
  <si>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</si>
  <si>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</si>
  <si>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</si>
  <si>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</si>
  <si>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</si>
  <si>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</si>
  <si>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</si>
  <si>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</si>
  <si>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</si>
  <si>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</si>
  <si>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</si>
  <si>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</si>
  <si>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</si>
  <si>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</si>
  <si>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</si>
  <si>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</si>
  <si>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</si>
  <si>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</si>
  <si>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</si>
  <si>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</si>
  <si>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</si>
  <si>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</si>
  <si>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</si>
  <si>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</si>
  <si>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</si>
  <si>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</si>
  <si>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</si>
  <si>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</si>
  <si>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</si>
  <si>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</si>
  <si>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</si>
  <si>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</si>
  <si>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</si>
  <si>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</si>
  <si>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</si>
  <si>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</si>
  <si>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</si>
  <si>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</si>
  <si>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</si>
  <si>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</si>
  <si>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</si>
  <si>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</si>
  <si>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</si>
  <si>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</si>
  <si>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</si>
  <si>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</si>
  <si>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</si>
  <si>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</si>
  <si>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</si>
  <si>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</si>
  <si>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</si>
  <si>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</si>
  <si>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</si>
  <si>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</si>
  <si>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</si>
  <si>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</si>
  <si>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</si>
  <si>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</si>
  <si>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</si>
  <si>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</si>
  <si>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</si>
  <si>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</si>
  <si>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</si>
  <si>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</si>
  <si>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</si>
  <si>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</si>
  <si>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</si>
  <si>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</si>
  <si>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</si>
  <si>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</si>
  <si>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</si>
  <si>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</si>
  <si>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</si>
  <si>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</si>
  <si>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</si>
  <si>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</si>
  <si>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</si>
  <si>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</si>
  <si>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</si>
  <si>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</si>
  <si>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</si>
  <si>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</si>
  <si>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</si>
  <si>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</si>
  <si>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</si>
  <si>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</si>
  <si>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</si>
  <si>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</si>
  <si>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</si>
  <si>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</si>
  <si>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</si>
  <si>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</si>
  <si>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</si>
  <si>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</si>
  <si>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</si>
  <si>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</si>
  <si>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</si>
  <si>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</si>
  <si>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</si>
  <si>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</si>
  <si>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</si>
  <si>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</si>
  <si>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</si>
  <si>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</si>
  <si>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</si>
  <si>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</si>
  <si>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</si>
  <si>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</si>
  <si>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</si>
  <si>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</si>
  <si>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</si>
  <si>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</si>
  <si>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</si>
  <si>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</si>
  <si>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</si>
  <si>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</si>
  <si>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</si>
  <si>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</si>
  <si>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</si>
  <si>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</si>
  <si>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</si>
  <si>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</si>
  <si>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</si>
  <si>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</si>
  <si>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</si>
  <si>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</si>
  <si>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</si>
  <si>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</si>
  <si>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</si>
  <si>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</si>
  <si>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</si>
  <si>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</si>
  <si>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</si>
  <si>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</si>
  <si>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</si>
  <si>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</si>
  <si>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</si>
  <si>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</si>
  <si>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</si>
  <si>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</si>
  <si>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</si>
  <si>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</si>
  <si>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</si>
  <si>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</si>
  <si>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</si>
  <si>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</si>
  <si>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</si>
  <si>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</si>
  <si>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</si>
  <si>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</si>
  <si>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</si>
  <si>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</si>
  <si>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</si>
  <si>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</si>
  <si>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</si>
  <si>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</si>
  <si>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</si>
  <si>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</si>
  <si>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</si>
  <si>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</si>
  <si>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</si>
  <si>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</si>
  <si>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</si>
  <si>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</si>
  <si>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</si>
  <si>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</si>
  <si>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</si>
  <si>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</si>
  <si>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</si>
  <si>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</si>
  <si>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</si>
  <si>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</si>
  <si>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</si>
  <si>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</si>
  <si>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</si>
  <si>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</si>
  <si>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</si>
  <si>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</si>
  <si>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</si>
  <si>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</si>
  <si>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</si>
  <si>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</si>
  <si>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</si>
  <si>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</si>
  <si>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</si>
  <si>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</si>
  <si>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</si>
  <si>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</si>
  <si>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</si>
  <si>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</si>
  <si>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</si>
  <si>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</si>
  <si>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</si>
  <si>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</si>
  <si>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</si>
  <si>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</si>
  <si>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</si>
  <si>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</si>
  <si>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</si>
  <si>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</si>
  <si>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</si>
  <si>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</si>
  <si>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</si>
  <si>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</si>
  <si>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</si>
  <si>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</si>
  <si>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</si>
  <si>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</si>
  <si>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</si>
  <si>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</si>
  <si>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</si>
  <si>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</si>
  <si>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</si>
  <si>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</si>
  <si>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</si>
  <si>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</si>
  <si>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</si>
  <si>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</si>
  <si>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</si>
  <si>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</si>
  <si>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</si>
  <si>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</si>
  <si>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</si>
  <si>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</si>
  <si>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</si>
  <si>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</si>
  <si>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</si>
  <si>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</si>
  <si>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</si>
  <si>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</si>
  <si>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</si>
  <si>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</si>
  <si>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</si>
  <si>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</si>
  <si>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</si>
  <si>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</si>
  <si>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</si>
  <si>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</si>
  <si>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</si>
  <si>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</si>
  <si>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</si>
  <si>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</si>
  <si>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</si>
  <si>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</si>
  <si>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</si>
  <si>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</si>
  <si>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</si>
  <si>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</si>
  <si>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</si>
  <si>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</si>
  <si>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</si>
  <si>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</si>
  <si>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</si>
  <si>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</si>
  <si>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</si>
  <si>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</si>
  <si>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</si>
  <si>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</si>
  <si>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</si>
  <si>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</si>
  <si>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</si>
  <si>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</si>
  <si>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</si>
  <si>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</si>
  <si>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</si>
  <si>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</si>
  <si>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</si>
  <si>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</si>
  <si>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</si>
  <si>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</si>
  <si>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</si>
  <si>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</si>
  <si>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</si>
  <si>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</si>
  <si>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</si>
  <si>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</si>
  <si>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</si>
  <si>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</si>
  <si>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</si>
  <si>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</si>
  <si>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</si>
  <si>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</si>
  <si>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</si>
  <si>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</si>
  <si>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</si>
  <si>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</si>
  <si>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</si>
  <si>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</si>
  <si>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</si>
  <si>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</si>
  <si>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</si>
  <si>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</si>
  <si>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</si>
  <si>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</si>
  <si>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</si>
  <si>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</si>
  <si>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</si>
  <si>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</si>
  <si>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</si>
  <si>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</si>
  <si>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</si>
  <si>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</si>
  <si>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</si>
  <si>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</si>
  <si>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</si>
  <si>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</si>
  <si>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</si>
  <si>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</si>
  <si>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</si>
  <si>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</si>
  <si>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</si>
  <si>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</si>
  <si>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</si>
  <si>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</si>
  <si>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</si>
  <si>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</si>
  <si>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</si>
  <si>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</si>
  <si>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</si>
  <si>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</si>
  <si>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</si>
  <si>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</si>
  <si>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</si>
  <si>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</si>
  <si>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</si>
  <si>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</si>
  <si>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</si>
  <si>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</si>
  <si>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</si>
  <si>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</si>
  <si>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</si>
  <si>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</si>
  <si>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</si>
  <si>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</si>
  <si>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</si>
  <si>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</si>
  <si>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</si>
  <si>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</si>
  <si>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</si>
  <si>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</si>
  <si>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</si>
  <si>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</si>
  <si>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</si>
  <si>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</si>
  <si>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</si>
  <si>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</si>
  <si>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</si>
  <si>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</si>
  <si>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</si>
  <si>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</si>
  <si>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</si>
  <si>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</si>
  <si>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</si>
  <si>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</si>
  <si>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</si>
  <si>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</si>
  <si>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</si>
  <si>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</si>
  <si>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</si>
  <si>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</si>
  <si>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</si>
  <si>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</si>
  <si>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</si>
  <si>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</si>
  <si>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</si>
  <si>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</si>
  <si>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</si>
  <si>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</si>
  <si>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</si>
  <si>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</si>
  <si>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</si>
  <si>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</si>
  <si>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</si>
  <si>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</si>
  <si>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</si>
  <si>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</si>
  <si>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</si>
  <si>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</si>
  <si>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</si>
  <si>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</si>
  <si>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</si>
  <si>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</si>
  <si>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</si>
  <si>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</si>
  <si>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</si>
  <si>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</si>
  <si>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</si>
  <si>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</si>
  <si>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</si>
  <si>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</si>
  <si>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</si>
  <si>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</si>
  <si>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</si>
  <si>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</si>
  <si>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</si>
  <si>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</si>
  <si>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</si>
  <si>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</si>
  <si>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</si>
  <si>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</si>
  <si>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</si>
  <si>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</si>
  <si>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</si>
  <si>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</si>
  <si>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</si>
  <si>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</si>
  <si>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</si>
  <si>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</si>
  <si>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</si>
  <si>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</si>
  <si>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</si>
  <si>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</si>
  <si>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</si>
  <si>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</si>
  <si>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</si>
  <si>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</si>
  <si>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</si>
  <si>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</si>
  <si>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</si>
  <si>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</si>
  <si>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</si>
  <si>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</si>
  <si>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</si>
  <si>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</si>
  <si>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</si>
  <si>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</si>
  <si>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</si>
  <si>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</si>
  <si>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</si>
  <si>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</si>
  <si>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</si>
  <si>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</si>
  <si>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</si>
  <si>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</si>
  <si>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</si>
  <si>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</si>
  <si>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</si>
  <si>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</si>
  <si>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</si>
  <si>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</si>
  <si>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</si>
  <si>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</si>
  <si>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</si>
  <si>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</si>
  <si>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</si>
  <si>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</si>
  <si>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</si>
  <si>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</si>
  <si>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</si>
  <si>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</si>
  <si>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</si>
  <si>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</si>
  <si>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</si>
  <si>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</si>
  <si>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</si>
  <si>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</si>
  <si>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</si>
  <si>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</si>
  <si>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</si>
  <si>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</si>
  <si>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</si>
  <si>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</si>
  <si>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</si>
  <si>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</si>
  <si>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</si>
  <si>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</si>
  <si>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</si>
  <si>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</si>
  <si>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</si>
  <si>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</si>
  <si>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</si>
  <si>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</si>
  <si>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</si>
  <si>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</si>
  <si>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</si>
  <si>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</si>
  <si>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</si>
  <si>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</si>
  <si>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</si>
  <si>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</si>
  <si>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</si>
  <si>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</si>
  <si>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</si>
  <si>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</si>
  <si>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</si>
  <si>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</si>
  <si>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</si>
  <si>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</si>
  <si>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</si>
  <si>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</si>
  <si>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</si>
  <si>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</si>
  <si>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</si>
  <si>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</si>
  <si>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</si>
  <si>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</si>
  <si>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</si>
  <si>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</si>
  <si>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</si>
  <si>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</si>
  <si>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</si>
  <si>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</si>
  <si>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</si>
  <si>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</si>
  <si>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</si>
  <si>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</si>
  <si>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</si>
  <si>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</si>
  <si>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</si>
  <si>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</si>
  <si>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</si>
  <si>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</si>
  <si>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</si>
  <si>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</si>
  <si>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</si>
  <si>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</si>
  <si>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</si>
  <si>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</si>
  <si>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</si>
  <si>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</si>
  <si>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</si>
  <si>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</si>
  <si>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</si>
  <si>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</si>
  <si>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</si>
  <si>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</si>
  <si>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</si>
  <si>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</si>
  <si>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</si>
  <si>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</si>
  <si>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</si>
  <si>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</si>
  <si>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</si>
  <si>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</si>
  <si>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</si>
  <si>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</si>
  <si>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</si>
  <si>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</si>
  <si>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</si>
  <si>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</si>
  <si>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</si>
  <si>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</si>
  <si>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</si>
  <si>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</si>
  <si>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</si>
  <si>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</si>
  <si>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</si>
  <si>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</si>
  <si>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</si>
  <si>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</si>
  <si>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</si>
  <si>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</si>
  <si>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</si>
  <si>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</si>
  <si>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</si>
  <si>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</si>
  <si>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</si>
  <si>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</si>
  <si>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</si>
  <si>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</si>
  <si>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</si>
  <si>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</si>
  <si>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</si>
  <si>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</si>
  <si>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</si>
  <si>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</si>
  <si>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</si>
  <si>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</si>
  <si>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</si>
  <si>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</si>
  <si>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</si>
  <si>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</si>
  <si>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</si>
  <si>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</si>
  <si>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</si>
  <si>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</si>
  <si>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</si>
  <si>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</si>
  <si>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</si>
  <si>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</si>
  <si>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</si>
  <si>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</si>
  <si>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</si>
  <si>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</si>
  <si>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</si>
  <si>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</si>
  <si>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</si>
  <si>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</si>
  <si>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</si>
  <si>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</si>
  <si>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</si>
  <si>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</si>
  <si>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</si>
  <si>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</si>
  <si>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</si>
  <si>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</si>
  <si>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</si>
  <si>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</si>
  <si>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</si>
  <si>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</si>
  <si>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</si>
  <si>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</si>
  <si>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</si>
  <si>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</si>
  <si>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</si>
  <si>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</si>
  <si>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</si>
  <si>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</si>
  <si>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</si>
  <si>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</si>
  <si>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</si>
  <si>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</si>
  <si>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</si>
  <si>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</si>
  <si>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</si>
  <si>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</si>
  <si>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</si>
  <si>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</si>
  <si>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</si>
  <si>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</si>
  <si>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</si>
  <si>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</si>
  <si>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</si>
  <si>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</si>
  <si>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</si>
  <si>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</si>
  <si>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</si>
  <si>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</si>
  <si>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</si>
  <si>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</si>
  <si>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</si>
  <si>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</si>
  <si>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</si>
  <si>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</si>
  <si>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</si>
  <si>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</si>
  <si>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</si>
  <si>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</si>
  <si>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</si>
  <si>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</si>
  <si>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</si>
  <si>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</si>
  <si>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</si>
  <si>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</si>
  <si>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</si>
  <si>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</si>
  <si>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</si>
  <si>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</si>
  <si>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</si>
  <si>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</si>
  <si>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</si>
  <si>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</si>
  <si>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</si>
  <si>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</si>
  <si>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</si>
  <si>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</si>
  <si>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</si>
  <si>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</si>
  <si>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</si>
  <si>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</si>
  <si>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</si>
  <si>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</si>
  <si>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</si>
  <si>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</si>
  <si>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</si>
  <si>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</si>
  <si>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</si>
  <si>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</si>
  <si>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</si>
  <si>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</si>
  <si>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</si>
  <si>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</si>
  <si>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</si>
  <si>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</si>
  <si>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</si>
  <si>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</si>
  <si>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</si>
  <si>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</si>
  <si>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</si>
  <si>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</si>
  <si>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</si>
  <si>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</si>
  <si>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</si>
  <si>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</si>
  <si>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</si>
  <si>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</si>
  <si>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</si>
  <si>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</si>
  <si>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</si>
  <si>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</si>
  <si>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</si>
  <si>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</si>
  <si>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</si>
  <si>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</si>
  <si>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</si>
  <si>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</si>
  <si>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</si>
  <si>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</si>
  <si>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</si>
  <si>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</si>
  <si>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</si>
  <si>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</si>
  <si>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</si>
  <si>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</si>
  <si>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</si>
  <si>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</si>
  <si>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</si>
  <si>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</si>
  <si>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</si>
  <si>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</si>
  <si>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</si>
  <si>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</si>
  <si>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</si>
  <si>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</si>
  <si>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</si>
  <si>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</si>
  <si>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</si>
  <si>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</si>
  <si>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</si>
  <si>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</si>
  <si>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</si>
  <si>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</si>
  <si>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</si>
  <si>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</si>
  <si>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</si>
  <si>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</si>
  <si>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</si>
  <si>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</si>
  <si>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</si>
  <si>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</si>
  <si>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</si>
  <si>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</si>
  <si>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</si>
  <si>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</si>
  <si>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</si>
  <si>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</si>
  <si>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</si>
  <si>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</si>
  <si>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</si>
  <si>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</si>
  <si>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</si>
  <si>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</si>
  <si>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</si>
  <si>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</si>
  <si>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</si>
  <si>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</si>
  <si>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</si>
  <si>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</si>
  <si>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</si>
  <si>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</si>
  <si>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</si>
  <si>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</si>
  <si>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</si>
  <si>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</si>
  <si>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</si>
  <si>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</si>
  <si>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</si>
  <si>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</si>
  <si>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</si>
  <si>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</si>
  <si>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</si>
  <si>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</si>
  <si>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</si>
  <si>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</si>
  <si>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</si>
  <si>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</si>
  <si>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</si>
  <si>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</si>
  <si>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</si>
  <si>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</si>
  <si>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</si>
  <si>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</si>
  <si>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</si>
  <si>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</si>
  <si>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</si>
  <si>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</si>
  <si>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</si>
  <si>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</si>
  <si>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</si>
  <si>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</si>
  <si>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</si>
  <si>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</si>
  <si>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</si>
  <si>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</si>
  <si>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</si>
  <si>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</si>
  <si>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</si>
  <si>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</si>
  <si>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</si>
  <si>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</si>
  <si>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</si>
  <si>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</si>
  <si>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</si>
  <si>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</si>
  <si>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</si>
  <si>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</si>
  <si>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</si>
  <si>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</si>
  <si>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</si>
  <si>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</si>
  <si>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</si>
  <si>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</si>
  <si>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</si>
  <si>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</si>
  <si>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</si>
  <si>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</si>
  <si>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</si>
  <si>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</si>
  <si>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</si>
  <si>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</si>
  <si>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</si>
  <si>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</si>
  <si>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</si>
  <si>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</si>
  <si>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</si>
  <si>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</si>
  <si>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</si>
  <si>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</si>
  <si>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</si>
  <si>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</si>
  <si>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</si>
  <si>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</si>
  <si>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</si>
  <si>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</si>
  <si>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</si>
  <si>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</si>
  <si>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</si>
  <si>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</si>
  <si>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</si>
  <si>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</si>
  <si>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</si>
  <si>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</si>
  <si>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</si>
  <si>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</si>
  <si>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</si>
  <si>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</si>
  <si>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</si>
  <si>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</si>
  <si>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</si>
  <si>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</si>
  <si>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</si>
  <si>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</si>
  <si>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</si>
  <si>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</si>
  <si>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</si>
  <si>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</si>
  <si>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</si>
  <si>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</si>
  <si>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</si>
  <si>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</si>
  <si>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</si>
  <si>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</si>
  <si>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</si>
  <si>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</si>
  <si>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</si>
  <si>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</si>
  <si>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</si>
  <si>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</si>
  <si>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</si>
  <si>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</si>
  <si>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</si>
  <si>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</si>
  <si>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</si>
  <si>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</si>
  <si>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</si>
  <si>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</si>
  <si>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</si>
  <si>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</si>
  <si>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</si>
  <si>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</si>
  <si>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</si>
  <si>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</si>
  <si>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</si>
  <si>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</si>
  <si>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</si>
  <si>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</si>
  <si>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</si>
  <si>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</si>
  <si>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</si>
  <si>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</si>
  <si>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</si>
  <si>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</si>
  <si>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</si>
  <si>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</si>
  <si>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</si>
  <si>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</si>
  <si>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</si>
  <si>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</si>
  <si>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</si>
  <si>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</si>
  <si>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</si>
  <si>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</si>
  <si>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</si>
  <si>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</si>
  <si>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</si>
  <si>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</si>
  <si>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</si>
  <si>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</si>
  <si>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</si>
  <si>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</si>
  <si>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</si>
  <si>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</si>
  <si>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</si>
  <si>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</si>
  <si>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</si>
  <si>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</si>
  <si>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</si>
  <si>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</si>
  <si>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</si>
  <si>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</si>
  <si>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</si>
  <si>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Meister, Hilton, Chitwood &amp;  Associates, Inc.</t>
  </si>
  <si>
    <t>Ron Hilton</t>
  </si>
  <si>
    <t>809 W.  Detweiller Drive, Suite 804</t>
  </si>
  <si>
    <t>Peoria</t>
  </si>
  <si>
    <t>IL</t>
  </si>
  <si>
    <t>(309) 683-0441</t>
  </si>
  <si>
    <t>ron.hilton1@comcast.net</t>
  </si>
  <si>
    <t>066-004769</t>
  </si>
  <si>
    <t>General Obligation School Bonds, Series 2016</t>
  </si>
  <si>
    <t>Monroe Grade School, District No. 70</t>
  </si>
  <si>
    <t>5137 West Cisna Road</t>
  </si>
  <si>
    <t>Bartonville</t>
  </si>
  <si>
    <t>dreiley@monroe70.org</t>
  </si>
  <si>
    <t>x</t>
  </si>
  <si>
    <t>Darrick Reiley</t>
  </si>
  <si>
    <t>309-697-3120</t>
  </si>
  <si>
    <t>309-697-3185</t>
  </si>
  <si>
    <t>2.   The amount of funds on hand for one month exceed the Treasurer's bond by approximately $3,400.                                                                                                                                           23. The District has prepared these financial statements using accounting practices prescribed or permitted by the Illinois State Board of Education, which differs from accounting principles generally accepted in the United States of America.</t>
  </si>
  <si>
    <t>Capital lease</t>
  </si>
  <si>
    <t>Capital lease agreements</t>
  </si>
  <si>
    <t>B</t>
  </si>
  <si>
    <t>A</t>
  </si>
  <si>
    <t xml:space="preserve">A. Oak Grove, Pleasant Hill, SEAPCO, Brimfield, Norwood, Bartonville, Hollis, Dunlap, Elmwood, Limestone Walters, Robein, Delavan, ROE 48, Area 111 Tech </t>
  </si>
  <si>
    <t>B. Oak Grove, Pleasant Hill, Norwood, Bartonville Grade, Hollis, Limestone Walters, Pleasant Valley, Limestone High School</t>
  </si>
  <si>
    <t>Page 5 - Line 190 - Other Current Assets: Education Fund - Employee Insurance paid in advance $4,153,</t>
  </si>
  <si>
    <t xml:space="preserve">                                     Operations and Maintenance Fund - Employee Insurance paid in advance $266.   </t>
  </si>
  <si>
    <t>Page 11 - Line 1999 - Other Local Revenues: Education Fund -  Local grant $1,000, e-rate reimbursement $6,041</t>
  </si>
  <si>
    <t xml:space="preserve">                                 refunds and reimbursements $2,655</t>
  </si>
  <si>
    <t>Page 18 - Line 5400 - Debt services - other - Bond agent fees $500</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</si>
  <si>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</si>
  <si>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The District has one office personnel that is involved in the accounting function.  Therefore, the District does not have an adequate segregation of duties over accounting transactions as the employee is responsible for initiating and recording transactions in the general ledger as well as performing reconciliations.</t>
  </si>
  <si>
    <t>One employee is responsible for most aspects of the cash receipts and disbursements, payroll functions and also responsible for recording these transactions in the general ledger.</t>
  </si>
  <si>
    <t>This condition increases the possibility that errors or fraud may occur and not be detected on a timely basis.</t>
  </si>
  <si>
    <t>Due to the small size of the District, duties have been segregated to the extent possible.  Duties have been assigned based on the experience and availability of office personnel.</t>
  </si>
  <si>
    <t>When this condition exists, the Superintendent’s and Board of Education's close oversight and review of accounting information on a regular basis is the best means of preventing or detecting errors or fraud.</t>
  </si>
  <si>
    <t>Due to the small size of the District, it is not practical to hire additional personnel solely for the purpose of achieving an ideal segregation of duties over the accounting function.  Some segregation of duties has occurred to the extent possible.</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</si>
  <si>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the preparation of its annual financial statements, including disclosures, are complete and accurate.</t>
  </si>
  <si>
    <t>The Board of Education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</si>
  <si>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accurate non-full disclosure financial reports (i.e. without note disclosure) on a monthly basis.  Changes in accounting standards may not be identified and implemented by the Board of Education and management.</t>
  </si>
  <si>
    <t>It is possible that a misstatement of the District's financial statements could occur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</si>
  <si>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generally accepted accounting principles.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</si>
  <si>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</si>
  <si>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have qualified internal personnel to perform a complete review of the District's  financial statements.  In addition, it is not economically practical to hire an outside consultant to conduct this review.  However, the District does have an external treasurer that reviews the annual  financial report.  The District believes that the treasurer's and management's review of the balances and amounts are adequate in the circumstances and no additional procedures are considered necessary.</t>
  </si>
  <si>
    <t>(309) 692-0492</t>
  </si>
  <si>
    <t>Special Education Association of Peoria County</t>
  </si>
  <si>
    <t>Trans-Pupil Transporation Services-purchased  services</t>
  </si>
  <si>
    <t>40-2550-300</t>
  </si>
  <si>
    <t>First Student</t>
  </si>
  <si>
    <t>Page 24 - Other Short-Term Borrowing: Capital lease payable - Proceeds included on 7990 - other sources not classified elsewhere on Page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</si>
</sst>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3"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2090</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3" t="s">
        <v>554</v>
      </c>
      <c r="U9" s="2024"/>
      <c r="V9" s="2024"/>
      <c r="W9" s="2024"/>
      <c r="X9" s="2024"/>
      <c r="Y9" s="2024"/>
      <c r="Z9" s="2024"/>
      <c r="AA9" s="2025"/>
    </row>
    <row r="10" spans="1:28" ht="13.5" customHeight="1" x14ac:dyDescent="0.2">
      <c r="A10" s="2030" t="s">
        <v>696</v>
      </c>
      <c r="B10" s="2031"/>
      <c r="C10" s="2031"/>
      <c r="D10" s="2031"/>
      <c r="E10" s="2031"/>
      <c r="F10" s="2031"/>
      <c r="G10" s="2031"/>
      <c r="H10" s="2032"/>
      <c r="I10" s="29"/>
      <c r="J10" s="30"/>
      <c r="K10" s="28"/>
      <c r="R10" s="30"/>
      <c r="S10" s="30"/>
      <c r="T10" s="2026"/>
      <c r="U10" s="2011"/>
      <c r="V10" s="2011"/>
      <c r="W10" s="2011"/>
      <c r="X10" s="2011"/>
      <c r="Y10" s="2011"/>
      <c r="Z10" s="2011"/>
      <c r="AA10" s="2017"/>
    </row>
    <row r="11" spans="1:28" ht="14.25" customHeight="1" x14ac:dyDescent="0.2">
      <c r="A11" s="2033" t="s">
        <v>1012</v>
      </c>
      <c r="B11" s="2034"/>
      <c r="C11" s="2034"/>
      <c r="D11" s="2034"/>
      <c r="E11" s="2034"/>
      <c r="F11" s="2034"/>
      <c r="G11" s="2034"/>
      <c r="H11" s="2035"/>
      <c r="I11" s="27"/>
      <c r="J11" s="74"/>
      <c r="K11" s="27"/>
      <c r="O11" s="148" t="s">
        <v>2090</v>
      </c>
      <c r="P11" s="100" t="s">
        <v>210</v>
      </c>
      <c r="Q11" s="30"/>
      <c r="R11" s="28"/>
      <c r="S11" s="27"/>
      <c r="T11" s="2027"/>
      <c r="U11" s="2028"/>
      <c r="V11" s="2028"/>
      <c r="W11" s="2028"/>
      <c r="X11" s="2028"/>
      <c r="Y11" s="2028"/>
      <c r="Z11" s="2028"/>
      <c r="AA11" s="202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7">
        <v>48072070002</v>
      </c>
      <c r="B13" s="2038"/>
      <c r="C13" s="2038"/>
      <c r="D13" s="2038"/>
      <c r="E13" s="2038"/>
      <c r="F13" s="2038"/>
      <c r="G13" s="2038"/>
      <c r="H13" s="2039"/>
      <c r="I13" s="31"/>
      <c r="J13" s="30"/>
      <c r="K13" s="28"/>
      <c r="L13" s="30"/>
      <c r="M13" s="30"/>
      <c r="N13" s="30"/>
      <c r="O13" s="30"/>
      <c r="P13" s="30"/>
      <c r="Q13" s="30"/>
      <c r="R13" s="30"/>
      <c r="S13" s="30"/>
      <c r="T13" s="2042" t="s">
        <v>2077</v>
      </c>
      <c r="U13" s="2043"/>
      <c r="V13" s="2043"/>
      <c r="W13" s="2043"/>
      <c r="X13" s="2043"/>
      <c r="Y13" s="2044"/>
      <c r="Z13" s="2044"/>
      <c r="AA13" s="2045"/>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6" t="s">
        <v>2080</v>
      </c>
      <c r="B15" s="2040"/>
      <c r="C15" s="2040"/>
      <c r="D15" s="2040"/>
      <c r="E15" s="2040"/>
      <c r="F15" s="2040"/>
      <c r="G15" s="2040"/>
      <c r="H15" s="2041"/>
      <c r="T15" s="2046" t="s">
        <v>2078</v>
      </c>
      <c r="U15" s="1990"/>
      <c r="V15" s="1990"/>
      <c r="W15" s="1990"/>
      <c r="X15" s="1990"/>
      <c r="Y15" s="2047"/>
      <c r="Z15" s="2047"/>
      <c r="AA15" s="204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6" t="s">
        <v>2086</v>
      </c>
      <c r="B17" s="1997"/>
      <c r="C17" s="1997"/>
      <c r="D17" s="1997"/>
      <c r="E17" s="1997"/>
      <c r="F17" s="1997"/>
      <c r="G17" s="1997"/>
      <c r="H17" s="2022"/>
      <c r="T17" s="2053" t="s">
        <v>2079</v>
      </c>
      <c r="U17" s="2054"/>
      <c r="V17" s="2054"/>
      <c r="W17" s="2054"/>
      <c r="X17" s="2054"/>
      <c r="Y17" s="2054"/>
      <c r="Z17" s="2054"/>
      <c r="AA17" s="2055"/>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6" t="s">
        <v>2087</v>
      </c>
      <c r="B19" s="1982"/>
      <c r="C19" s="1982"/>
      <c r="D19" s="1982"/>
      <c r="E19" s="1982"/>
      <c r="F19" s="1982"/>
      <c r="G19" s="1982"/>
      <c r="H19" s="1962"/>
      <c r="I19" s="30"/>
      <c r="J19" s="99"/>
      <c r="K19" s="40"/>
      <c r="L19" s="38"/>
      <c r="M19" s="112" t="s">
        <v>333</v>
      </c>
      <c r="P19" s="27"/>
      <c r="Q19" s="27"/>
      <c r="R19" s="27"/>
      <c r="S19" s="31"/>
      <c r="T19" s="2036" t="s">
        <v>2080</v>
      </c>
      <c r="U19" s="1961"/>
      <c r="V19" s="1961"/>
      <c r="W19" s="1962"/>
      <c r="X19" s="2051" t="s">
        <v>2081</v>
      </c>
      <c r="Y19" s="2052"/>
      <c r="Z19" s="2049">
        <v>61615</v>
      </c>
      <c r="AA19" s="205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2088</v>
      </c>
      <c r="B21" s="1961"/>
      <c r="C21" s="1961"/>
      <c r="D21" s="1961"/>
      <c r="E21" s="1961"/>
      <c r="F21" s="1961"/>
      <c r="G21" s="1961"/>
      <c r="H21" s="1962"/>
      <c r="I21" s="2016" t="s">
        <v>699</v>
      </c>
      <c r="J21" s="2011"/>
      <c r="K21" s="2011"/>
      <c r="L21" s="2011"/>
      <c r="M21" s="2011"/>
      <c r="N21" s="2011"/>
      <c r="O21" s="2011"/>
      <c r="P21" s="2011"/>
      <c r="Q21" s="2011"/>
      <c r="R21" s="2011"/>
      <c r="S21" s="2017"/>
      <c r="T21" s="2060" t="s">
        <v>2082</v>
      </c>
      <c r="U21" s="2061"/>
      <c r="V21" s="2061"/>
      <c r="W21" s="2061"/>
      <c r="X21" s="2066" t="s">
        <v>2120</v>
      </c>
      <c r="Y21" s="2067"/>
      <c r="Z21" s="2067"/>
      <c r="AA21" s="2068"/>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t="s">
        <v>2089</v>
      </c>
      <c r="B23" s="2014"/>
      <c r="C23" s="2014"/>
      <c r="D23" s="2014"/>
      <c r="E23" s="2014"/>
      <c r="F23" s="2014"/>
      <c r="G23" s="2014"/>
      <c r="H23" s="2015"/>
      <c r="T23" s="1996" t="s">
        <v>2084</v>
      </c>
      <c r="U23" s="2059"/>
      <c r="V23" s="2059"/>
      <c r="W23" s="2059"/>
      <c r="X23" s="2063">
        <v>43434</v>
      </c>
      <c r="Y23" s="2064"/>
      <c r="Z23" s="2064"/>
      <c r="AA23" s="2065"/>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61607</v>
      </c>
      <c r="B25" s="1961"/>
      <c r="C25" s="1961"/>
      <c r="D25" s="1961"/>
      <c r="E25" s="1961"/>
      <c r="F25" s="1961"/>
      <c r="G25" s="1961"/>
      <c r="H25" s="1962"/>
      <c r="I25" s="113"/>
      <c r="J25" s="1985"/>
      <c r="K25" s="1985"/>
      <c r="L25" s="1985"/>
      <c r="M25" s="1985"/>
      <c r="N25" s="1985"/>
      <c r="O25" s="1985"/>
      <c r="P25" s="1985"/>
      <c r="Q25" s="1985"/>
      <c r="R25" s="1985"/>
      <c r="S25" s="1986"/>
      <c r="T25" s="2056" t="s">
        <v>2083</v>
      </c>
      <c r="U25" s="2057"/>
      <c r="V25" s="2057"/>
      <c r="W25" s="2057"/>
      <c r="X25" s="2057"/>
      <c r="Y25" s="2057"/>
      <c r="Z25" s="2057"/>
      <c r="AA25" s="205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2090</v>
      </c>
      <c r="M29" s="40" t="s">
        <v>101</v>
      </c>
      <c r="N29" s="32" t="s">
        <v>1604</v>
      </c>
      <c r="O29" s="32"/>
      <c r="P29" s="32"/>
      <c r="Q29" s="32"/>
      <c r="R29" s="32"/>
      <c r="S29" s="123"/>
      <c r="T29" s="6"/>
      <c r="U29" s="6"/>
      <c r="V29" s="6"/>
      <c r="W29" s="6"/>
      <c r="X29" s="6"/>
      <c r="Y29" s="6"/>
      <c r="Z29" s="6"/>
      <c r="AA29" s="132"/>
    </row>
    <row r="30" spans="1:27" ht="13.5" customHeight="1" x14ac:dyDescent="0.2">
      <c r="A30" s="153"/>
      <c r="B30" s="136" t="s">
        <v>2090</v>
      </c>
      <c r="C30" s="124" t="s">
        <v>1226</v>
      </c>
      <c r="D30" s="28"/>
      <c r="E30" s="28"/>
      <c r="F30" s="140"/>
      <c r="G30" s="114"/>
      <c r="H30" s="114"/>
      <c r="I30" s="54"/>
      <c r="J30" s="102"/>
      <c r="K30" s="28" t="s">
        <v>597</v>
      </c>
      <c r="L30" s="148" t="s">
        <v>2090</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2090</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2090</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2091</v>
      </c>
      <c r="B38" s="1997"/>
      <c r="C38" s="1997"/>
      <c r="D38" s="1997"/>
      <c r="E38" s="1997"/>
      <c r="F38" s="1961"/>
      <c r="G38" s="1961"/>
      <c r="H38" s="1962"/>
      <c r="I38" s="1989"/>
      <c r="J38" s="1990"/>
      <c r="K38" s="1990"/>
      <c r="L38" s="1990"/>
      <c r="M38" s="1990"/>
      <c r="N38" s="1990"/>
      <c r="O38" s="1990"/>
      <c r="P38" s="1991"/>
      <c r="Q38" s="1991"/>
      <c r="R38" s="1991"/>
      <c r="S38" s="1992"/>
      <c r="T38" s="2046"/>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t="s">
        <v>2089</v>
      </c>
      <c r="B40" s="1975"/>
      <c r="C40" s="1976"/>
      <c r="D40" s="1976"/>
      <c r="E40" s="1976"/>
      <c r="F40" s="1977"/>
      <c r="G40" s="1977"/>
      <c r="H40" s="1978"/>
      <c r="I40" s="1999"/>
      <c r="J40" s="2000"/>
      <c r="K40" s="2000"/>
      <c r="L40" s="2000"/>
      <c r="M40" s="2000"/>
      <c r="N40" s="2000"/>
      <c r="O40" s="2000"/>
      <c r="P40" s="2000"/>
      <c r="Q40" s="2000"/>
      <c r="R40" s="2000"/>
      <c r="S40" s="2001"/>
      <c r="T40" s="1999"/>
      <c r="U40" s="2062"/>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2092</v>
      </c>
      <c r="B42" s="1980"/>
      <c r="C42" s="1981"/>
      <c r="D42" s="1979" t="s">
        <v>2093</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1905</v>
      </c>
      <c r="B2" s="1550" t="s">
        <v>2037</v>
      </c>
      <c r="C2" s="715" t="s">
        <v>1910</v>
      </c>
      <c r="D2" s="715" t="s">
        <v>1911</v>
      </c>
      <c r="E2" s="715" t="s">
        <v>1912</v>
      </c>
      <c r="F2" s="715" t="s">
        <v>1913</v>
      </c>
    </row>
    <row r="3" spans="1:6" ht="12" customHeight="1" x14ac:dyDescent="0.2">
      <c r="A3" s="2203"/>
      <c r="B3" s="1547"/>
      <c r="C3" s="1548"/>
      <c r="D3" s="1549" t="s">
        <v>274</v>
      </c>
      <c r="E3" s="1548"/>
      <c r="F3" s="1549" t="s">
        <v>275</v>
      </c>
    </row>
    <row r="4" spans="1:6" ht="13.7" customHeight="1" x14ac:dyDescent="0.2">
      <c r="A4" s="716" t="s">
        <v>1217</v>
      </c>
      <c r="B4" s="1771">
        <f>'Revenues 9-14'!C5</f>
        <v>985228</v>
      </c>
      <c r="C4" s="1546">
        <v>409232</v>
      </c>
      <c r="D4" s="1774">
        <f>B4-C4</f>
        <v>575996</v>
      </c>
      <c r="E4" s="1546">
        <v>993351</v>
      </c>
      <c r="F4" s="1774">
        <f>E4-C4</f>
        <v>584119</v>
      </c>
    </row>
    <row r="5" spans="1:6" ht="13.7" customHeight="1" x14ac:dyDescent="0.2">
      <c r="A5" s="716" t="s">
        <v>925</v>
      </c>
      <c r="B5" s="1772">
        <f>'Revenues 9-14'!D5</f>
        <v>126962</v>
      </c>
      <c r="C5" s="585">
        <v>52736</v>
      </c>
      <c r="D5" s="1775">
        <f t="shared" ref="D5:D18" si="0">B5-C5</f>
        <v>74226</v>
      </c>
      <c r="E5" s="585">
        <v>128009</v>
      </c>
      <c r="F5" s="1775">
        <f>E5-C5</f>
        <v>75273</v>
      </c>
    </row>
    <row r="6" spans="1:6" ht="13.7" customHeight="1" x14ac:dyDescent="0.2">
      <c r="A6" s="716" t="s">
        <v>431</v>
      </c>
      <c r="B6" s="1772">
        <f>'Revenues 9-14'!E5</f>
        <v>42236</v>
      </c>
      <c r="C6" s="585">
        <v>10300</v>
      </c>
      <c r="D6" s="1775">
        <f t="shared" si="0"/>
        <v>31936</v>
      </c>
      <c r="E6" s="585">
        <v>25003</v>
      </c>
      <c r="F6" s="1775">
        <f t="shared" ref="F6:F18" si="1">E6-C6</f>
        <v>14703</v>
      </c>
    </row>
    <row r="7" spans="1:6" ht="13.7" customHeight="1" x14ac:dyDescent="0.2">
      <c r="A7" s="716" t="s">
        <v>157</v>
      </c>
      <c r="B7" s="1772">
        <f>'Revenues 9-14'!F5</f>
        <v>88452</v>
      </c>
      <c r="C7" s="585">
        <v>43494</v>
      </c>
      <c r="D7" s="1775">
        <f t="shared" si="0"/>
        <v>44958</v>
      </c>
      <c r="E7" s="585">
        <v>105577</v>
      </c>
      <c r="F7" s="1775">
        <f t="shared" si="1"/>
        <v>62083</v>
      </c>
    </row>
    <row r="8" spans="1:6" ht="13.7" customHeight="1" x14ac:dyDescent="0.2">
      <c r="A8" s="716" t="s">
        <v>1241</v>
      </c>
      <c r="B8" s="1772">
        <f>'Revenues 9-14'!G5</f>
        <v>31545</v>
      </c>
      <c r="C8" s="585">
        <v>13184</v>
      </c>
      <c r="D8" s="1775">
        <f t="shared" si="0"/>
        <v>18361</v>
      </c>
      <c r="E8" s="585">
        <v>32002</v>
      </c>
      <c r="F8" s="1775">
        <f t="shared" si="1"/>
        <v>18818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25392</v>
      </c>
      <c r="C10" s="585">
        <v>10547</v>
      </c>
      <c r="D10" s="1775">
        <f t="shared" si="0"/>
        <v>14845</v>
      </c>
      <c r="E10" s="585">
        <v>25602</v>
      </c>
      <c r="F10" s="1775">
        <f t="shared" si="1"/>
        <v>15055</v>
      </c>
    </row>
    <row r="11" spans="1:6" x14ac:dyDescent="0.2">
      <c r="A11" s="716" t="s">
        <v>429</v>
      </c>
      <c r="B11" s="1772">
        <f>'Revenues 9-14'!J5</f>
        <v>249008</v>
      </c>
      <c r="C11" s="585">
        <v>104436</v>
      </c>
      <c r="D11" s="1775">
        <f t="shared" si="0"/>
        <v>144572</v>
      </c>
      <c r="E11" s="585">
        <v>253504</v>
      </c>
      <c r="F11" s="1775">
        <f t="shared" si="1"/>
        <v>149068</v>
      </c>
    </row>
    <row r="12" spans="1:6" ht="13.7" customHeight="1" x14ac:dyDescent="0.2">
      <c r="A12" s="716" t="s">
        <v>159</v>
      </c>
      <c r="B12" s="1772">
        <f>'Revenues 9-14'!K5</f>
        <v>25393</v>
      </c>
      <c r="C12" s="585">
        <v>10547</v>
      </c>
      <c r="D12" s="1775">
        <f t="shared" si="0"/>
        <v>14846</v>
      </c>
      <c r="E12" s="585">
        <v>25602</v>
      </c>
      <c r="F12" s="1775">
        <f t="shared" si="1"/>
        <v>15055</v>
      </c>
    </row>
    <row r="13" spans="1:6" ht="13.7" customHeight="1" x14ac:dyDescent="0.2">
      <c r="A13" s="716" t="s">
        <v>993</v>
      </c>
      <c r="B13" s="1772">
        <f>SUM('Revenues 9-14'!C6:D6)</f>
        <v>25392</v>
      </c>
      <c r="C13" s="585">
        <v>10547</v>
      </c>
      <c r="D13" s="1775">
        <f t="shared" si="0"/>
        <v>14845</v>
      </c>
      <c r="E13" s="585">
        <v>25602</v>
      </c>
      <c r="F13" s="1775">
        <f t="shared" si="1"/>
        <v>15055</v>
      </c>
    </row>
    <row r="14" spans="1:6" ht="13.7" customHeight="1" x14ac:dyDescent="0.2">
      <c r="A14" s="716" t="s">
        <v>430</v>
      </c>
      <c r="B14" s="1772">
        <f>SUM('Revenues 9-14'!C7:D7,'Revenues 9-14'!F7:H7)</f>
        <v>10157</v>
      </c>
      <c r="C14" s="585">
        <v>4219</v>
      </c>
      <c r="D14" s="1775">
        <f t="shared" si="0"/>
        <v>5938</v>
      </c>
      <c r="E14" s="585">
        <v>10241</v>
      </c>
      <c r="F14" s="1775">
        <f t="shared" si="1"/>
        <v>6022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31545</v>
      </c>
      <c r="C16" s="585">
        <v>13184</v>
      </c>
      <c r="D16" s="1775">
        <f t="shared" si="0"/>
        <v>18361</v>
      </c>
      <c r="E16" s="585">
        <v>32002</v>
      </c>
      <c r="F16" s="1775">
        <f t="shared" si="1"/>
        <v>18818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1641310</v>
      </c>
      <c r="C19" s="1773">
        <f>SUM(C4:C18)</f>
        <v>682426</v>
      </c>
      <c r="D19" s="1773">
        <f>SUM(D4:D18)</f>
        <v>958884</v>
      </c>
      <c r="E19" s="1773">
        <f>SUM(E4:E18)</f>
        <v>1656495</v>
      </c>
      <c r="F19" s="1773">
        <f>SUM(F4:F18)</f>
        <v>974069</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F34" sqref="F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650</v>
      </c>
      <c r="B1" s="2222"/>
      <c r="C1" s="722"/>
    </row>
    <row r="2" spans="1:7" ht="33.75" x14ac:dyDescent="0.2">
      <c r="A2" s="2229" t="s">
        <v>1905</v>
      </c>
      <c r="B2" s="2230"/>
      <c r="C2" s="1909" t="s">
        <v>2038</v>
      </c>
      <c r="D2" s="724" t="s">
        <v>2045</v>
      </c>
      <c r="E2" s="724" t="s">
        <v>2046</v>
      </c>
      <c r="F2" s="1909" t="s">
        <v>2039</v>
      </c>
    </row>
    <row r="3" spans="1:7" ht="15.75" customHeight="1" x14ac:dyDescent="0.2">
      <c r="A3" s="2231" t="s">
        <v>1176</v>
      </c>
      <c r="B3" s="2232"/>
      <c r="C3" s="2225"/>
      <c r="D3" s="2226"/>
      <c r="E3" s="2226"/>
      <c r="F3" s="2227"/>
    </row>
    <row r="4" spans="1:7" ht="12.75" customHeight="1" thickBot="1" x14ac:dyDescent="0.25">
      <c r="A4" s="2219" t="s">
        <v>651</v>
      </c>
      <c r="B4" s="2220"/>
      <c r="C4" s="581"/>
      <c r="D4" s="581"/>
      <c r="E4" s="581"/>
      <c r="F4" s="1777">
        <f>SUM(C4+D4)-E4</f>
        <v>0</v>
      </c>
    </row>
    <row r="5" spans="1:7" ht="15.75" customHeight="1" thickTop="1" x14ac:dyDescent="0.2">
      <c r="A5" s="2223" t="s">
        <v>1172</v>
      </c>
      <c r="B5" s="2218"/>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5" t="s">
        <v>652</v>
      </c>
      <c r="B15" s="2216"/>
      <c r="C15" s="1777">
        <f>SUM(C6:C14)</f>
        <v>0</v>
      </c>
      <c r="D15" s="1777">
        <f>SUM(D6:D14)</f>
        <v>0</v>
      </c>
      <c r="E15" s="1777">
        <f>SUM(E6:E14)</f>
        <v>0</v>
      </c>
      <c r="F15" s="1777">
        <f>SUM(F6:F14)</f>
        <v>0</v>
      </c>
      <c r="G15" s="552"/>
    </row>
    <row r="16" spans="1:7" s="202" customFormat="1" ht="15.75" customHeight="1" thickTop="1" x14ac:dyDescent="0.2">
      <c r="A16" s="2228" t="s">
        <v>1173</v>
      </c>
      <c r="B16" s="2218"/>
      <c r="C16" s="2212"/>
      <c r="D16" s="2213"/>
      <c r="E16" s="2213"/>
      <c r="F16" s="2214"/>
    </row>
    <row r="17" spans="1:11" ht="12.75" customHeight="1" thickBot="1" x14ac:dyDescent="0.25">
      <c r="A17" s="2210" t="s">
        <v>66</v>
      </c>
      <c r="B17" s="2211"/>
      <c r="C17" s="727"/>
      <c r="D17" s="585"/>
      <c r="E17" s="727"/>
      <c r="F17" s="1777">
        <f>SUM(C17+D17)-E17</f>
        <v>0</v>
      </c>
    </row>
    <row r="18" spans="1:11" ht="12.75" customHeight="1" thickTop="1" thickBot="1" x14ac:dyDescent="0.25">
      <c r="A18" s="2210" t="s">
        <v>6</v>
      </c>
      <c r="B18" s="2211"/>
      <c r="C18" s="727"/>
      <c r="D18" s="585"/>
      <c r="E18" s="727"/>
      <c r="F18" s="1777">
        <f>SUM(C18+D18)-E18</f>
        <v>0</v>
      </c>
    </row>
    <row r="19" spans="1:11" ht="12.75" customHeight="1" thickTop="1" thickBot="1" x14ac:dyDescent="0.25">
      <c r="A19" s="2210" t="s">
        <v>406</v>
      </c>
      <c r="B19" s="2211"/>
      <c r="C19" s="727"/>
      <c r="D19" s="585"/>
      <c r="E19" s="727"/>
      <c r="F19" s="1777">
        <f>SUM(C19+D19)-E19</f>
        <v>0</v>
      </c>
    </row>
    <row r="20" spans="1:11" ht="12.75" customHeight="1" thickTop="1" thickBot="1" x14ac:dyDescent="0.25">
      <c r="A20" s="2210" t="s">
        <v>468</v>
      </c>
      <c r="B20" s="2211"/>
      <c r="C20" s="727"/>
      <c r="D20" s="585"/>
      <c r="E20" s="727"/>
      <c r="F20" s="1777">
        <f>SUM(C20+D20)-E20</f>
        <v>0</v>
      </c>
    </row>
    <row r="21" spans="1:11" ht="14.25" thickTop="1" thickBot="1" x14ac:dyDescent="0.25">
      <c r="A21" s="2215" t="s">
        <v>653</v>
      </c>
      <c r="B21" s="2216"/>
      <c r="C21" s="1777">
        <f>SUM(C17:C20)</f>
        <v>0</v>
      </c>
      <c r="D21" s="1777">
        <f>SUM(D17:D20)</f>
        <v>0</v>
      </c>
      <c r="E21" s="1777">
        <f>SUM(E17:E20)</f>
        <v>0</v>
      </c>
      <c r="F21" s="1777">
        <f>SUM(F17:F20)</f>
        <v>0</v>
      </c>
      <c r="G21" s="552"/>
    </row>
    <row r="22" spans="1:11" ht="15.75" customHeight="1" thickTop="1" x14ac:dyDescent="0.2">
      <c r="A22" s="2217" t="s">
        <v>1174</v>
      </c>
      <c r="B22" s="2218"/>
      <c r="C22" s="2212"/>
      <c r="D22" s="2213"/>
      <c r="E22" s="2213"/>
      <c r="F22" s="2214"/>
    </row>
    <row r="23" spans="1:11" ht="13.5" thickBot="1" x14ac:dyDescent="0.25">
      <c r="A23" s="2219" t="s">
        <v>654</v>
      </c>
      <c r="B23" s="2220"/>
      <c r="C23" s="581"/>
      <c r="D23" s="581"/>
      <c r="E23" s="581"/>
      <c r="F23" s="1777">
        <f>SUM(C23+D23)-E23</f>
        <v>0</v>
      </c>
      <c r="G23" s="552"/>
    </row>
    <row r="24" spans="1:11" ht="15.75" customHeight="1" thickTop="1" x14ac:dyDescent="0.2">
      <c r="A24" s="2217" t="s">
        <v>1175</v>
      </c>
      <c r="B24" s="2218"/>
      <c r="C24" s="2212"/>
      <c r="D24" s="2213"/>
      <c r="E24" s="2213"/>
      <c r="F24" s="2214"/>
    </row>
    <row r="25" spans="1:11" ht="13.5" thickBot="1" x14ac:dyDescent="0.25">
      <c r="A25" s="2219" t="s">
        <v>655</v>
      </c>
      <c r="B25" s="2220"/>
      <c r="C25" s="581"/>
      <c r="D25" s="581"/>
      <c r="E25" s="581"/>
      <c r="F25" s="1777">
        <f>SUM(C25+D25)-E25</f>
        <v>0</v>
      </c>
      <c r="G25" s="552"/>
    </row>
    <row r="26" spans="1:11" ht="15.75" customHeight="1" thickTop="1" x14ac:dyDescent="0.2">
      <c r="A26" s="2223" t="s">
        <v>678</v>
      </c>
      <c r="B26" s="2218"/>
      <c r="C26" s="728"/>
      <c r="D26" s="728"/>
      <c r="E26" s="728"/>
      <c r="F26" s="729"/>
    </row>
    <row r="27" spans="1:11" ht="13.5" thickBot="1" x14ac:dyDescent="0.25">
      <c r="A27" s="2215" t="s">
        <v>1130</v>
      </c>
      <c r="B27" s="2216"/>
      <c r="C27" s="585">
        <v>12573</v>
      </c>
      <c r="D27" s="585">
        <v>0</v>
      </c>
      <c r="E27" s="585">
        <v>12573</v>
      </c>
      <c r="F27" s="1777">
        <f>SUM(C27+D27)-E27</f>
        <v>0</v>
      </c>
      <c r="G27" s="552"/>
    </row>
    <row r="28" spans="1:11" ht="7.5" customHeight="1" thickTop="1" x14ac:dyDescent="0.2">
      <c r="A28" s="594"/>
    </row>
    <row r="29" spans="1:11" ht="23.25" customHeight="1" x14ac:dyDescent="0.2">
      <c r="A29" s="2221" t="s">
        <v>603</v>
      </c>
      <c r="B29" s="2222"/>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t="s">
        <v>2085</v>
      </c>
      <c r="B32" s="734">
        <v>42395</v>
      </c>
      <c r="C32" s="735">
        <v>200000</v>
      </c>
      <c r="D32" s="736">
        <v>1</v>
      </c>
      <c r="E32" s="735">
        <v>155000</v>
      </c>
      <c r="F32" s="735">
        <v>0</v>
      </c>
      <c r="G32" s="735"/>
      <c r="H32" s="735">
        <v>50000</v>
      </c>
      <c r="I32" s="1778">
        <f>((E32+F32)-H32)+G32</f>
        <v>105000</v>
      </c>
      <c r="J32" s="735">
        <v>66792</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t="s">
        <v>2096</v>
      </c>
      <c r="B34" s="734">
        <v>43126</v>
      </c>
      <c r="C34" s="735">
        <v>15841</v>
      </c>
      <c r="D34" s="736">
        <v>7</v>
      </c>
      <c r="E34" s="735"/>
      <c r="F34" s="735">
        <v>15841</v>
      </c>
      <c r="G34" s="735"/>
      <c r="H34" s="735"/>
      <c r="I34" s="1778">
        <f t="shared" si="1"/>
        <v>15841</v>
      </c>
      <c r="J34" s="735">
        <v>15841</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215841</v>
      </c>
      <c r="D49" s="746"/>
      <c r="E49" s="1778">
        <f t="shared" ref="E49:J49" si="2">SUM(E31:E48)</f>
        <v>155000</v>
      </c>
      <c r="F49" s="1778">
        <f t="shared" si="2"/>
        <v>15841</v>
      </c>
      <c r="G49" s="1778">
        <f t="shared" si="2"/>
        <v>0</v>
      </c>
      <c r="H49" s="1778">
        <f t="shared" si="2"/>
        <v>50000</v>
      </c>
      <c r="I49" s="1778">
        <f t="shared" si="2"/>
        <v>120841</v>
      </c>
      <c r="J49" s="1778">
        <f t="shared" si="2"/>
        <v>82633</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4" t="s">
        <v>605</v>
      </c>
      <c r="C52" s="2205"/>
      <c r="D52" s="2205"/>
      <c r="E52" s="750" t="s">
        <v>900</v>
      </c>
      <c r="F52" s="2206" t="s">
        <v>2095</v>
      </c>
      <c r="G52" s="2207"/>
      <c r="H52" s="737"/>
      <c r="I52" s="737"/>
      <c r="J52" s="747"/>
    </row>
    <row r="53" spans="1:11" ht="11.25" customHeight="1" x14ac:dyDescent="0.2">
      <c r="A53" s="751" t="s">
        <v>969</v>
      </c>
      <c r="B53" s="752" t="s">
        <v>1008</v>
      </c>
      <c r="C53" s="747"/>
      <c r="D53" s="738"/>
      <c r="E53" s="750" t="s">
        <v>518</v>
      </c>
      <c r="F53" s="2208"/>
      <c r="G53" s="2209"/>
      <c r="H53" s="737"/>
      <c r="I53" s="737"/>
      <c r="J53" s="747"/>
    </row>
    <row r="54" spans="1:11" ht="11.25" customHeight="1" x14ac:dyDescent="0.2">
      <c r="A54" s="753" t="s">
        <v>970</v>
      </c>
      <c r="B54" s="748" t="s">
        <v>1009</v>
      </c>
      <c r="C54" s="747"/>
      <c r="D54" s="738"/>
      <c r="E54" s="750" t="s">
        <v>519</v>
      </c>
      <c r="F54" s="2208"/>
      <c r="G54" s="220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J26" sqref="J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3" t="s">
        <v>911</v>
      </c>
      <c r="B1" s="2234"/>
      <c r="C1" s="2234"/>
      <c r="D1" s="2234"/>
      <c r="E1" s="2234"/>
      <c r="F1" s="2234"/>
      <c r="G1" s="2235"/>
      <c r="H1" s="1552"/>
      <c r="I1" s="761"/>
      <c r="J1" s="433"/>
    </row>
    <row r="2" spans="1:11" ht="26.25" x14ac:dyDescent="0.2">
      <c r="A2" s="2252" t="s">
        <v>1776</v>
      </c>
      <c r="B2" s="2253"/>
      <c r="C2" s="2253"/>
      <c r="D2" s="2253"/>
      <c r="E2" s="2254"/>
      <c r="F2" s="762" t="s">
        <v>960</v>
      </c>
      <c r="G2" s="763" t="s">
        <v>1773</v>
      </c>
      <c r="H2" s="763" t="s">
        <v>430</v>
      </c>
      <c r="I2" s="763" t="s">
        <v>1220</v>
      </c>
      <c r="J2" s="763" t="s">
        <v>1919</v>
      </c>
      <c r="K2" s="763" t="s">
        <v>140</v>
      </c>
    </row>
    <row r="3" spans="1:11" x14ac:dyDescent="0.2">
      <c r="A3" s="2255" t="s">
        <v>1698</v>
      </c>
      <c r="B3" s="2256"/>
      <c r="C3" s="2256"/>
      <c r="D3" s="2256"/>
      <c r="E3" s="2257"/>
      <c r="F3" s="764"/>
      <c r="G3" s="765"/>
      <c r="H3" s="765">
        <v>0</v>
      </c>
      <c r="I3" s="765"/>
      <c r="J3" s="766">
        <v>0</v>
      </c>
      <c r="K3" s="766"/>
    </row>
    <row r="4" spans="1:11" x14ac:dyDescent="0.2">
      <c r="A4" s="2258" t="s">
        <v>387</v>
      </c>
      <c r="B4" s="2259"/>
      <c r="C4" s="2259"/>
      <c r="D4" s="2259"/>
      <c r="E4" s="2205"/>
      <c r="F4" s="767"/>
      <c r="G4" s="768"/>
      <c r="H4" s="769"/>
      <c r="I4" s="768"/>
      <c r="J4" s="770"/>
      <c r="K4" s="770"/>
    </row>
    <row r="5" spans="1:11" x14ac:dyDescent="0.2">
      <c r="A5" s="2236" t="s">
        <v>1129</v>
      </c>
      <c r="B5" s="2237"/>
      <c r="C5" s="2237"/>
      <c r="D5" s="2237"/>
      <c r="E5" s="2238"/>
      <c r="F5" s="771" t="s">
        <v>903</v>
      </c>
      <c r="G5" s="772"/>
      <c r="H5" s="765">
        <v>10157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v>69566</v>
      </c>
      <c r="K8" s="770"/>
    </row>
    <row r="9" spans="1:11" x14ac:dyDescent="0.2">
      <c r="A9" s="779" t="s">
        <v>140</v>
      </c>
      <c r="B9" s="780"/>
      <c r="C9" s="780"/>
      <c r="D9" s="780"/>
      <c r="E9" s="781"/>
      <c r="F9" s="778" t="s">
        <v>908</v>
      </c>
      <c r="G9" s="783"/>
      <c r="H9" s="772"/>
      <c r="I9" s="772"/>
      <c r="J9" s="782"/>
      <c r="K9" s="766"/>
    </row>
    <row r="10" spans="1:11" x14ac:dyDescent="0.2">
      <c r="A10" s="2236" t="s">
        <v>1920</v>
      </c>
      <c r="B10" s="2237"/>
      <c r="C10" s="2237"/>
      <c r="D10" s="2237"/>
      <c r="E10" s="2239"/>
      <c r="F10" s="784" t="s">
        <v>917</v>
      </c>
      <c r="G10" s="783"/>
      <c r="H10" s="785"/>
      <c r="I10" s="765"/>
      <c r="J10" s="766"/>
      <c r="K10" s="766"/>
    </row>
    <row r="11" spans="1:11" x14ac:dyDescent="0.2">
      <c r="A11" s="2236" t="s">
        <v>162</v>
      </c>
      <c r="B11" s="2237"/>
      <c r="C11" s="2237"/>
      <c r="D11" s="2237"/>
      <c r="E11" s="2238"/>
      <c r="F11" s="771" t="s">
        <v>907</v>
      </c>
      <c r="G11" s="772"/>
      <c r="H11" s="765"/>
      <c r="I11" s="765"/>
      <c r="J11" s="766"/>
      <c r="K11" s="774"/>
    </row>
    <row r="12" spans="1:11" ht="13.5" thickBot="1" x14ac:dyDescent="0.25">
      <c r="A12" s="2263" t="s">
        <v>961</v>
      </c>
      <c r="B12" s="2264"/>
      <c r="C12" s="2264"/>
      <c r="D12" s="2264"/>
      <c r="E12" s="2265"/>
      <c r="F12" s="1779"/>
      <c r="G12" s="1780">
        <f>SUM(G5:G11)</f>
        <v>0</v>
      </c>
      <c r="H12" s="1780">
        <f>SUM(H5:H11)</f>
        <v>10157</v>
      </c>
      <c r="I12" s="1780">
        <f>SUM(I5:I11)</f>
        <v>0</v>
      </c>
      <c r="J12" s="1780">
        <f>SUM(J5:J11)</f>
        <v>69566</v>
      </c>
      <c r="K12" s="1780">
        <f>SUM(K5:K11)</f>
        <v>0</v>
      </c>
    </row>
    <row r="13" spans="1:11" ht="13.5" thickTop="1" x14ac:dyDescent="0.2">
      <c r="A13" s="2260" t="s">
        <v>388</v>
      </c>
      <c r="B13" s="2261"/>
      <c r="C13" s="2261"/>
      <c r="D13" s="2261"/>
      <c r="E13" s="2262"/>
      <c r="F13" s="786"/>
      <c r="G13" s="787"/>
      <c r="H13" s="788"/>
      <c r="I13" s="789"/>
      <c r="J13" s="789"/>
      <c r="K13" s="789"/>
    </row>
    <row r="14" spans="1:11" x14ac:dyDescent="0.2">
      <c r="A14" s="2243" t="s">
        <v>476</v>
      </c>
      <c r="B14" s="2243"/>
      <c r="C14" s="2243"/>
      <c r="D14" s="2243"/>
      <c r="E14" s="2244"/>
      <c r="F14" s="790" t="s">
        <v>909</v>
      </c>
      <c r="G14" s="783"/>
      <c r="H14" s="765">
        <v>10157</v>
      </c>
      <c r="I14" s="772"/>
      <c r="J14" s="774"/>
      <c r="K14" s="766"/>
    </row>
    <row r="15" spans="1:11" x14ac:dyDescent="0.2">
      <c r="A15" s="2237" t="s">
        <v>4</v>
      </c>
      <c r="B15" s="2237"/>
      <c r="C15" s="2237"/>
      <c r="D15" s="2237"/>
      <c r="E15" s="2238"/>
      <c r="F15" s="790" t="s">
        <v>910</v>
      </c>
      <c r="G15" s="772"/>
      <c r="H15" s="765"/>
      <c r="I15" s="765"/>
      <c r="J15" s="766">
        <v>39566</v>
      </c>
      <c r="K15" s="766"/>
    </row>
    <row r="16" spans="1:11" x14ac:dyDescent="0.2">
      <c r="A16" s="2237" t="s">
        <v>316</v>
      </c>
      <c r="B16" s="2237"/>
      <c r="C16" s="2237"/>
      <c r="D16" s="2237"/>
      <c r="E16" s="2238"/>
      <c r="F16" s="790" t="s">
        <v>980</v>
      </c>
      <c r="G16" s="773"/>
      <c r="H16" s="768"/>
      <c r="I16" s="768"/>
      <c r="J16" s="770"/>
      <c r="K16" s="770"/>
    </row>
    <row r="17" spans="1:11" x14ac:dyDescent="0.2">
      <c r="A17" s="2268" t="s">
        <v>992</v>
      </c>
      <c r="B17" s="2268"/>
      <c r="C17" s="2268"/>
      <c r="D17" s="2268"/>
      <c r="E17" s="2269"/>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45" t="s">
        <v>1916</v>
      </c>
      <c r="B19" s="2245"/>
      <c r="C19" s="2245"/>
      <c r="D19" s="2245"/>
      <c r="E19" s="2246"/>
      <c r="F19" s="790" t="s">
        <v>990</v>
      </c>
      <c r="G19" s="783"/>
      <c r="H19" s="783"/>
      <c r="I19" s="783"/>
      <c r="J19" s="766"/>
      <c r="K19" s="796"/>
    </row>
    <row r="20" spans="1:11" x14ac:dyDescent="0.2">
      <c r="A20" s="2247" t="s">
        <v>1921</v>
      </c>
      <c r="B20" s="2248"/>
      <c r="C20" s="2248"/>
      <c r="D20" s="2248"/>
      <c r="E20" s="2249"/>
      <c r="F20" s="790" t="s">
        <v>991</v>
      </c>
      <c r="G20" s="783"/>
      <c r="H20" s="783"/>
      <c r="I20" s="783"/>
      <c r="J20" s="766"/>
      <c r="K20" s="796"/>
    </row>
    <row r="21" spans="1:11" ht="13.5" thickBot="1" x14ac:dyDescent="0.25">
      <c r="A21" s="2266" t="s">
        <v>659</v>
      </c>
      <c r="B21" s="2266"/>
      <c r="C21" s="2266"/>
      <c r="D21" s="2266"/>
      <c r="E21" s="2266"/>
      <c r="F21" s="1781"/>
      <c r="G21" s="793"/>
      <c r="H21" s="797"/>
      <c r="I21" s="797"/>
      <c r="J21" s="1782">
        <f>SUM(J18:J20)</f>
        <v>0</v>
      </c>
      <c r="K21" s="794"/>
    </row>
    <row r="22" spans="1:11" ht="13.5" thickTop="1" x14ac:dyDescent="0.2">
      <c r="A22" s="2237" t="s">
        <v>1922</v>
      </c>
      <c r="B22" s="2237"/>
      <c r="C22" s="2237"/>
      <c r="D22" s="2237"/>
      <c r="E22" s="2238"/>
      <c r="F22" s="790" t="s">
        <v>917</v>
      </c>
      <c r="G22" s="783"/>
      <c r="H22" s="765"/>
      <c r="I22" s="765"/>
      <c r="J22" s="798"/>
      <c r="K22" s="766"/>
    </row>
    <row r="23" spans="1:11" ht="13.5" thickBot="1" x14ac:dyDescent="0.25">
      <c r="A23" s="2267" t="s">
        <v>962</v>
      </c>
      <c r="B23" s="2266"/>
      <c r="C23" s="2266"/>
      <c r="D23" s="2266"/>
      <c r="E23" s="2266"/>
      <c r="F23" s="1783"/>
      <c r="G23" s="1780">
        <f>SUM(G14:G16,G21,G22)</f>
        <v>0</v>
      </c>
      <c r="H23" s="1780">
        <f>SUM(H14:H16,H21,H22)</f>
        <v>10157</v>
      </c>
      <c r="I23" s="1780">
        <f>SUM(I14:I16,I21,I22)</f>
        <v>0</v>
      </c>
      <c r="J23" s="1780">
        <f>SUM(J14:J16,J21,J22)</f>
        <v>39566</v>
      </c>
      <c r="K23" s="1780">
        <f>SUM(K14:K16,K21,K22)</f>
        <v>0</v>
      </c>
    </row>
    <row r="24" spans="1:11" ht="14.25" thickTop="1" thickBot="1" x14ac:dyDescent="0.25">
      <c r="A24" s="2267" t="s">
        <v>2026</v>
      </c>
      <c r="B24" s="2266"/>
      <c r="C24" s="2266"/>
      <c r="D24" s="2266"/>
      <c r="E24" s="2266"/>
      <c r="F24" s="1784"/>
      <c r="G24" s="1785">
        <f>SUM(G3,G12)-G23</f>
        <v>0</v>
      </c>
      <c r="H24" s="1785">
        <f>SUM(H3,H12)-H23</f>
        <v>0</v>
      </c>
      <c r="I24" s="1785">
        <f>SUM(I3,I12)-I23</f>
        <v>0</v>
      </c>
      <c r="J24" s="1785">
        <f>SUM(J3,J12)-J23</f>
        <v>30000</v>
      </c>
      <c r="K24" s="1785">
        <f>SUM(K3,K12)-K23</f>
        <v>0</v>
      </c>
    </row>
    <row r="25" spans="1:11" ht="13.5" thickTop="1" x14ac:dyDescent="0.2">
      <c r="A25" s="799" t="s">
        <v>440</v>
      </c>
      <c r="B25" s="800"/>
      <c r="C25" s="800"/>
      <c r="D25" s="800"/>
      <c r="E25" s="801"/>
      <c r="F25" s="802">
        <v>714</v>
      </c>
      <c r="G25" s="803"/>
      <c r="H25" s="803"/>
      <c r="I25" s="803"/>
      <c r="J25" s="798">
        <v>30000</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0"/>
      <c r="I31" s="2241"/>
      <c r="J31" s="2241"/>
      <c r="K31" s="2241"/>
    </row>
    <row r="32" spans="1:11" x14ac:dyDescent="0.2">
      <c r="A32" s="810"/>
      <c r="B32" s="237"/>
      <c r="C32" s="237"/>
      <c r="D32" s="237"/>
      <c r="E32" s="806"/>
      <c r="F32" s="812" t="s">
        <v>561</v>
      </c>
      <c r="G32" s="765"/>
      <c r="H32" s="2242"/>
      <c r="I32" s="2241"/>
      <c r="J32" s="2241"/>
      <c r="K32" s="2241"/>
    </row>
    <row r="33" spans="1:11" ht="1.5" customHeight="1" x14ac:dyDescent="0.2">
      <c r="A33" s="813" t="s">
        <v>1231</v>
      </c>
      <c r="B33" s="364"/>
      <c r="C33" s="364"/>
      <c r="D33" s="364"/>
      <c r="E33" s="364"/>
      <c r="F33" s="364"/>
      <c r="G33" s="814"/>
      <c r="H33" s="2242"/>
      <c r="I33" s="2241"/>
      <c r="J33" s="2241"/>
      <c r="K33" s="224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7" t="s">
        <v>562</v>
      </c>
      <c r="B41" s="2250"/>
      <c r="C41" s="2250"/>
      <c r="D41" s="2250"/>
      <c r="E41" s="2250"/>
      <c r="F41" s="225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J14" sqref="J1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2035</v>
      </c>
      <c r="B1" s="2273"/>
      <c r="C1" s="2274"/>
      <c r="D1" s="827"/>
      <c r="E1" s="828"/>
      <c r="F1" s="828"/>
      <c r="G1" s="829"/>
      <c r="H1" s="830"/>
      <c r="I1" s="831"/>
      <c r="J1" s="2270"/>
      <c r="K1" s="2271"/>
      <c r="L1" s="2271"/>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16025</v>
      </c>
      <c r="D5" s="842"/>
      <c r="E5" s="842"/>
      <c r="F5" s="1782">
        <f>(C5+D5)-E5</f>
        <v>16025</v>
      </c>
      <c r="G5" s="838"/>
      <c r="H5" s="843"/>
      <c r="I5" s="843"/>
      <c r="J5" s="843"/>
      <c r="K5" s="794"/>
      <c r="L5" s="1791">
        <f>F5-K5</f>
        <v>16025</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1920880</v>
      </c>
      <c r="D8" s="845"/>
      <c r="E8" s="845"/>
      <c r="F8" s="1782">
        <f>(C8+D8)-E8</f>
        <v>1920880</v>
      </c>
      <c r="G8" s="844">
        <v>50</v>
      </c>
      <c r="H8" s="766">
        <v>1166115</v>
      </c>
      <c r="I8" s="766">
        <v>31244</v>
      </c>
      <c r="J8" s="766"/>
      <c r="K8" s="1791">
        <f>(H8+I8)-J8</f>
        <v>1197359</v>
      </c>
      <c r="L8" s="1791">
        <f>F8-K8</f>
        <v>723521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555557</v>
      </c>
      <c r="D10" s="847">
        <v>28278</v>
      </c>
      <c r="E10" s="847">
        <v>32741</v>
      </c>
      <c r="F10" s="1786">
        <f>(C10+D10)-E10</f>
        <v>551094</v>
      </c>
      <c r="G10" s="844">
        <v>20</v>
      </c>
      <c r="H10" s="848">
        <v>134998</v>
      </c>
      <c r="I10" s="848">
        <v>27552</v>
      </c>
      <c r="J10" s="848">
        <v>32741</v>
      </c>
      <c r="K10" s="1791">
        <f>(H10+I10)-J10</f>
        <v>129809</v>
      </c>
      <c r="L10" s="1791">
        <f>F10-K10</f>
        <v>421285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174051</v>
      </c>
      <c r="D12" s="845">
        <v>7161</v>
      </c>
      <c r="E12" s="845">
        <v>6788</v>
      </c>
      <c r="F12" s="1782">
        <f>(C12+D12)-E12</f>
        <v>174424</v>
      </c>
      <c r="G12" s="844">
        <v>10</v>
      </c>
      <c r="H12" s="766">
        <v>67150</v>
      </c>
      <c r="I12" s="766">
        <v>17441</v>
      </c>
      <c r="J12" s="766">
        <v>6788</v>
      </c>
      <c r="K12" s="1791">
        <f>(H12+I12)-J12</f>
        <v>77803</v>
      </c>
      <c r="L12" s="1791">
        <f>F12-K12</f>
        <v>96621</v>
      </c>
    </row>
    <row r="13" spans="1:14" ht="14.25" thickTop="1" thickBot="1" x14ac:dyDescent="0.25">
      <c r="A13" s="849" t="s">
        <v>1184</v>
      </c>
      <c r="B13" s="841">
        <v>252</v>
      </c>
      <c r="C13" s="845">
        <v>185753</v>
      </c>
      <c r="D13" s="845">
        <v>34841</v>
      </c>
      <c r="E13" s="845">
        <v>39660</v>
      </c>
      <c r="F13" s="1782">
        <f>(C13+D13)-E13</f>
        <v>180934</v>
      </c>
      <c r="G13" s="844">
        <v>5</v>
      </c>
      <c r="H13" s="766">
        <v>123885</v>
      </c>
      <c r="I13" s="766">
        <v>36188</v>
      </c>
      <c r="J13" s="766">
        <v>39660</v>
      </c>
      <c r="K13" s="1791">
        <f>(H13+I13)-J13</f>
        <v>120413</v>
      </c>
      <c r="L13" s="1791">
        <f>F13-K13</f>
        <v>60521</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v>12203</v>
      </c>
      <c r="E15" s="845"/>
      <c r="F15" s="1782">
        <f>(C15+D15)-E15</f>
        <v>12203</v>
      </c>
      <c r="G15" s="850" t="s">
        <v>917</v>
      </c>
      <c r="H15" s="782"/>
      <c r="I15" s="782"/>
      <c r="J15" s="782"/>
      <c r="K15" s="782"/>
      <c r="L15" s="1791">
        <f>F15-K15</f>
        <v>12203</v>
      </c>
    </row>
    <row r="16" spans="1:14" ht="15" customHeight="1" thickTop="1" thickBot="1" x14ac:dyDescent="0.25">
      <c r="A16" s="1787" t="s">
        <v>664</v>
      </c>
      <c r="B16" s="1788">
        <v>200</v>
      </c>
      <c r="C16" s="1782">
        <f>SUM(C3,C5:C6,C8:C10,C12:C15)</f>
        <v>2852266</v>
      </c>
      <c r="D16" s="1782">
        <f>SUM(D3,D5:D6,D8:D10,D12:D15)</f>
        <v>82483</v>
      </c>
      <c r="E16" s="1782">
        <f>SUM(E3,E5:E6,E8:E10,E12:E15)</f>
        <v>79189</v>
      </c>
      <c r="F16" s="1782">
        <f>SUM(F3,F5:F6,F8:F10,F12:F15)</f>
        <v>2855560</v>
      </c>
      <c r="G16" s="844"/>
      <c r="H16" s="1782">
        <f>SUM(H3,H6,H8:H10,H12:H14,)</f>
        <v>1492148</v>
      </c>
      <c r="I16" s="1782">
        <f>SUM(I3,I6,I8:I10,I12:I14,)</f>
        <v>112425</v>
      </c>
      <c r="J16" s="1782">
        <f>SUM(J3,J6,J8:J10,J12:J14,)</f>
        <v>79189</v>
      </c>
      <c r="K16" s="1782">
        <f>(H16+I16)-J16</f>
        <v>1525384</v>
      </c>
      <c r="L16" s="1782">
        <f>F16-K16</f>
        <v>1330176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112425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1990387</v>
      </c>
      <c r="G8" s="866"/>
    </row>
    <row r="9" spans="1:7" x14ac:dyDescent="0.2">
      <c r="A9" s="870" t="s">
        <v>480</v>
      </c>
      <c r="B9" s="871" t="s">
        <v>1989</v>
      </c>
      <c r="C9" s="872"/>
      <c r="D9" s="870" t="s">
        <v>522</v>
      </c>
      <c r="E9" s="869"/>
      <c r="F9" s="1935">
        <f>'Expenditures 15-22'!K151</f>
        <v>140833</v>
      </c>
      <c r="G9" s="873"/>
    </row>
    <row r="10" spans="1:7" x14ac:dyDescent="0.2">
      <c r="A10" s="870" t="s">
        <v>520</v>
      </c>
      <c r="B10" s="871" t="s">
        <v>1990</v>
      </c>
      <c r="C10" s="872"/>
      <c r="D10" s="870" t="s">
        <v>522</v>
      </c>
      <c r="E10" s="869"/>
      <c r="F10" s="1935">
        <f>'Expenditures 15-22'!K174</f>
        <v>56162</v>
      </c>
      <c r="G10" s="873"/>
    </row>
    <row r="11" spans="1:7" x14ac:dyDescent="0.2">
      <c r="A11" s="870" t="s">
        <v>481</v>
      </c>
      <c r="B11" s="871" t="s">
        <v>1991</v>
      </c>
      <c r="C11" s="872"/>
      <c r="D11" s="870" t="s">
        <v>522</v>
      </c>
      <c r="E11" s="869"/>
      <c r="F11" s="1935">
        <f>'Expenditures 15-22'!K210</f>
        <v>140374</v>
      </c>
      <c r="G11" s="873"/>
    </row>
    <row r="12" spans="1:7" x14ac:dyDescent="0.2">
      <c r="A12" s="870" t="s">
        <v>482</v>
      </c>
      <c r="B12" s="871" t="s">
        <v>1992</v>
      </c>
      <c r="C12" s="872"/>
      <c r="D12" s="870" t="s">
        <v>522</v>
      </c>
      <c r="E12" s="869"/>
      <c r="F12" s="1935">
        <f>'Expenditures 15-22'!K295</f>
        <v>76150</v>
      </c>
      <c r="G12" s="873"/>
    </row>
    <row r="13" spans="1:7" x14ac:dyDescent="0.2">
      <c r="A13" s="870" t="s">
        <v>108</v>
      </c>
      <c r="B13" s="871" t="s">
        <v>1993</v>
      </c>
      <c r="C13" s="872"/>
      <c r="D13" s="870" t="s">
        <v>522</v>
      </c>
      <c r="E13" s="869"/>
      <c r="F13" s="1935">
        <f>'Expenditures 15-22'!K342</f>
        <v>250704</v>
      </c>
      <c r="G13" s="874"/>
    </row>
    <row r="14" spans="1:7" ht="12" customHeight="1" thickBot="1" x14ac:dyDescent="0.25">
      <c r="A14" s="1792"/>
      <c r="B14" s="1793"/>
      <c r="C14" s="1794"/>
      <c r="D14" s="1795" t="s">
        <v>522</v>
      </c>
      <c r="E14" s="1796" t="s">
        <v>1015</v>
      </c>
      <c r="F14" s="1797">
        <f>SUM(F8:F13)</f>
        <v>2654610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244139</v>
      </c>
      <c r="G53" s="866"/>
    </row>
    <row r="54" spans="1:7" x14ac:dyDescent="0.2">
      <c r="A54" s="870" t="s">
        <v>479</v>
      </c>
      <c r="B54" s="870" t="s">
        <v>1552</v>
      </c>
      <c r="C54" s="890" t="s">
        <v>1039</v>
      </c>
      <c r="D54" s="886" t="s">
        <v>1157</v>
      </c>
      <c r="E54" s="869"/>
      <c r="F54" s="1939">
        <f>'Expenditures 15-22'!G114</f>
        <v>36888</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50000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2635</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333662</v>
      </c>
      <c r="G76" s="866"/>
    </row>
    <row r="77" spans="1:8" s="894" customFormat="1" ht="12" customHeight="1" thickTop="1" thickBot="1" x14ac:dyDescent="0.25">
      <c r="A77" s="1801"/>
      <c r="B77" s="1798"/>
      <c r="C77" s="1794"/>
      <c r="D77" s="1799" t="s">
        <v>2012</v>
      </c>
      <c r="E77" s="1796"/>
      <c r="F77" s="1802">
        <f>(F14-F76)</f>
        <v>2320948</v>
      </c>
      <c r="G77" s="870"/>
    </row>
    <row r="78" spans="1:8" s="894" customFormat="1" ht="12" customHeight="1" thickTop="1" x14ac:dyDescent="0.2">
      <c r="A78" s="1803"/>
      <c r="B78" s="1798"/>
      <c r="C78" s="1794"/>
      <c r="D78" s="1799" t="s">
        <v>2059</v>
      </c>
      <c r="E78" s="1796"/>
      <c r="F78" s="899">
        <v>285.18</v>
      </c>
      <c r="G78" s="900"/>
      <c r="H78" s="870"/>
    </row>
    <row r="79" spans="1:8" s="894" customFormat="1" ht="12" customHeight="1" thickBot="1" x14ac:dyDescent="0.25">
      <c r="A79" s="1804"/>
      <c r="B79" s="1798"/>
      <c r="C79" s="1794"/>
      <c r="D79" s="1799" t="s">
        <v>2013</v>
      </c>
      <c r="E79" s="1796" t="s">
        <v>1015</v>
      </c>
      <c r="F79" s="1805">
        <f>IF(F78&gt;0,F77/F78," Complete Line 78")</f>
        <v>8138.5370643102597</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50804</v>
      </c>
      <c r="G94" s="913"/>
    </row>
    <row r="95" spans="1:7" x14ac:dyDescent="0.2">
      <c r="A95" s="909" t="s">
        <v>142</v>
      </c>
      <c r="B95" s="909" t="s">
        <v>177</v>
      </c>
      <c r="C95" s="911">
        <v>1700</v>
      </c>
      <c r="D95" s="919" t="str">
        <f>'Revenues 9-14'!A82</f>
        <v>Total District/School Activity Income</v>
      </c>
      <c r="E95" s="907"/>
      <c r="F95" s="1811">
        <f>SUM('Revenues 9-14'!C82,'Revenues 9-14'!D82)</f>
        <v>5192</v>
      </c>
      <c r="G95" s="913"/>
    </row>
    <row r="96" spans="1:7" x14ac:dyDescent="0.2">
      <c r="A96" s="909" t="s">
        <v>479</v>
      </c>
      <c r="B96" s="909" t="s">
        <v>178</v>
      </c>
      <c r="C96" s="911">
        <f>'Revenues 9-14'!B84</f>
        <v>1811</v>
      </c>
      <c r="D96" s="912" t="str">
        <f>'Revenues 9-14'!A84</f>
        <v>Rentals - Regular Textbooks</v>
      </c>
      <c r="E96" s="907"/>
      <c r="F96" s="1811">
        <f>'Revenues 9-14'!C84</f>
        <v>14562</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3500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40537</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348</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85122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30097</v>
      </c>
      <c r="G129" s="931"/>
    </row>
    <row r="130" spans="1:7" x14ac:dyDescent="0.2">
      <c r="A130" s="928" t="s">
        <v>689</v>
      </c>
      <c r="B130" s="928" t="s">
        <v>804</v>
      </c>
      <c r="C130" s="933">
        <v>4300</v>
      </c>
      <c r="D130" s="934" t="str">
        <f>'Revenues 9-14'!A211</f>
        <v>Total Title I</v>
      </c>
      <c r="E130" s="907"/>
      <c r="F130" s="1811">
        <f>SUM('Revenues 9-14'!C211,'Revenues 9-14'!D211,'Revenues 9-14'!F211,'Revenues 9-14'!G211)</f>
        <v>43494</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6000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13404</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5674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12597</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v>54934</v>
      </c>
      <c r="G175" s="928"/>
    </row>
    <row r="176" spans="1:7" x14ac:dyDescent="0.2">
      <c r="A176" s="1944" t="s">
        <v>685</v>
      </c>
      <c r="B176" s="1945" t="s">
        <v>2058</v>
      </c>
      <c r="C176" s="1946">
        <v>3300</v>
      </c>
      <c r="D176" s="1947" t="s">
        <v>2062</v>
      </c>
      <c r="E176" s="907"/>
      <c r="F176" s="1931">
        <v>0</v>
      </c>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366265</v>
      </c>
    </row>
    <row r="179" spans="1:7" ht="12" customHeight="1" x14ac:dyDescent="0.2">
      <c r="A179" s="1792"/>
      <c r="B179" s="1806"/>
      <c r="C179" s="1807"/>
      <c r="D179" s="1808" t="s">
        <v>2015</v>
      </c>
      <c r="E179" s="1809"/>
      <c r="F179" s="1811">
        <f>'PCTC-OEPP 27-28'!F77-F178</f>
        <v>1954683</v>
      </c>
    </row>
    <row r="180" spans="1:7" ht="12" customHeight="1" x14ac:dyDescent="0.2">
      <c r="A180" s="1792"/>
      <c r="B180" s="1806"/>
      <c r="C180" s="1807"/>
      <c r="D180" s="1808" t="s">
        <v>1924</v>
      </c>
      <c r="E180" s="1809"/>
      <c r="F180" s="1811">
        <f>'Cap Outlay Deprec 26'!I18</f>
        <v>112425</v>
      </c>
    </row>
    <row r="181" spans="1:7" ht="12" customHeight="1" x14ac:dyDescent="0.2">
      <c r="A181" s="1792"/>
      <c r="B181" s="1806"/>
      <c r="C181" s="1807"/>
      <c r="D181" s="1808" t="s">
        <v>2016</v>
      </c>
      <c r="E181" s="1809"/>
      <c r="F181" s="1811">
        <f>F179+F180</f>
        <v>2067108</v>
      </c>
    </row>
    <row r="182" spans="1:7" ht="12" customHeight="1" x14ac:dyDescent="0.2">
      <c r="A182" s="1792"/>
      <c r="B182" s="1812"/>
      <c r="C182" s="1807"/>
      <c r="D182" s="1808" t="str">
        <f>D78</f>
        <v>9 Month ADA from District Average Daily Attendance/Prior General State Aid Inquiry 2017-2018</v>
      </c>
      <c r="E182" s="1809"/>
      <c r="F182" s="1813">
        <f>'PCTC-OEPP 27-28'!F78</f>
        <v>285.18</v>
      </c>
      <c r="G182" s="931"/>
    </row>
    <row r="183" spans="1:7" ht="12" customHeight="1" thickBot="1" x14ac:dyDescent="0.25">
      <c r="A183" s="1792"/>
      <c r="B183" s="1812"/>
      <c r="C183" s="1807"/>
      <c r="D183" s="1808" t="s">
        <v>2017</v>
      </c>
      <c r="E183" s="1809" t="s">
        <v>1626</v>
      </c>
      <c r="F183" s="1814">
        <f>F181/F182</f>
        <v>7248.4325689038496</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7" sqref="D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9" t="s">
        <v>1925</v>
      </c>
      <c r="B4" s="2290"/>
      <c r="C4" s="2290"/>
      <c r="D4" s="2290"/>
      <c r="E4" s="2290"/>
      <c r="F4" s="2290"/>
      <c r="G4" s="2291"/>
    </row>
    <row r="5" spans="1:7" x14ac:dyDescent="0.25">
      <c r="A5" s="2292"/>
      <c r="B5" s="2293"/>
      <c r="C5" s="2293"/>
      <c r="D5" s="2293"/>
      <c r="E5" s="2293"/>
      <c r="F5" s="2293"/>
      <c r="G5" s="2294"/>
    </row>
    <row r="6" spans="1:7" ht="18.75" x14ac:dyDescent="0.25">
      <c r="A6" s="1556" t="s">
        <v>1926</v>
      </c>
      <c r="B6" s="1557"/>
      <c r="C6" s="1557"/>
      <c r="D6" s="1557"/>
      <c r="E6" s="1557"/>
      <c r="F6" s="1557"/>
      <c r="G6" s="1558"/>
    </row>
    <row r="7" spans="1:7" ht="30.75" customHeight="1" x14ac:dyDescent="0.25">
      <c r="A7" s="2295" t="s">
        <v>2075</v>
      </c>
      <c r="B7" s="2296"/>
      <c r="C7" s="2296"/>
      <c r="D7" s="2296"/>
      <c r="E7" s="2296"/>
      <c r="F7" s="2296"/>
      <c r="G7" s="2297"/>
    </row>
    <row r="8" spans="1:7" ht="15.75" customHeight="1" x14ac:dyDescent="0.25">
      <c r="A8" s="2298" t="s">
        <v>2024</v>
      </c>
      <c r="B8" s="2299"/>
      <c r="C8" s="2299"/>
      <c r="D8" s="2299"/>
      <c r="E8" s="2299"/>
      <c r="F8" s="2299"/>
      <c r="G8" s="2300"/>
    </row>
    <row r="9" spans="1:7" ht="35.25" customHeight="1" x14ac:dyDescent="0.25">
      <c r="A9" s="2295" t="s">
        <v>2023</v>
      </c>
      <c r="B9" s="2296"/>
      <c r="C9" s="2296"/>
      <c r="D9" s="2296"/>
      <c r="E9" s="2296"/>
      <c r="F9" s="2296"/>
      <c r="G9" s="2297"/>
    </row>
    <row r="10" spans="1:7" ht="15" customHeight="1" x14ac:dyDescent="0.25">
      <c r="A10" s="1559" t="s">
        <v>1927</v>
      </c>
      <c r="B10" s="1560"/>
      <c r="C10" s="1560"/>
      <c r="D10" s="1560"/>
      <c r="E10" s="1560"/>
      <c r="F10" s="1560"/>
      <c r="G10" s="1561"/>
    </row>
    <row r="11" spans="1:7" ht="17.25" customHeight="1" x14ac:dyDescent="0.25">
      <c r="A11" s="2295" t="s">
        <v>1941</v>
      </c>
      <c r="B11" s="2296"/>
      <c r="C11" s="2296"/>
      <c r="D11" s="2296"/>
      <c r="E11" s="2296"/>
      <c r="F11" s="2296"/>
      <c r="G11" s="2297"/>
    </row>
    <row r="12" spans="1:7" ht="15" customHeight="1" x14ac:dyDescent="0.25">
      <c r="A12" s="1559" t="s">
        <v>1932</v>
      </c>
      <c r="B12" s="1560"/>
      <c r="C12" s="1560"/>
      <c r="D12" s="1560"/>
      <c r="E12" s="1560"/>
      <c r="F12" s="1560"/>
      <c r="G12" s="1561"/>
    </row>
    <row r="13" spans="1:7" ht="32.25" customHeight="1" x14ac:dyDescent="0.25">
      <c r="A13" s="2286" t="s">
        <v>1933</v>
      </c>
      <c r="B13" s="2287"/>
      <c r="C13" s="2287"/>
      <c r="D13" s="2287"/>
      <c r="E13" s="2287"/>
      <c r="F13" s="2287"/>
      <c r="G13" s="2288"/>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2122</v>
      </c>
      <c r="B17" s="1958" t="s">
        <v>2123</v>
      </c>
      <c r="C17" s="1959" t="s">
        <v>2124</v>
      </c>
      <c r="D17" s="1867">
        <v>131210</v>
      </c>
      <c r="E17" s="1562">
        <f t="shared" ref="E17:E141" si="1">IF(D17&lt;=25000,D17,IF(D17&gt;25000,25000,0))</f>
        <v>25000</v>
      </c>
      <c r="F17" s="1815">
        <f t="shared" si="0"/>
        <v>25000</v>
      </c>
      <c r="G17" s="1816">
        <f>IF(F17=0,0,D17-F17)</f>
        <v>106210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131210</v>
      </c>
      <c r="E141" s="1563">
        <f t="shared" si="1"/>
        <v>25000</v>
      </c>
      <c r="F141" s="1817">
        <f>SUM(F17:F140)</f>
        <v>25000</v>
      </c>
      <c r="G141" s="1818">
        <f>SUM(G17:G140)</f>
        <v>106210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0</v>
      </c>
      <c r="F10" s="975"/>
      <c r="G10" s="976"/>
      <c r="H10" s="162"/>
      <c r="I10" s="162"/>
    </row>
    <row r="11" spans="1:9" s="669" customFormat="1" ht="22.5" customHeight="1" x14ac:dyDescent="0.2">
      <c r="A11" s="2306" t="s">
        <v>1945</v>
      </c>
      <c r="B11" s="2307"/>
      <c r="C11" s="2307"/>
      <c r="D11" s="2308"/>
      <c r="E11" s="978">
        <v>14572</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1331166</v>
      </c>
      <c r="F19" s="1822"/>
      <c r="G19" s="1824">
        <f>'Expenditures 15-22'!K33-SUM('Expenditures 15-22'!G33,'Expenditures 15-22'!I33)+'Expenditures 15-22'!D229</f>
        <v>1331166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56003</v>
      </c>
      <c r="F22" s="1825"/>
      <c r="G22" s="1828">
        <f>'Expenditures 15-22'!K47-SUM('Expenditures 15-22'!G47,'Expenditures 15-22'!I47)+'Expenditures 15-22'!D243</f>
        <v>56003</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423309</v>
      </c>
      <c r="F23" s="1825"/>
      <c r="G23" s="1827">
        <f>'Expenditures 15-22'!K53-SUM('Expenditures 15-22'!G53,'Expenditures 15-22'!I53)+'Expenditures 15-22'!D257+'Expenditures 15-22'!K330-SUM('Expenditures 15-22'!G330,'Expenditures 15-22'!I330)</f>
        <v>423309</v>
      </c>
      <c r="H23" s="988"/>
      <c r="I23" s="162"/>
    </row>
    <row r="24" spans="1:9" s="669" customFormat="1" ht="12" customHeight="1" x14ac:dyDescent="0.2">
      <c r="A24" s="995" t="s">
        <v>587</v>
      </c>
      <c r="B24" s="996"/>
      <c r="C24" s="994">
        <v>2400</v>
      </c>
      <c r="D24" s="1825"/>
      <c r="E24" s="1827">
        <f>'Expenditures 15-22'!K57-SUM('Expenditures 15-22'!G57,'Expenditures 15-22'!I57)+'Expenditures 15-22'!D261</f>
        <v>65615</v>
      </c>
      <c r="F24" s="1825"/>
      <c r="G24" s="1828">
        <f>'Expenditures 15-22'!K57-SUM('Expenditures 15-22'!G57,'Expenditures 15-22'!I57)+'Expenditures 15-22'!D261</f>
        <v>65615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51230</v>
      </c>
      <c r="E27" s="1827">
        <f>E8</f>
        <v>0</v>
      </c>
      <c r="F27" s="1827">
        <f>'Expenditures 15-22'!K60-SUM('Expenditures 15-22'!G60,'Expenditures 15-22'!I60)+'Expenditures 15-22'!D264-E8</f>
        <v>51230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158103</v>
      </c>
      <c r="F28" s="1829">
        <f>'Expenditures 15-22'!K61-SUM('Expenditures 15-22'!G61,'Expenditures 15-22'!I61)+'Expenditures 15-22'!K124-SUM('Expenditures 15-22'!G124,'Expenditures 15-22'!I124)+'Expenditures 15-22'!D266-E9</f>
        <v>158103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140374</v>
      </c>
      <c r="F29" s="1825"/>
      <c r="G29" s="1828">
        <f>'Expenditures 15-22'!K62-SUM('Expenditures 15-22'!G62,'Expenditures 15-22'!I62)+'Expenditures 15-22'!K125-SUM('Expenditures 15-22'!G125,'Expenditures 15-22'!I125)+'Expenditures 15-22'!K182-SUM('Expenditures 15-22'!G182,'Expenditures 15-22'!I182)+'Expenditures 15-22'!D267</f>
        <v>140374</v>
      </c>
      <c r="H29" s="986"/>
    </row>
    <row r="30" spans="1:9" ht="12" customHeight="1" x14ac:dyDescent="0.2">
      <c r="A30" s="995" t="s">
        <v>102</v>
      </c>
      <c r="B30" s="998"/>
      <c r="C30" s="994">
        <v>2560</v>
      </c>
      <c r="D30" s="1825"/>
      <c r="E30" s="1827">
        <f>'Expenditures 15-22'!K63-SUM('Expenditures 15-22'!G63,'Expenditures 15-22'!I63)+'Expenditures 15-22'!D268-E10</f>
        <v>86809</v>
      </c>
      <c r="F30" s="1825"/>
      <c r="G30" s="1827">
        <f>'Expenditures 15-22'!K63-SUM('Expenditures 15-22'!G63,'Expenditures 15-22'!I63)+'Expenditures 15-22'!D268-E10</f>
        <v>86809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-106210</v>
      </c>
      <c r="F40" s="1825"/>
      <c r="G40" s="1829">
        <f>-'Contracts Paid in CY 29'!G141</f>
        <v>-106210</v>
      </c>
    </row>
    <row r="41" spans="1:7" ht="12" customHeight="1" x14ac:dyDescent="0.2">
      <c r="A41" s="999" t="s">
        <v>158</v>
      </c>
      <c r="B41" s="1000"/>
      <c r="C41" s="1001"/>
      <c r="D41" s="1829">
        <f>SUM(D19:D39)</f>
        <v>51230</v>
      </c>
      <c r="E41" s="1829">
        <f>SUM(E19:E40)</f>
        <v>2155169</v>
      </c>
      <c r="F41" s="1829">
        <f>SUM(F19:F39)</f>
        <v>209333</v>
      </c>
      <c r="G41" s="1829">
        <f>SUM(G19:G40)</f>
        <v>1997066</v>
      </c>
    </row>
    <row r="42" spans="1:7" x14ac:dyDescent="0.2">
      <c r="A42" s="988"/>
      <c r="B42" s="162"/>
      <c r="C42" s="1002"/>
      <c r="D42" s="2304" t="s">
        <v>543</v>
      </c>
      <c r="E42" s="2305"/>
      <c r="F42" s="1003" t="s">
        <v>544</v>
      </c>
      <c r="G42" s="1004"/>
    </row>
    <row r="43" spans="1:7" ht="12" customHeight="1" x14ac:dyDescent="0.2">
      <c r="A43" s="988"/>
      <c r="B43" s="162"/>
      <c r="C43" s="1002"/>
      <c r="D43" s="1830" t="s">
        <v>493</v>
      </c>
      <c r="E43" s="1831">
        <f>D41</f>
        <v>51230</v>
      </c>
      <c r="F43" s="1830" t="s">
        <v>495</v>
      </c>
      <c r="G43" s="1831">
        <f>F41</f>
        <v>209333</v>
      </c>
    </row>
    <row r="44" spans="1:7" ht="12" customHeight="1" x14ac:dyDescent="0.2">
      <c r="A44" s="988"/>
      <c r="B44" s="162"/>
      <c r="C44" s="1002"/>
      <c r="D44" s="1830" t="s">
        <v>494</v>
      </c>
      <c r="E44" s="1831">
        <f>E41</f>
        <v>2155169</v>
      </c>
      <c r="F44" s="1830" t="s">
        <v>494</v>
      </c>
      <c r="G44" s="1831">
        <f>G41</f>
        <v>1997066</v>
      </c>
    </row>
    <row r="45" spans="1:7" ht="12" customHeight="1" x14ac:dyDescent="0.2">
      <c r="A45" s="988"/>
      <c r="B45" s="162"/>
      <c r="C45" s="162"/>
      <c r="D45" s="1832" t="s">
        <v>1063</v>
      </c>
      <c r="E45" s="1833">
        <f>(E43/E44)</f>
        <v>2.3770757652880121E-2</v>
      </c>
      <c r="F45" s="1832" t="s">
        <v>1063</v>
      </c>
      <c r="G45" s="1833">
        <f>(G43/G44)</f>
        <v>0.10482027133805293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12" sqref="F12"/>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3" t="s">
        <v>1446</v>
      </c>
      <c r="B1" s="2323"/>
      <c r="C1" s="2323"/>
      <c r="D1" s="2323"/>
      <c r="E1" s="2323"/>
      <c r="F1" s="2323"/>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4" t="s">
        <v>1627</v>
      </c>
      <c r="B5" s="2325"/>
      <c r="C5" s="2326"/>
      <c r="D5" s="2326"/>
      <c r="E5" s="2326"/>
      <c r="F5" s="2326"/>
    </row>
    <row r="6" spans="1:10" ht="12" customHeight="1" x14ac:dyDescent="0.25">
      <c r="A6" s="1875"/>
      <c r="B6" s="1876"/>
      <c r="C6" s="2327" t="str">
        <f>COVER!A17</f>
        <v>Monroe Grade School, District No. 70</v>
      </c>
      <c r="D6" s="2327"/>
      <c r="E6" s="2327"/>
      <c r="F6" s="1877"/>
    </row>
    <row r="7" spans="1:10" ht="11.25" customHeight="1" thickBot="1" x14ac:dyDescent="0.3">
      <c r="A7" s="1875"/>
      <c r="B7" s="1876"/>
      <c r="C7" s="2328">
        <f>COVER!A13</f>
        <v>48072070002</v>
      </c>
      <c r="D7" s="2328"/>
      <c r="E7" s="2328"/>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t="s">
        <v>2090</v>
      </c>
      <c r="D16" s="1890" t="s">
        <v>2090</v>
      </c>
      <c r="E16" s="1893"/>
      <c r="F16" s="1892" t="s">
        <v>2097</v>
      </c>
      <c r="H16" s="1903">
        <f t="shared" si="0"/>
        <v>5</v>
      </c>
      <c r="I16" s="1903">
        <f t="shared" si="1"/>
        <v>5</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2090</v>
      </c>
      <c r="D19" s="1890" t="s">
        <v>2090</v>
      </c>
      <c r="E19" s="1893"/>
      <c r="F19" s="1892" t="s">
        <v>2098</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t="s">
        <v>2090</v>
      </c>
      <c r="D21" s="1890" t="s">
        <v>2090</v>
      </c>
      <c r="E21" s="1893"/>
      <c r="F21" s="1892" t="s">
        <v>2097</v>
      </c>
      <c r="H21" s="1903">
        <f t="shared" si="0"/>
        <v>5</v>
      </c>
      <c r="I21" s="1903">
        <f t="shared" si="1"/>
        <v>5</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2090</v>
      </c>
      <c r="D26" s="1890" t="s">
        <v>2090</v>
      </c>
      <c r="E26" s="1893"/>
      <c r="F26" s="1892" t="s">
        <v>2121</v>
      </c>
      <c r="H26" s="1903">
        <f t="shared" si="0"/>
        <v>5</v>
      </c>
      <c r="I26" s="1903">
        <f t="shared" si="1"/>
        <v>5</v>
      </c>
      <c r="J26" s="1903">
        <f t="shared" si="2"/>
        <v>0</v>
      </c>
    </row>
    <row r="27" spans="1:12" ht="18.75" x14ac:dyDescent="0.2">
      <c r="A27" s="1888" t="s">
        <v>1616</v>
      </c>
      <c r="B27" s="1889"/>
      <c r="C27" s="1890" t="s">
        <v>2090</v>
      </c>
      <c r="D27" s="1890" t="s">
        <v>2090</v>
      </c>
      <c r="E27" s="1893"/>
      <c r="F27" s="1892" t="s">
        <v>2097</v>
      </c>
      <c r="H27" s="1903">
        <f t="shared" si="0"/>
        <v>5</v>
      </c>
      <c r="I27" s="1903">
        <f t="shared" si="1"/>
        <v>5</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2090</v>
      </c>
      <c r="D30" s="1890" t="s">
        <v>2090</v>
      </c>
      <c r="E30" s="1893"/>
      <c r="F30" s="1892" t="s">
        <v>2097</v>
      </c>
      <c r="H30" s="1903">
        <f t="shared" si="0"/>
        <v>5</v>
      </c>
      <c r="I30" s="1903">
        <f t="shared" si="1"/>
        <v>5</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t="s">
        <v>2090</v>
      </c>
      <c r="D32" s="1890" t="s">
        <v>2090</v>
      </c>
      <c r="E32" s="1893"/>
      <c r="F32" s="1892" t="s">
        <v>2097</v>
      </c>
      <c r="H32" s="1903">
        <f t="shared" si="0"/>
        <v>5</v>
      </c>
      <c r="I32" s="1903">
        <f t="shared" si="1"/>
        <v>5</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35</v>
      </c>
      <c r="J34" s="1903">
        <f>SUM(J11:J32)</f>
        <v>0</v>
      </c>
      <c r="K34" s="1903">
        <f>SUM(H34:J34)</f>
        <v>70</v>
      </c>
    </row>
    <row r="35" spans="1:11" ht="12" customHeight="1" x14ac:dyDescent="0.2">
      <c r="A35" s="1896" t="s">
        <v>1459</v>
      </c>
      <c r="B35" s="1897"/>
      <c r="C35" s="2329"/>
      <c r="D35" s="2329"/>
      <c r="E35" s="2329"/>
      <c r="F35" s="2330"/>
    </row>
    <row r="36" spans="1:11" ht="12" customHeight="1" x14ac:dyDescent="0.2">
      <c r="A36" s="2312" t="s">
        <v>2099</v>
      </c>
      <c r="B36" s="2313"/>
      <c r="C36" s="2313"/>
      <c r="D36" s="2313"/>
      <c r="E36" s="2313"/>
      <c r="F36" s="2314"/>
    </row>
    <row r="37" spans="1:11" ht="12" customHeight="1" x14ac:dyDescent="0.2">
      <c r="A37" s="2312" t="s">
        <v>2100</v>
      </c>
      <c r="B37" s="2313"/>
      <c r="C37" s="2313"/>
      <c r="D37" s="2313"/>
      <c r="E37" s="2313"/>
      <c r="F37" s="2314"/>
    </row>
    <row r="38" spans="1:11" ht="12" customHeight="1" x14ac:dyDescent="0.2">
      <c r="A38" s="2315"/>
      <c r="B38" s="2316"/>
      <c r="C38" s="2316"/>
      <c r="D38" s="2316"/>
      <c r="E38" s="2316"/>
      <c r="F38" s="2317"/>
    </row>
    <row r="39" spans="1:11" ht="4.5" hidden="1" customHeight="1" x14ac:dyDescent="0.2">
      <c r="A39" s="1898"/>
      <c r="B39" s="1898"/>
      <c r="C39" s="1898"/>
      <c r="D39" s="1898"/>
      <c r="E39" s="1898"/>
      <c r="F39" s="1898"/>
    </row>
    <row r="40" spans="1:11" s="1895" customFormat="1" ht="12" customHeight="1" x14ac:dyDescent="0.25">
      <c r="A40" s="1899" t="s">
        <v>1458</v>
      </c>
      <c r="B40" s="1900"/>
      <c r="C40" s="2318"/>
      <c r="D40" s="2318"/>
      <c r="E40" s="2318"/>
      <c r="F40" s="2319"/>
      <c r="H40" s="1904"/>
      <c r="I40" s="1904"/>
      <c r="J40" s="1904"/>
      <c r="K40" s="1904"/>
    </row>
    <row r="41" spans="1:11" s="1895" customFormat="1" ht="12" customHeight="1" x14ac:dyDescent="0.25">
      <c r="A41" s="2320"/>
      <c r="B41" s="2321"/>
      <c r="C41" s="2321"/>
      <c r="D41" s="2321"/>
      <c r="E41" s="2321"/>
      <c r="F41" s="2322"/>
      <c r="H41" s="1904"/>
      <c r="I41" s="1904"/>
      <c r="J41" s="1904"/>
      <c r="K41" s="1904"/>
    </row>
    <row r="42" spans="1:11" s="1895" customFormat="1" ht="12" customHeight="1" x14ac:dyDescent="0.25">
      <c r="A42" s="2320"/>
      <c r="B42" s="2321"/>
      <c r="C42" s="2321"/>
      <c r="D42" s="2321"/>
      <c r="E42" s="2321"/>
      <c r="F42" s="2322"/>
      <c r="H42" s="1904"/>
      <c r="I42" s="1904"/>
      <c r="J42" s="1904"/>
      <c r="K42" s="1904"/>
    </row>
    <row r="43" spans="1:11" s="1895" customFormat="1" ht="15" x14ac:dyDescent="0.25">
      <c r="A43" s="2309"/>
      <c r="B43" s="2310"/>
      <c r="C43" s="2310"/>
      <c r="D43" s="2310"/>
      <c r="E43" s="2310"/>
      <c r="F43" s="2311"/>
      <c r="H43" s="1904"/>
      <c r="I43" s="1904"/>
      <c r="J43" s="1904"/>
      <c r="K43" s="1904"/>
    </row>
    <row r="44" spans="1:11" s="1895" customFormat="1" ht="12" hidden="1" customHeight="1" x14ac:dyDescent="0.25">
      <c r="A44" s="2309"/>
      <c r="B44" s="2310"/>
      <c r="C44" s="2310"/>
      <c r="D44" s="2310"/>
      <c r="E44" s="2310"/>
      <c r="F44" s="231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Header>&amp;L&amp;8Page 31&amp;R&amp;8Page 31</oddHead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9" sqref="I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6" t="str">
        <f>COVER!A17</f>
        <v>Monroe Grade School, District No. 70</v>
      </c>
      <c r="J6" s="2337"/>
      <c r="Q6" s="1686"/>
    </row>
    <row r="7" spans="1:17" x14ac:dyDescent="0.2">
      <c r="A7" s="2338" t="s">
        <v>924</v>
      </c>
      <c r="B7" s="2339"/>
      <c r="C7" s="2339"/>
      <c r="D7" s="2339"/>
      <c r="E7" s="2340"/>
      <c r="F7" s="1018"/>
      <c r="G7" s="1010"/>
      <c r="H7" s="1017" t="s">
        <v>390</v>
      </c>
      <c r="I7" s="2341">
        <f>COVER!A13</f>
        <v>48072070002</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148654</v>
      </c>
      <c r="F12" s="1040"/>
      <c r="G12" s="1834">
        <f t="shared" ref="G12:G18" si="0">SUM(E12:F12)</f>
        <v>148654</v>
      </c>
      <c r="H12" s="1041">
        <v>148817</v>
      </c>
      <c r="I12" s="1040"/>
      <c r="J12" s="1834">
        <f t="shared" ref="J12:J18" si="1">SUM(H12:I12)</f>
        <v>148817</v>
      </c>
    </row>
    <row r="13" spans="1:17" ht="15" customHeight="1" x14ac:dyDescent="0.2">
      <c r="A13" s="1036">
        <v>2</v>
      </c>
      <c r="B13" s="1037" t="s">
        <v>44</v>
      </c>
      <c r="C13" s="1038"/>
      <c r="D13" s="1039">
        <v>2330</v>
      </c>
      <c r="E13" s="1834">
        <f>'Expenditures 15-22'!K51</f>
        <v>0</v>
      </c>
      <c r="F13" s="1040"/>
      <c r="G13" s="1834">
        <f t="shared" si="0"/>
        <v>0</v>
      </c>
      <c r="H13" s="1041">
        <v>0</v>
      </c>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v>0</v>
      </c>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v>0</v>
      </c>
      <c r="I15" s="1041">
        <v>0</v>
      </c>
      <c r="J15" s="1834">
        <f t="shared" si="1"/>
        <v>0</v>
      </c>
    </row>
    <row r="16" spans="1:17" ht="15" customHeight="1" x14ac:dyDescent="0.2">
      <c r="A16" s="1036">
        <v>5</v>
      </c>
      <c r="B16" s="1037" t="s">
        <v>103</v>
      </c>
      <c r="C16" s="1038"/>
      <c r="D16" s="1039">
        <v>2570</v>
      </c>
      <c r="E16" s="1834">
        <f>'Expenditures 15-22'!K64</f>
        <v>0</v>
      </c>
      <c r="F16" s="1040"/>
      <c r="G16" s="1834">
        <f t="shared" si="0"/>
        <v>0</v>
      </c>
      <c r="H16" s="1041">
        <v>0</v>
      </c>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v>0</v>
      </c>
      <c r="I17" s="1040"/>
      <c r="J17" s="1834">
        <f t="shared" si="1"/>
        <v>0</v>
      </c>
    </row>
    <row r="18" spans="1:10" ht="22.5" customHeight="1" x14ac:dyDescent="0.2">
      <c r="A18" s="1043">
        <v>7</v>
      </c>
      <c r="B18" s="2345" t="s">
        <v>7</v>
      </c>
      <c r="C18" s="2346"/>
      <c r="D18" s="2347"/>
      <c r="E18" s="1044">
        <v>0</v>
      </c>
      <c r="F18" s="1044">
        <v>0</v>
      </c>
      <c r="G18" s="1835">
        <f t="shared" si="0"/>
        <v>0</v>
      </c>
      <c r="H18" s="1041">
        <v>0</v>
      </c>
      <c r="I18" s="1041">
        <v>0</v>
      </c>
      <c r="J18" s="1834">
        <f t="shared" si="1"/>
        <v>0</v>
      </c>
    </row>
    <row r="19" spans="1:10" ht="12.75" customHeight="1" thickBot="1" x14ac:dyDescent="0.25">
      <c r="A19" s="1036">
        <v>8</v>
      </c>
      <c r="B19" s="1045" t="s">
        <v>1223</v>
      </c>
      <c r="D19" s="1046"/>
      <c r="E19" s="1836">
        <f t="shared" ref="E19:J19" si="2">SUM(E12:E17)-E18</f>
        <v>148654</v>
      </c>
      <c r="F19" s="1836">
        <f t="shared" si="2"/>
        <v>0</v>
      </c>
      <c r="G19" s="1836">
        <f t="shared" si="2"/>
        <v>148654</v>
      </c>
      <c r="H19" s="1836">
        <f t="shared" si="2"/>
        <v>148817</v>
      </c>
      <c r="I19" s="1836">
        <f t="shared" si="2"/>
        <v>0</v>
      </c>
      <c r="J19" s="1836">
        <f t="shared" si="2"/>
        <v>148817</v>
      </c>
    </row>
    <row r="20" spans="1:10" ht="13.5" thickTop="1" x14ac:dyDescent="0.2">
      <c r="A20" s="1036">
        <v>9</v>
      </c>
      <c r="B20" s="2348" t="s">
        <v>1703</v>
      </c>
      <c r="C20" s="2348"/>
      <c r="D20" s="2349"/>
      <c r="E20" s="1047"/>
      <c r="F20" s="1047"/>
      <c r="G20" s="1047"/>
      <c r="H20" s="1047"/>
      <c r="I20" s="1047"/>
      <c r="J20" s="1837">
        <f>IF(AND(G19&gt;0,J19&gt;0),(((J19-G19)/G19)),"Enter Budget Data")</f>
        <v>1.0965059803301628E-3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1944</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2101</v>
      </c>
    </row>
    <row r="6" spans="1:2" x14ac:dyDescent="0.2">
      <c r="A6" s="1069"/>
      <c r="B6" s="329" t="s">
        <v>2102</v>
      </c>
    </row>
    <row r="7" spans="1:2" x14ac:dyDescent="0.2">
      <c r="A7" s="1069">
        <v>2</v>
      </c>
      <c r="B7" s="329" t="s">
        <v>2103</v>
      </c>
    </row>
    <row r="8" spans="1:2" x14ac:dyDescent="0.2">
      <c r="A8" s="1069"/>
      <c r="B8" s="329" t="s">
        <v>2104</v>
      </c>
    </row>
    <row r="9" spans="1:2" x14ac:dyDescent="0.2">
      <c r="A9" s="1069">
        <v>3</v>
      </c>
      <c r="B9" s="329" t="s">
        <v>2105</v>
      </c>
    </row>
    <row r="10" spans="1:2" x14ac:dyDescent="0.2">
      <c r="A10" s="1069">
        <v>4</v>
      </c>
      <c r="B10" s="329" t="s">
        <v>2125</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Monroe Grade School, District No. 70</v>
      </c>
    </row>
    <row r="65" spans="2:2" x14ac:dyDescent="0.2">
      <c r="B65" s="1071">
        <f>COVER!A13</f>
        <v>48072070002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25"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2056</v>
      </c>
      <c r="B4" s="2376"/>
      <c r="C4" s="2376"/>
      <c r="D4" s="2376"/>
      <c r="E4" s="2376"/>
      <c r="F4" s="2377"/>
      <c r="G4" s="1075"/>
      <c r="H4" s="1075"/>
    </row>
    <row r="5" spans="1:8" ht="14.25" customHeight="1" x14ac:dyDescent="0.2">
      <c r="A5" s="2378" t="s">
        <v>2057</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1994327</v>
      </c>
      <c r="C8" s="1838">
        <f>'Acct Summary 7-8'!D8</f>
        <v>184166</v>
      </c>
      <c r="D8" s="1838">
        <f>'Acct Summary 7-8'!F8</f>
        <v>175480</v>
      </c>
      <c r="E8" s="1838">
        <f>'Acct Summary 7-8'!I8</f>
        <v>27943</v>
      </c>
      <c r="F8" s="1838">
        <f>SUM(B8:E8)</f>
        <v>2381916</v>
      </c>
    </row>
    <row r="9" spans="1:8" s="1080" customFormat="1" ht="14.25" customHeight="1" thickBot="1" x14ac:dyDescent="0.25">
      <c r="A9" s="1079" t="s">
        <v>1436</v>
      </c>
      <c r="B9" s="1839">
        <f>'Acct Summary 7-8'!C17</f>
        <v>1990387</v>
      </c>
      <c r="C9" s="1839">
        <f>'Acct Summary 7-8'!D17</f>
        <v>140833</v>
      </c>
      <c r="D9" s="1839">
        <f>'Acct Summary 7-8'!F17</f>
        <v>140374</v>
      </c>
      <c r="E9" s="1838"/>
      <c r="F9" s="1838">
        <f>SUM(B9:E9)</f>
        <v>2271594</v>
      </c>
    </row>
    <row r="10" spans="1:8" s="1080" customFormat="1" ht="14.25" thickTop="1" thickBot="1" x14ac:dyDescent="0.25">
      <c r="A10" s="1081" t="s">
        <v>1437</v>
      </c>
      <c r="B10" s="1840">
        <f>(B8-B9)</f>
        <v>3940</v>
      </c>
      <c r="C10" s="1840">
        <f>(C8-C9)</f>
        <v>43333</v>
      </c>
      <c r="D10" s="1840">
        <f>(D8-D9)</f>
        <v>35106</v>
      </c>
      <c r="E10" s="1839">
        <f>(E8-E9)</f>
        <v>27943</v>
      </c>
      <c r="F10" s="1841">
        <f>SUM(F8-F9)</f>
        <v>110322</v>
      </c>
    </row>
    <row r="11" spans="1:8" s="1080" customFormat="1" ht="14.25" thickTop="1" thickBot="1" x14ac:dyDescent="0.25">
      <c r="A11" s="1082" t="s">
        <v>1785</v>
      </c>
      <c r="B11" s="1842">
        <f>'Acct Summary 7-8'!C81</f>
        <v>1574130</v>
      </c>
      <c r="C11" s="1842">
        <f>'Acct Summary 7-8'!D81</f>
        <v>299064</v>
      </c>
      <c r="D11" s="1842">
        <f>'Acct Summary 7-8'!F81</f>
        <v>323372</v>
      </c>
      <c r="E11" s="1842">
        <f>'Acct Summary 7-8'!I81</f>
        <v>530874</v>
      </c>
      <c r="F11" s="1843">
        <f>SUM(B11:E11)</f>
        <v>2727440</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C68" sqref="C6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ERROR!</v>
      </c>
    </row>
    <row r="69" spans="1:4" x14ac:dyDescent="0.2">
      <c r="A69" s="1101"/>
      <c r="B69" s="1111"/>
      <c r="C69" s="1103" t="s">
        <v>2052</v>
      </c>
      <c r="D69" s="1125" t="str">
        <f>IF('Expenditures 15-22'!H170&lt;&gt;'Short-Term Long-Term Debt 24'!H49,"ERROR!","OK")</f>
        <v>OK</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48072070002</v>
      </c>
    </row>
    <row r="3" spans="1:2" x14ac:dyDescent="0.2">
      <c r="A3" t="s">
        <v>1013</v>
      </c>
      <c r="B3" s="138" t="str">
        <f>COVER!A15</f>
        <v>Peoria</v>
      </c>
    </row>
    <row r="4" spans="1:2" x14ac:dyDescent="0.2">
      <c r="A4" t="s">
        <v>1064</v>
      </c>
      <c r="B4" s="138" t="str">
        <f>COVER!A17</f>
        <v>Monroe Grade School, District No. 70</v>
      </c>
    </row>
    <row r="5" spans="1:2" x14ac:dyDescent="0.2">
      <c r="A5" t="s">
        <v>728</v>
      </c>
      <c r="B5" s="138" t="str">
        <f>COVER!A38</f>
        <v>Darrick Reiley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066-004769</v>
      </c>
    </row>
    <row r="16" spans="1:2" x14ac:dyDescent="0.2">
      <c r="A16" t="s">
        <v>442</v>
      </c>
      <c r="B16" s="138" t="str">
        <f>COVER!T13</f>
        <v>Meister, Hilton, Chitwood &amp;  Associates, Inc.</v>
      </c>
    </row>
    <row r="17" spans="1:2" x14ac:dyDescent="0.2">
      <c r="A17" t="s">
        <v>939</v>
      </c>
      <c r="B17" s="138" t="str">
        <f>COVER!T15</f>
        <v>Ron Hilton</v>
      </c>
    </row>
    <row r="18" spans="1:2" x14ac:dyDescent="0.2">
      <c r="A18" t="s">
        <v>1212</v>
      </c>
      <c r="B18" s="138" t="str">
        <f>COVER!T17</f>
        <v>809 W.  Detweiller Drive, Suite 804</v>
      </c>
    </row>
    <row r="19" spans="1:2" x14ac:dyDescent="0.2">
      <c r="A19" t="s">
        <v>941</v>
      </c>
      <c r="B19" s="138" t="str">
        <f>COVER!T25</f>
        <v>ron.hilton1@comcast.net</v>
      </c>
    </row>
    <row r="20" spans="1:2" x14ac:dyDescent="0.2">
      <c r="A20" t="s">
        <v>942</v>
      </c>
      <c r="B20" s="138" t="str">
        <f>COVER!T19</f>
        <v>Peoria</v>
      </c>
    </row>
    <row r="21" spans="1:2" x14ac:dyDescent="0.2">
      <c r="A21" t="s">
        <v>500</v>
      </c>
      <c r="B21" s="138" t="str">
        <f>COVER!X19</f>
        <v>IL</v>
      </c>
    </row>
    <row r="22" spans="1:2" x14ac:dyDescent="0.2">
      <c r="A22" t="s">
        <v>943</v>
      </c>
      <c r="B22" s="138">
        <f>COVER!Z19</f>
        <v>61615</v>
      </c>
    </row>
    <row r="23" spans="1:2" x14ac:dyDescent="0.2">
      <c r="A23" t="s">
        <v>1214</v>
      </c>
      <c r="B23" s="138" t="str">
        <f>COVER!T21</f>
        <v>(309) 683-0441</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1075633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4153</v>
      </c>
      <c r="D76" s="2" t="str">
        <f t="shared" si="0"/>
        <v>Error?</v>
      </c>
    </row>
    <row r="77" spans="1:4" x14ac:dyDescent="0.2">
      <c r="A77" s="5">
        <v>16</v>
      </c>
      <c r="B77" s="138">
        <f>'Assets-Liab 5-6'!C13</f>
        <v>1574130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1574130</v>
      </c>
      <c r="D92" s="2" t="str">
        <f t="shared" si="0"/>
        <v>Error?</v>
      </c>
    </row>
    <row r="93" spans="1:4" x14ac:dyDescent="0.2">
      <c r="A93" s="5">
        <v>32</v>
      </c>
      <c r="B93" s="138">
        <f>'Assets-Liab 5-6'!C41</f>
        <v>1574130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219068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266</v>
      </c>
      <c r="D108" s="2" t="str">
        <f t="shared" si="0"/>
        <v>Error?</v>
      </c>
    </row>
    <row r="109" spans="1:4" x14ac:dyDescent="0.2">
      <c r="A109" s="5">
        <v>48</v>
      </c>
      <c r="B109" s="138">
        <f>'Assets-Liab 5-6'!D13</f>
        <v>299064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299064</v>
      </c>
      <c r="D123" s="2" t="str">
        <f t="shared" si="0"/>
        <v>Error?</v>
      </c>
    </row>
    <row r="124" spans="1:4" x14ac:dyDescent="0.2">
      <c r="A124" s="5">
        <v>63</v>
      </c>
      <c r="B124" s="138">
        <f>'Assets-Liab 5-6'!D41</f>
        <v>299064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13310</v>
      </c>
      <c r="D129" s="2" t="str">
        <f t="shared" si="1"/>
        <v>Error?</v>
      </c>
    </row>
    <row r="130" spans="1:4" x14ac:dyDescent="0.2">
      <c r="A130" s="5">
        <v>69</v>
      </c>
      <c r="B130" s="138">
        <f>'Assets-Liab 5-6'!E12</f>
        <v>0</v>
      </c>
      <c r="D130" s="2" t="str">
        <f t="shared" si="1"/>
        <v>Error?</v>
      </c>
    </row>
    <row r="131" spans="1:4" x14ac:dyDescent="0.2">
      <c r="A131" s="5">
        <v>70</v>
      </c>
      <c r="B131" s="138">
        <f>'Assets-Liab 5-6'!E13</f>
        <v>38208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8208</v>
      </c>
      <c r="D140" s="2" t="str">
        <f t="shared" si="1"/>
        <v>Error?</v>
      </c>
    </row>
    <row r="141" spans="1:4" x14ac:dyDescent="0.2">
      <c r="A141" s="5">
        <v>80</v>
      </c>
      <c r="B141" s="138">
        <f>'Assets-Liab 5-6'!E41</f>
        <v>38208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280759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323372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323372</v>
      </c>
      <c r="D170" s="2" t="str">
        <f t="shared" si="1"/>
        <v>Error?</v>
      </c>
    </row>
    <row r="171" spans="1:4" x14ac:dyDescent="0.2">
      <c r="A171" s="5">
        <v>110</v>
      </c>
      <c r="B171" s="138">
        <f>'Assets-Liab 5-6'!F41</f>
        <v>323372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21273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10100</v>
      </c>
      <c r="C188" s="2" t="s">
        <v>594</v>
      </c>
      <c r="D188" s="2" t="str">
        <f t="shared" si="1"/>
        <v>Error?</v>
      </c>
    </row>
    <row r="189" spans="1:4" x14ac:dyDescent="0.2">
      <c r="A189" s="5">
        <v>128</v>
      </c>
      <c r="B189" s="138">
        <f>'Assets-Liab 5-6'!G39</f>
        <v>11173</v>
      </c>
      <c r="D189" s="2" t="str">
        <f t="shared" si="1"/>
        <v>Error?</v>
      </c>
    </row>
    <row r="190" spans="1:4" x14ac:dyDescent="0.2">
      <c r="A190" s="5">
        <v>129</v>
      </c>
      <c r="B190" s="138">
        <f>'Assets-Liab 5-6'!G41</f>
        <v>21273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71183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71183</v>
      </c>
      <c r="D212" s="2" t="str">
        <f t="shared" si="2"/>
        <v>Error?</v>
      </c>
    </row>
    <row r="213" spans="1:4" x14ac:dyDescent="0.2">
      <c r="A213" s="12">
        <v>152</v>
      </c>
      <c r="B213" s="138">
        <f>'Assets-Liab 5-6'!H41</f>
        <v>71183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16025</v>
      </c>
      <c r="D273" s="2" t="str">
        <f t="shared" si="3"/>
        <v>Error?</v>
      </c>
    </row>
    <row r="274" spans="1:4" x14ac:dyDescent="0.2">
      <c r="A274" s="5">
        <v>213</v>
      </c>
      <c r="B274" s="138">
        <f>'Assets-Liab 5-6'!M17</f>
        <v>723521</v>
      </c>
      <c r="D274" s="2" t="str">
        <f t="shared" si="3"/>
        <v>Error?</v>
      </c>
    </row>
    <row r="275" spans="1:4" x14ac:dyDescent="0.2">
      <c r="A275" s="5">
        <v>214</v>
      </c>
      <c r="B275" s="138">
        <f>'Assets-Liab 5-6'!M18</f>
        <v>421285</v>
      </c>
      <c r="D275" s="2" t="str">
        <f t="shared" si="3"/>
        <v>Error?</v>
      </c>
    </row>
    <row r="276" spans="1:4" x14ac:dyDescent="0.2">
      <c r="A276" s="5">
        <v>215</v>
      </c>
      <c r="B276" s="138">
        <f>'Assets-Liab 5-6'!M19</f>
        <v>157142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1330176</v>
      </c>
      <c r="C279" s="2" t="s">
        <v>594</v>
      </c>
      <c r="D279" s="2" t="str">
        <f t="shared" si="3"/>
        <v>Error?</v>
      </c>
    </row>
    <row r="280" spans="1:4" x14ac:dyDescent="0.2">
      <c r="A280" s="5">
        <v>219</v>
      </c>
      <c r="B280" s="138">
        <f>'Assets-Liab 5-6'!M40</f>
        <v>1330176</v>
      </c>
      <c r="D280" s="2" t="str">
        <f t="shared" si="3"/>
        <v>Error?</v>
      </c>
    </row>
    <row r="281" spans="1:4" x14ac:dyDescent="0.2">
      <c r="A281" s="5">
        <v>220</v>
      </c>
      <c r="B281" s="138">
        <f>'Assets-Liab 5-6'!M41</f>
        <v>1330176</v>
      </c>
      <c r="C281" s="2" t="s">
        <v>594</v>
      </c>
      <c r="D281" s="2" t="str">
        <f t="shared" si="3"/>
        <v>Error?</v>
      </c>
    </row>
    <row r="282" spans="1:4" x14ac:dyDescent="0.2">
      <c r="A282" s="5">
        <v>221</v>
      </c>
      <c r="B282" s="138">
        <f>'Assets-Liab 5-6'!N21</f>
        <v>38208</v>
      </c>
      <c r="D282" s="2" t="str">
        <f t="shared" si="3"/>
        <v>Error?</v>
      </c>
    </row>
    <row r="283" spans="1:4" x14ac:dyDescent="0.2">
      <c r="A283" s="5">
        <v>222</v>
      </c>
      <c r="B283" s="138">
        <f>'Assets-Liab 5-6'!N22</f>
        <v>82633</v>
      </c>
      <c r="D283" s="2" t="str">
        <f t="shared" si="3"/>
        <v>Error?</v>
      </c>
    </row>
    <row r="284" spans="1:4" x14ac:dyDescent="0.2">
      <c r="A284" s="5">
        <v>223</v>
      </c>
      <c r="B284" s="138">
        <f>'Assets-Liab 5-6'!N23</f>
        <v>120841</v>
      </c>
      <c r="C284" s="2" t="s">
        <v>594</v>
      </c>
      <c r="D284" s="2" t="str">
        <f t="shared" si="3"/>
        <v>Error?</v>
      </c>
    </row>
    <row r="285" spans="1:4" x14ac:dyDescent="0.2">
      <c r="A285" s="5">
        <v>224</v>
      </c>
      <c r="B285" s="138">
        <f>'Assets-Liab 5-6'!N36</f>
        <v>120841</v>
      </c>
      <c r="D285" s="2" t="str">
        <f t="shared" si="3"/>
        <v>Error?</v>
      </c>
    </row>
    <row r="286" spans="1:4" x14ac:dyDescent="0.2">
      <c r="A286" s="10">
        <v>225</v>
      </c>
      <c r="D286" s="2" t="str">
        <f t="shared" si="3"/>
        <v>OK</v>
      </c>
    </row>
    <row r="287" spans="1:4" x14ac:dyDescent="0.2">
      <c r="A287" s="5">
        <v>226</v>
      </c>
      <c r="B287" s="138">
        <f>'Assets-Liab 5-6'!N37</f>
        <v>120841</v>
      </c>
      <c r="C287" s="2" t="s">
        <v>594</v>
      </c>
      <c r="D287" s="2" t="str">
        <f t="shared" si="3"/>
        <v>Error?</v>
      </c>
    </row>
    <row r="288" spans="1:4" x14ac:dyDescent="0.2">
      <c r="A288" s="5">
        <v>227</v>
      </c>
      <c r="B288" s="138">
        <f>'Assets-Liab 5-6'!N41</f>
        <v>120841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852140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41863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993496</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15825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15825</v>
      </c>
      <c r="C731" s="2" t="s">
        <v>594</v>
      </c>
      <c r="D731" s="2" t="str">
        <f t="shared" si="10"/>
        <v>Error?</v>
      </c>
    </row>
    <row r="732" spans="1:4" x14ac:dyDescent="0.2">
      <c r="A732" s="5">
        <v>671</v>
      </c>
      <c r="B732" s="138">
        <f>'Expenditures 15-22'!C49</f>
        <v>1881</v>
      </c>
      <c r="D732" s="2" t="str">
        <f t="shared" si="10"/>
        <v>Error?</v>
      </c>
    </row>
    <row r="733" spans="1:4" x14ac:dyDescent="0.2">
      <c r="A733" s="5">
        <v>672</v>
      </c>
      <c r="B733" s="138">
        <f>'Expenditures 15-22'!C50</f>
        <v>110195</v>
      </c>
      <c r="D733" s="2" t="str">
        <f t="shared" si="10"/>
        <v>Error?</v>
      </c>
    </row>
    <row r="734" spans="1:4" x14ac:dyDescent="0.2">
      <c r="A734" s="5">
        <v>673</v>
      </c>
      <c r="B734" s="138">
        <f>'Expenditures 15-22'!C53</f>
        <v>112076</v>
      </c>
      <c r="C734" s="2" t="s">
        <v>594</v>
      </c>
      <c r="D734" s="2" t="str">
        <f t="shared" si="10"/>
        <v>Error?</v>
      </c>
    </row>
    <row r="735" spans="1:4" x14ac:dyDescent="0.2">
      <c r="A735" s="5">
        <v>674</v>
      </c>
      <c r="B735" s="138">
        <f>'Expenditures 15-22'!C55</f>
        <v>48649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48649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33996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33359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67355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243905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1237401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124947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519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160536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11108</v>
      </c>
      <c r="D786" s="2" t="str">
        <f t="shared" si="11"/>
        <v>Error?</v>
      </c>
    </row>
    <row r="787" spans="1:4" x14ac:dyDescent="0.2">
      <c r="A787" s="5">
        <v>726</v>
      </c>
      <c r="B787" s="138">
        <f>'Expenditures 15-22'!D45</f>
        <v>677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11785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32226</v>
      </c>
      <c r="D791" s="2" t="str">
        <f t="shared" si="11"/>
        <v>Error?</v>
      </c>
    </row>
    <row r="792" spans="1:4" x14ac:dyDescent="0.2">
      <c r="A792" s="5">
        <v>731</v>
      </c>
      <c r="B792" s="138">
        <f>'Expenditures 15-22'!D53</f>
        <v>32226</v>
      </c>
      <c r="C792" s="2" t="s">
        <v>594</v>
      </c>
      <c r="D792" s="2" t="str">
        <f t="shared" si="11"/>
        <v>Error?</v>
      </c>
    </row>
    <row r="793" spans="1:4" x14ac:dyDescent="0.2">
      <c r="A793" s="5">
        <v>732</v>
      </c>
      <c r="B793" s="138">
        <f>'Expenditures 15-22'!D55</f>
        <v>15805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15805</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8098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3674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11772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71588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232124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24487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7140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31627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15548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9735</v>
      </c>
      <c r="D846" s="2" t="str">
        <f t="shared" si="12"/>
        <v>Error?</v>
      </c>
    </row>
    <row r="847" spans="1:4" x14ac:dyDescent="0.2">
      <c r="A847" s="5">
        <v>786</v>
      </c>
      <c r="B847" s="138">
        <f>'Expenditures 15-22'!E47</f>
        <v>25283</v>
      </c>
      <c r="C847" s="2" t="s">
        <v>594</v>
      </c>
      <c r="D847" s="2" t="str">
        <f t="shared" si="12"/>
        <v>Error?</v>
      </c>
    </row>
    <row r="848" spans="1:4" x14ac:dyDescent="0.2">
      <c r="A848" s="5">
        <v>787</v>
      </c>
      <c r="B848" s="138">
        <f>'Expenditures 15-22'!E49</f>
        <v>13050</v>
      </c>
      <c r="D848" s="2" t="str">
        <f t="shared" si="12"/>
        <v>Error?</v>
      </c>
    </row>
    <row r="849" spans="1:4" x14ac:dyDescent="0.2">
      <c r="A849" s="5">
        <v>788</v>
      </c>
      <c r="B849" s="138">
        <f>'Expenditures 15-22'!E50</f>
        <v>5183</v>
      </c>
      <c r="D849" s="2" t="str">
        <f t="shared" si="12"/>
        <v>Error?</v>
      </c>
    </row>
    <row r="850" spans="1:4" x14ac:dyDescent="0.2">
      <c r="A850" s="5">
        <v>789</v>
      </c>
      <c r="B850" s="138">
        <f>'Expenditures 15-22'!E53</f>
        <v>18233</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514</v>
      </c>
      <c r="D855" s="2" t="str">
        <f t="shared" si="12"/>
        <v>Error?</v>
      </c>
    </row>
    <row r="856" spans="1:4" x14ac:dyDescent="0.2">
      <c r="A856" s="5">
        <v>795</v>
      </c>
      <c r="B856" s="138">
        <f>'Expenditures 15-22'!E61</f>
        <v>3692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4728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48244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80974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108470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3916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112386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942</v>
      </c>
      <c r="D906" s="2" t="str">
        <f t="shared" si="13"/>
        <v>Error?</v>
      </c>
    </row>
    <row r="907" spans="1:4" x14ac:dyDescent="0.2">
      <c r="A907" s="5">
        <v>846</v>
      </c>
      <c r="B907" s="138">
        <f>'Expenditures 15-22'!F50</f>
        <v>0</v>
      </c>
      <c r="D907" s="2" t="str">
        <f t="shared" si="13"/>
        <v>Error?</v>
      </c>
    </row>
    <row r="908" spans="1:4" x14ac:dyDescent="0.2">
      <c r="A908" s="5">
        <v>847</v>
      </c>
      <c r="B908" s="138">
        <f>'Expenditures 15-22'!F53</f>
        <v>942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40257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40257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41199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153585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36888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36888</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36888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520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2998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3518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1531</v>
      </c>
      <c r="D1022" s="2" t="str">
        <f t="shared" si="14"/>
        <v>Error?</v>
      </c>
    </row>
    <row r="1023" spans="1:4" x14ac:dyDescent="0.2">
      <c r="A1023" s="5">
        <v>962</v>
      </c>
      <c r="B1023" s="138">
        <f>'Expenditures 15-22'!H50</f>
        <v>1050</v>
      </c>
      <c r="D1023" s="2" t="str">
        <f t="shared" ref="D1023:D1086" si="15">IF(ISBLANK(B1023),"OK",IF(A1023-B1023=0,"OK","Error?"))</f>
        <v>Error?</v>
      </c>
    </row>
    <row r="1024" spans="1:4" x14ac:dyDescent="0.2">
      <c r="A1024" s="5">
        <v>963</v>
      </c>
      <c r="B1024" s="138">
        <f>'Expenditures 15-22'!H53</f>
        <v>2581</v>
      </c>
      <c r="C1024" s="2" t="s">
        <v>594</v>
      </c>
      <c r="D1024" s="2" t="str">
        <f t="shared" si="15"/>
        <v>Error?</v>
      </c>
    </row>
    <row r="1025" spans="1:4" x14ac:dyDescent="0.2">
      <c r="A1025" s="5">
        <v>964</v>
      </c>
      <c r="B1025" s="138">
        <f>'Expenditures 15-22'!H55</f>
        <v>280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280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2861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243036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249415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1147452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56436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1338451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26656</v>
      </c>
      <c r="C1116" s="2" t="s">
        <v>594</v>
      </c>
      <c r="D1116" s="2" t="str">
        <f t="shared" si="16"/>
        <v>Error?</v>
      </c>
    </row>
    <row r="1117" spans="1:4" x14ac:dyDescent="0.2">
      <c r="A1117" s="5">
        <v>1056</v>
      </c>
      <c r="B1117" s="138">
        <f>'Expenditures 15-22'!K45</f>
        <v>16502</v>
      </c>
      <c r="C1117" s="2" t="s">
        <v>594</v>
      </c>
      <c r="D1117" s="2" t="str">
        <f t="shared" si="16"/>
        <v>Error?</v>
      </c>
    </row>
    <row r="1118" spans="1:4" x14ac:dyDescent="0.2">
      <c r="A1118" s="5">
        <v>1057</v>
      </c>
      <c r="B1118" s="138">
        <f>'Expenditures 15-22'!K46</f>
        <v>9735</v>
      </c>
      <c r="C1118" s="2" t="s">
        <v>594</v>
      </c>
      <c r="D1118" s="2" t="str">
        <f t="shared" si="16"/>
        <v>Error?</v>
      </c>
    </row>
    <row r="1119" spans="1:4" x14ac:dyDescent="0.2">
      <c r="A1119" s="5">
        <v>1058</v>
      </c>
      <c r="B1119" s="138">
        <f>'Expenditures 15-22'!K47</f>
        <v>52893</v>
      </c>
      <c r="C1119" s="2" t="s">
        <v>594</v>
      </c>
      <c r="D1119" s="2" t="str">
        <f t="shared" si="16"/>
        <v>Error?</v>
      </c>
    </row>
    <row r="1120" spans="1:4" x14ac:dyDescent="0.2">
      <c r="A1120" s="5">
        <v>1059</v>
      </c>
      <c r="B1120" s="138">
        <f>'Expenditures 15-22'!K49</f>
        <v>17404</v>
      </c>
      <c r="C1120" s="2" t="s">
        <v>594</v>
      </c>
      <c r="D1120" s="2" t="str">
        <f t="shared" si="16"/>
        <v>Error?</v>
      </c>
    </row>
    <row r="1121" spans="1:4" x14ac:dyDescent="0.2">
      <c r="A1121" s="5">
        <v>1060</v>
      </c>
      <c r="B1121" s="138">
        <f>'Expenditures 15-22'!K50</f>
        <v>148654</v>
      </c>
      <c r="C1121" s="2" t="s">
        <v>594</v>
      </c>
      <c r="D1121" s="2" t="str">
        <f t="shared" si="16"/>
        <v>Error?</v>
      </c>
    </row>
    <row r="1122" spans="1:4" x14ac:dyDescent="0.2">
      <c r="A1122" s="5">
        <v>1061</v>
      </c>
      <c r="B1122" s="138">
        <f>'Expenditures 15-22'!K53</f>
        <v>166058</v>
      </c>
      <c r="C1122" s="2" t="s">
        <v>594</v>
      </c>
      <c r="D1122" s="2" t="str">
        <f t="shared" si="16"/>
        <v>Error?</v>
      </c>
    </row>
    <row r="1123" spans="1:4" x14ac:dyDescent="0.2">
      <c r="A1123" s="5">
        <v>1062</v>
      </c>
      <c r="B1123" s="138">
        <f>'Expenditures 15-22'!K55</f>
        <v>64734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64734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42608</v>
      </c>
      <c r="C1127" s="2" t="s">
        <v>594</v>
      </c>
      <c r="D1127" s="2" t="str">
        <f t="shared" si="16"/>
        <v>Error?</v>
      </c>
    </row>
    <row r="1128" spans="1:4" x14ac:dyDescent="0.2">
      <c r="A1128" s="5">
        <v>1067</v>
      </c>
      <c r="B1128" s="138">
        <f>'Expenditures 15-22'!K61</f>
        <v>3692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77812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124112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407797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244139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1990387</v>
      </c>
      <c r="C1152" s="2" t="s">
        <v>594</v>
      </c>
      <c r="D1152" s="2" t="str">
        <f t="shared" si="17"/>
        <v>Error?</v>
      </c>
    </row>
    <row r="1153" spans="1:4" x14ac:dyDescent="0.2">
      <c r="A1153" s="5">
        <v>1092</v>
      </c>
      <c r="B1153" s="138">
        <f>'Expenditures 15-22'!K115</f>
        <v>3940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57822</v>
      </c>
      <c r="D1221" s="2" t="str">
        <f t="shared" si="18"/>
        <v>Error?</v>
      </c>
    </row>
    <row r="1222" spans="1:4" x14ac:dyDescent="0.2">
      <c r="A1222" s="10">
        <v>1161</v>
      </c>
      <c r="D1222" s="2" t="str">
        <f t="shared" si="18"/>
        <v>OK</v>
      </c>
    </row>
    <row r="1223" spans="1:4" x14ac:dyDescent="0.2">
      <c r="A1223" s="5">
        <v>1162</v>
      </c>
      <c r="B1223" s="138">
        <f>'Expenditures 15-22'!C127</f>
        <v>57822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57822</v>
      </c>
      <c r="C1225" s="2" t="s">
        <v>594</v>
      </c>
      <c r="D1225" s="2" t="str">
        <f t="shared" si="18"/>
        <v>Error?</v>
      </c>
    </row>
    <row r="1226" spans="1:4" x14ac:dyDescent="0.2">
      <c r="A1226" s="5">
        <v>1165</v>
      </c>
      <c r="B1226" s="138">
        <f>'Expenditures 15-22'!C151</f>
        <v>57822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8941</v>
      </c>
      <c r="D1229" s="2" t="str">
        <f t="shared" si="18"/>
        <v>Error?</v>
      </c>
    </row>
    <row r="1230" spans="1:4" x14ac:dyDescent="0.2">
      <c r="A1230" s="10">
        <v>1169</v>
      </c>
      <c r="D1230" s="2" t="str">
        <f t="shared" si="18"/>
        <v>OK</v>
      </c>
    </row>
    <row r="1231" spans="1:4" x14ac:dyDescent="0.2">
      <c r="A1231" s="5">
        <v>1170</v>
      </c>
      <c r="B1231" s="138">
        <f>'Expenditures 15-22'!D127</f>
        <v>8941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8941</v>
      </c>
      <c r="C1233" s="2" t="s">
        <v>594</v>
      </c>
      <c r="D1233" s="2" t="str">
        <f t="shared" si="18"/>
        <v>Error?</v>
      </c>
    </row>
    <row r="1234" spans="1:4" x14ac:dyDescent="0.2">
      <c r="A1234" s="5">
        <v>1173</v>
      </c>
      <c r="B1234" s="138">
        <f>'Expenditures 15-22'!D151</f>
        <v>8941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28790</v>
      </c>
      <c r="D1237" s="2" t="str">
        <f t="shared" si="18"/>
        <v>Error?</v>
      </c>
    </row>
    <row r="1238" spans="1:4" x14ac:dyDescent="0.2">
      <c r="A1238" s="10">
        <v>1177</v>
      </c>
      <c r="D1238" s="2" t="str">
        <f t="shared" si="18"/>
        <v>OK</v>
      </c>
    </row>
    <row r="1239" spans="1:4" x14ac:dyDescent="0.2">
      <c r="A1239" s="5">
        <v>1178</v>
      </c>
      <c r="B1239" s="138">
        <f>'Expenditures 15-22'!E127</f>
        <v>28790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28790</v>
      </c>
      <c r="C1241" s="2" t="s">
        <v>594</v>
      </c>
      <c r="D1241" s="2" t="str">
        <f t="shared" si="18"/>
        <v>Error?</v>
      </c>
    </row>
    <row r="1242" spans="1:4" x14ac:dyDescent="0.2">
      <c r="A1242" s="5">
        <v>1181</v>
      </c>
      <c r="B1242" s="138">
        <f>'Expenditures 15-22'!E151</f>
        <v>28790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45280</v>
      </c>
      <c r="D1245" s="2" t="str">
        <f t="shared" si="18"/>
        <v>Error?</v>
      </c>
    </row>
    <row r="1246" spans="1:4" x14ac:dyDescent="0.2">
      <c r="A1246" s="10">
        <v>1185</v>
      </c>
      <c r="D1246" s="2" t="str">
        <f t="shared" si="18"/>
        <v>OK</v>
      </c>
    </row>
    <row r="1247" spans="1:4" x14ac:dyDescent="0.2">
      <c r="A1247" s="5">
        <v>1186</v>
      </c>
      <c r="B1247" s="138">
        <f>'Expenditures 15-22'!F127</f>
        <v>45280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45280</v>
      </c>
      <c r="C1249" s="2" t="s">
        <v>594</v>
      </c>
      <c r="D1249" s="2" t="str">
        <f t="shared" si="18"/>
        <v>Error?</v>
      </c>
    </row>
    <row r="1250" spans="1:4" x14ac:dyDescent="0.2">
      <c r="A1250" s="5">
        <v>1189</v>
      </c>
      <c r="B1250" s="138">
        <f>'Expenditures 15-22'!F151</f>
        <v>45280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140833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140833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140833</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140833</v>
      </c>
      <c r="C1288" s="2" t="s">
        <v>594</v>
      </c>
      <c r="D1288" s="2" t="str">
        <f t="shared" si="19"/>
        <v>Error?</v>
      </c>
    </row>
    <row r="1289" spans="1:4" x14ac:dyDescent="0.2">
      <c r="A1289" s="5">
        <v>1228</v>
      </c>
      <c r="B1289" s="138">
        <f>'Expenditures 15-22'!K152</f>
        <v>43333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5662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56162</v>
      </c>
      <c r="C1317" s="2" t="s">
        <v>594</v>
      </c>
      <c r="D1317" s="2" t="str">
        <f t="shared" si="19"/>
        <v>Error?</v>
      </c>
    </row>
    <row r="1318" spans="1:4" x14ac:dyDescent="0.2">
      <c r="A1318" s="5">
        <v>1257</v>
      </c>
      <c r="B1318" s="138">
        <f>'Expenditures 15-22'!H174</f>
        <v>56162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5662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56162</v>
      </c>
      <c r="C1331" s="2" t="s">
        <v>594</v>
      </c>
      <c r="D1331" s="2" t="str">
        <f t="shared" si="19"/>
        <v>Error?</v>
      </c>
    </row>
    <row r="1332" spans="1:4" x14ac:dyDescent="0.2">
      <c r="A1332" s="5">
        <v>1271</v>
      </c>
      <c r="B1332" s="138">
        <f>'Expenditures 15-22'!K174</f>
        <v>56162</v>
      </c>
      <c r="C1332" s="2" t="s">
        <v>594</v>
      </c>
      <c r="D1332" s="2" t="str">
        <f t="shared" si="19"/>
        <v>Error?</v>
      </c>
    </row>
    <row r="1333" spans="1:4" x14ac:dyDescent="0.2">
      <c r="A1333" s="5">
        <v>1272</v>
      </c>
      <c r="B1333" s="138">
        <f>'Expenditures 15-22'!K175</f>
        <v>16102</v>
      </c>
      <c r="C1333" s="2" t="s">
        <v>594</v>
      </c>
      <c r="D1333" s="2" t="str">
        <f t="shared" si="19"/>
        <v>Error?</v>
      </c>
    </row>
    <row r="1334" spans="1:4" x14ac:dyDescent="0.2">
      <c r="A1334" s="10">
        <v>1273</v>
      </c>
      <c r="D1334" s="2" t="str">
        <f t="shared" si="19"/>
        <v>OK</v>
      </c>
    </row>
    <row r="1335" spans="1:4" x14ac:dyDescent="0.2">
      <c r="A1335" s="5">
        <v>1274</v>
      </c>
      <c r="B1335" s="138">
        <f>'Expenditures 15-22'!C182</f>
        <v>5182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5182</v>
      </c>
      <c r="C1339" s="2" t="s">
        <v>594</v>
      </c>
      <c r="D1339" s="2" t="str">
        <f t="shared" si="19"/>
        <v>Error?</v>
      </c>
    </row>
    <row r="1340" spans="1:4" x14ac:dyDescent="0.2">
      <c r="A1340" s="5">
        <v>1279</v>
      </c>
      <c r="B1340" s="138">
        <f>'Expenditures 15-22'!C210</f>
        <v>5182</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135192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135192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135192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140374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140374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140374</v>
      </c>
      <c r="C1388" s="2" t="s">
        <v>594</v>
      </c>
      <c r="D1388" s="2" t="str">
        <f t="shared" si="20"/>
        <v>Error?</v>
      </c>
    </row>
    <row r="1389" spans="1:4" x14ac:dyDescent="0.2">
      <c r="A1389" s="5">
        <v>1328</v>
      </c>
      <c r="B1389" s="138">
        <f>'Expenditures 15-22'!K211</f>
        <v>35106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1230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29603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3110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3110</v>
      </c>
      <c r="C1421" s="2" t="s">
        <v>594</v>
      </c>
      <c r="D1421" s="2" t="str">
        <f t="shared" si="21"/>
        <v>Error?</v>
      </c>
    </row>
    <row r="1422" spans="1:4" x14ac:dyDescent="0.2">
      <c r="A1422" s="5">
        <v>1361</v>
      </c>
      <c r="B1422" s="138">
        <f>'Expenditures 15-22'!D245</f>
        <v>144</v>
      </c>
      <c r="D1422" s="2" t="str">
        <f t="shared" si="21"/>
        <v>Error?</v>
      </c>
    </row>
    <row r="1423" spans="1:4" x14ac:dyDescent="0.2">
      <c r="A1423" s="5">
        <v>1362</v>
      </c>
      <c r="B1423" s="138">
        <f>'Expenditures 15-22'!D246</f>
        <v>8076</v>
      </c>
      <c r="D1423" s="2" t="str">
        <f t="shared" si="21"/>
        <v>Error?</v>
      </c>
    </row>
    <row r="1424" spans="1:4" x14ac:dyDescent="0.2">
      <c r="A1424" s="5">
        <v>1363</v>
      </c>
      <c r="B1424" s="138">
        <f>'Expenditures 15-22'!D257</f>
        <v>8724</v>
      </c>
      <c r="C1424" s="2" t="s">
        <v>594</v>
      </c>
      <c r="D1424" s="2" t="str">
        <f t="shared" si="21"/>
        <v>Error?</v>
      </c>
    </row>
    <row r="1425" spans="1:4" x14ac:dyDescent="0.2">
      <c r="A1425" s="5">
        <v>1364</v>
      </c>
      <c r="B1425" s="138">
        <f>'Expenditures 15-22'!D259</f>
        <v>881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881</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8622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13578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8997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31197</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43912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76150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1230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29603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3110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3110</v>
      </c>
      <c r="C1485" s="2" t="s">
        <v>594</v>
      </c>
      <c r="D1485" s="2" t="str">
        <f t="shared" si="22"/>
        <v>Error?</v>
      </c>
    </row>
    <row r="1486" spans="1:4" x14ac:dyDescent="0.2">
      <c r="A1486" s="5">
        <v>1425</v>
      </c>
      <c r="B1486" s="138">
        <f>'Expenditures 15-22'!K245</f>
        <v>144</v>
      </c>
      <c r="C1486" s="2" t="s">
        <v>594</v>
      </c>
      <c r="D1486" s="2" t="str">
        <f t="shared" si="22"/>
        <v>Error?</v>
      </c>
    </row>
    <row r="1487" spans="1:4" x14ac:dyDescent="0.2">
      <c r="A1487" s="5">
        <v>1426</v>
      </c>
      <c r="B1487" s="138">
        <f>'Expenditures 15-22'!K246</f>
        <v>8076</v>
      </c>
      <c r="C1487" s="2" t="s">
        <v>594</v>
      </c>
      <c r="D1487" s="2" t="str">
        <f t="shared" si="22"/>
        <v>Error?</v>
      </c>
    </row>
    <row r="1488" spans="1:4" x14ac:dyDescent="0.2">
      <c r="A1488" s="5">
        <v>1427</v>
      </c>
      <c r="B1488" s="138">
        <f>'Expenditures 15-22'!K257</f>
        <v>8724</v>
      </c>
      <c r="C1488" s="2" t="s">
        <v>594</v>
      </c>
      <c r="D1488" s="2" t="str">
        <f t="shared" si="22"/>
        <v>Error?</v>
      </c>
    </row>
    <row r="1489" spans="1:4" x14ac:dyDescent="0.2">
      <c r="A1489" s="5">
        <v>1428</v>
      </c>
      <c r="B1489" s="138">
        <f>'Expenditures 15-22'!K259</f>
        <v>881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881</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8622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13578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8997</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31197</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43912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76150</v>
      </c>
      <c r="C1517" s="2" t="s">
        <v>594</v>
      </c>
      <c r="D1517" s="2" t="str">
        <f t="shared" si="22"/>
        <v>Error?</v>
      </c>
    </row>
    <row r="1518" spans="1:4" x14ac:dyDescent="0.2">
      <c r="A1518" s="5">
        <v>1457</v>
      </c>
      <c r="B1518" s="138">
        <f>'Expenditures 15-22'!K296</f>
        <v>-12540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7836</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7836</v>
      </c>
      <c r="C1535" s="2" t="s">
        <v>594</v>
      </c>
      <c r="D1535" s="2" t="str">
        <f t="shared" ref="D1535:D1598" si="23">IF(ISBLANK(B1535),"OK",IF(A1535-B1535=0,"OK","Error?"))</f>
        <v>Error?</v>
      </c>
    </row>
    <row r="1536" spans="1:4" x14ac:dyDescent="0.2">
      <c r="A1536" s="5">
        <v>1475</v>
      </c>
      <c r="B1536" s="138">
        <f>'Expenditures 15-22'!E312</f>
        <v>7836</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43418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43418</v>
      </c>
      <c r="C1547" s="2" t="s">
        <v>594</v>
      </c>
      <c r="D1547" s="2" t="str">
        <f t="shared" si="23"/>
        <v>Error?</v>
      </c>
    </row>
    <row r="1548" spans="1:4" x14ac:dyDescent="0.2">
      <c r="A1548" s="5">
        <v>1487</v>
      </c>
      <c r="B1548" s="138">
        <f>'Expenditures 15-22'!G312</f>
        <v>43418</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51254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51254</v>
      </c>
      <c r="C1559" s="2" t="s">
        <v>594</v>
      </c>
      <c r="D1559" s="2" t="str">
        <f t="shared" si="23"/>
        <v>Error?</v>
      </c>
    </row>
    <row r="1560" spans="1:4" x14ac:dyDescent="0.2">
      <c r="A1560" s="5">
        <v>1499</v>
      </c>
      <c r="B1560" s="138">
        <f>'Expenditures 15-22'!K312</f>
        <v>51254</v>
      </c>
      <c r="C1560" s="2" t="s">
        <v>594</v>
      </c>
      <c r="D1560" s="2" t="str">
        <f t="shared" si="23"/>
        <v>Error?</v>
      </c>
    </row>
    <row r="1561" spans="1:4" x14ac:dyDescent="0.2">
      <c r="A1561" s="5">
        <v>1500</v>
      </c>
      <c r="B1561" s="138">
        <f>'Expenditures 15-22'!K313</f>
        <v>-11688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1554709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1574130</v>
      </c>
      <c r="C1630" s="2" t="s">
        <v>594</v>
      </c>
      <c r="D1630" s="2" t="str">
        <f t="shared" si="24"/>
        <v>Error?</v>
      </c>
    </row>
    <row r="1631" spans="1:4" x14ac:dyDescent="0.2">
      <c r="A1631" s="5">
        <v>1570</v>
      </c>
      <c r="B1631" s="138">
        <f>'Acct Summary 7-8'!D79</f>
        <v>255731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299064</v>
      </c>
      <c r="C1644" s="2" t="s">
        <v>594</v>
      </c>
      <c r="D1644" s="2" t="str">
        <f t="shared" si="24"/>
        <v>Error?</v>
      </c>
    </row>
    <row r="1645" spans="1:4" x14ac:dyDescent="0.2">
      <c r="A1645" s="5">
        <v>1584</v>
      </c>
      <c r="B1645" s="138">
        <f>'Acct Summary 7-8'!E79</f>
        <v>22106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38208</v>
      </c>
      <c r="C1658" s="2" t="s">
        <v>594</v>
      </c>
      <c r="D1658" s="2" t="str">
        <f t="shared" si="24"/>
        <v>Error?</v>
      </c>
    </row>
    <row r="1659" spans="1:4" x14ac:dyDescent="0.2">
      <c r="A1659" s="5">
        <v>1598</v>
      </c>
      <c r="B1659" s="138">
        <f>'Acct Summary 7-8'!F79</f>
        <v>288266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323372</v>
      </c>
      <c r="C1672" s="2" t="s">
        <v>594</v>
      </c>
      <c r="D1672" s="2" t="str">
        <f t="shared" si="25"/>
        <v>Error?</v>
      </c>
    </row>
    <row r="1673" spans="1:4" x14ac:dyDescent="0.2">
      <c r="A1673" s="5">
        <v>1612</v>
      </c>
      <c r="B1673" s="138">
        <f>'Acct Summary 7-8'!G79</f>
        <v>23713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11173</v>
      </c>
      <c r="C1686" s="2" t="s">
        <v>594</v>
      </c>
      <c r="D1686" s="2" t="str">
        <f t="shared" si="25"/>
        <v>Error?</v>
      </c>
    </row>
    <row r="1687" spans="1:4" x14ac:dyDescent="0.2">
      <c r="A1687" s="5">
        <v>1626</v>
      </c>
      <c r="B1687" s="138">
        <f>'Acct Summary 7-8'!H79</f>
        <v>82871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71183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985228</v>
      </c>
      <c r="C1744" s="2" t="s">
        <v>594</v>
      </c>
      <c r="D1744" s="2" t="str">
        <f t="shared" si="26"/>
        <v>Error?</v>
      </c>
    </row>
    <row r="1745" spans="1:5" x14ac:dyDescent="0.2">
      <c r="A1745" s="5">
        <v>1684</v>
      </c>
      <c r="B1745" s="138">
        <f>'Tax Sched 23'!B5</f>
        <v>126962</v>
      </c>
      <c r="C1745" s="2" t="s">
        <v>594</v>
      </c>
      <c r="D1745" s="2" t="str">
        <f t="shared" si="26"/>
        <v>Error?</v>
      </c>
    </row>
    <row r="1746" spans="1:5" x14ac:dyDescent="0.2">
      <c r="A1746" s="5">
        <v>1685</v>
      </c>
      <c r="B1746" s="138">
        <f>'Tax Sched 23'!B6</f>
        <v>42236</v>
      </c>
      <c r="C1746" s="2" t="s">
        <v>594</v>
      </c>
      <c r="D1746" s="2" t="str">
        <f t="shared" si="26"/>
        <v>Error?</v>
      </c>
    </row>
    <row r="1747" spans="1:5" x14ac:dyDescent="0.2">
      <c r="A1747" s="5">
        <v>1686</v>
      </c>
      <c r="B1747" s="138">
        <f>'Tax Sched 23'!B7</f>
        <v>88452</v>
      </c>
      <c r="C1747" s="2" t="s">
        <v>594</v>
      </c>
      <c r="D1747" s="2" t="str">
        <f t="shared" si="26"/>
        <v>Error?</v>
      </c>
    </row>
    <row r="1748" spans="1:5" x14ac:dyDescent="0.2">
      <c r="A1748" s="5">
        <v>1687</v>
      </c>
      <c r="B1748" s="138">
        <f>'Tax Sched 23'!B8</f>
        <v>31545</v>
      </c>
      <c r="C1748" s="2" t="s">
        <v>594</v>
      </c>
      <c r="D1748" s="2" t="str">
        <f t="shared" si="26"/>
        <v>Error?</v>
      </c>
    </row>
    <row r="1749" spans="1:5" x14ac:dyDescent="0.2">
      <c r="A1749" s="5">
        <v>1688</v>
      </c>
      <c r="B1749" s="138">
        <f>'Tax Sched 23'!B10</f>
        <v>25392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249008</v>
      </c>
      <c r="C1752" s="2" t="s">
        <v>594</v>
      </c>
      <c r="D1752" s="2" t="str">
        <f t="shared" si="26"/>
        <v>Error?</v>
      </c>
    </row>
    <row r="1753" spans="1:5" x14ac:dyDescent="0.2">
      <c r="A1753" s="5">
        <v>1692</v>
      </c>
      <c r="B1753" s="138">
        <f>'Tax Sched 23'!B12</f>
        <v>25393</v>
      </c>
      <c r="C1753" s="2" t="s">
        <v>594</v>
      </c>
      <c r="D1753" s="2" t="str">
        <f t="shared" si="26"/>
        <v>Error?</v>
      </c>
    </row>
    <row r="1754" spans="1:5" x14ac:dyDescent="0.2">
      <c r="A1754" s="5">
        <v>1693</v>
      </c>
      <c r="B1754" s="138">
        <f>'Tax Sched 23'!B14</f>
        <v>10157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1641310</v>
      </c>
      <c r="C1759" s="2" t="s">
        <v>594</v>
      </c>
      <c r="D1759" s="2" t="str">
        <f t="shared" si="26"/>
        <v>Error?</v>
      </c>
    </row>
    <row r="1760" spans="1:5" x14ac:dyDescent="0.2">
      <c r="A1760" s="5">
        <v>1699</v>
      </c>
      <c r="B1760" s="138">
        <f>'Tax Sched 23'!D4</f>
        <v>575996</v>
      </c>
      <c r="C1760" s="2" t="s">
        <v>594</v>
      </c>
      <c r="D1760" s="2" t="str">
        <f t="shared" si="26"/>
        <v>Error?</v>
      </c>
    </row>
    <row r="1761" spans="1:5" x14ac:dyDescent="0.2">
      <c r="A1761" s="5">
        <v>1700</v>
      </c>
      <c r="B1761" s="138">
        <f>'Tax Sched 23'!D5</f>
        <v>74226</v>
      </c>
      <c r="C1761" s="2" t="s">
        <v>594</v>
      </c>
      <c r="D1761" s="2" t="str">
        <f t="shared" si="26"/>
        <v>Error?</v>
      </c>
    </row>
    <row r="1762" spans="1:5" s="8" customFormat="1" x14ac:dyDescent="0.2">
      <c r="A1762" s="5">
        <v>1701</v>
      </c>
      <c r="B1762" s="138">
        <f>'Tax Sched 23'!D6</f>
        <v>31936</v>
      </c>
      <c r="C1762" s="2" t="s">
        <v>594</v>
      </c>
      <c r="D1762" s="2" t="str">
        <f t="shared" si="26"/>
        <v>Error?</v>
      </c>
      <c r="E1762" s="9"/>
    </row>
    <row r="1763" spans="1:5" x14ac:dyDescent="0.2">
      <c r="A1763" s="5">
        <v>1702</v>
      </c>
      <c r="B1763" s="138">
        <f>'Tax Sched 23'!D7</f>
        <v>44958</v>
      </c>
      <c r="C1763" s="2" t="s">
        <v>594</v>
      </c>
      <c r="D1763" s="2" t="str">
        <f t="shared" si="26"/>
        <v>Error?</v>
      </c>
    </row>
    <row r="1764" spans="1:5" x14ac:dyDescent="0.2">
      <c r="A1764" s="5">
        <v>1703</v>
      </c>
      <c r="B1764" s="138">
        <f>'Tax Sched 23'!D8</f>
        <v>18361</v>
      </c>
      <c r="C1764" s="2" t="s">
        <v>594</v>
      </c>
      <c r="D1764" s="2" t="str">
        <f t="shared" si="26"/>
        <v>Error?</v>
      </c>
    </row>
    <row r="1765" spans="1:5" x14ac:dyDescent="0.2">
      <c r="A1765" s="5">
        <v>1704</v>
      </c>
      <c r="B1765" s="138">
        <f>'Tax Sched 23'!D10</f>
        <v>14845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144572</v>
      </c>
      <c r="C1768" s="2" t="s">
        <v>594</v>
      </c>
      <c r="D1768" s="2" t="str">
        <f t="shared" si="26"/>
        <v>Error?</v>
      </c>
    </row>
    <row r="1769" spans="1:5" x14ac:dyDescent="0.2">
      <c r="A1769" s="5">
        <v>1708</v>
      </c>
      <c r="B1769" s="138">
        <f>'Tax Sched 23'!D12</f>
        <v>14846</v>
      </c>
      <c r="C1769" s="2" t="s">
        <v>594</v>
      </c>
      <c r="D1769" s="2" t="str">
        <f t="shared" si="26"/>
        <v>Error?</v>
      </c>
    </row>
    <row r="1770" spans="1:5" x14ac:dyDescent="0.2">
      <c r="A1770" s="5">
        <v>1709</v>
      </c>
      <c r="B1770" s="138">
        <f>'Tax Sched 23'!D14</f>
        <v>5938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958884</v>
      </c>
      <c r="C1775" s="2" t="s">
        <v>594</v>
      </c>
      <c r="D1775" s="2" t="str">
        <f t="shared" si="26"/>
        <v>Error?</v>
      </c>
    </row>
    <row r="1776" spans="1:5" x14ac:dyDescent="0.2">
      <c r="A1776" s="5">
        <v>1715</v>
      </c>
      <c r="B1776" s="138">
        <f>'Tax Sched 23'!C4</f>
        <v>409232</v>
      </c>
      <c r="D1776" s="2" t="str">
        <f t="shared" si="26"/>
        <v>Error?</v>
      </c>
    </row>
    <row r="1777" spans="1:4" x14ac:dyDescent="0.2">
      <c r="A1777" s="5">
        <v>1716</v>
      </c>
      <c r="B1777" s="138">
        <f>'Tax Sched 23'!C5</f>
        <v>52736</v>
      </c>
      <c r="D1777" s="2" t="str">
        <f t="shared" si="26"/>
        <v>Error?</v>
      </c>
    </row>
    <row r="1778" spans="1:4" x14ac:dyDescent="0.2">
      <c r="A1778" s="5">
        <v>1717</v>
      </c>
      <c r="B1778" s="138">
        <f>'Tax Sched 23'!C6</f>
        <v>10300</v>
      </c>
      <c r="D1778" s="2" t="str">
        <f t="shared" si="26"/>
        <v>Error?</v>
      </c>
    </row>
    <row r="1779" spans="1:4" x14ac:dyDescent="0.2">
      <c r="A1779" s="5">
        <v>1718</v>
      </c>
      <c r="B1779" s="138">
        <f>'Tax Sched 23'!C7</f>
        <v>43494</v>
      </c>
      <c r="D1779" s="2" t="str">
        <f t="shared" si="26"/>
        <v>Error?</v>
      </c>
    </row>
    <row r="1780" spans="1:4" x14ac:dyDescent="0.2">
      <c r="A1780" s="5">
        <v>1719</v>
      </c>
      <c r="B1780" s="138">
        <f>'Tax Sched 23'!C8</f>
        <v>13184</v>
      </c>
      <c r="D1780" s="2" t="str">
        <f t="shared" si="26"/>
        <v>Error?</v>
      </c>
    </row>
    <row r="1781" spans="1:4" x14ac:dyDescent="0.2">
      <c r="A1781" s="5">
        <v>1720</v>
      </c>
      <c r="B1781" s="138">
        <f>'Tax Sched 23'!C10</f>
        <v>10547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104436</v>
      </c>
      <c r="D1784" s="2" t="str">
        <f t="shared" si="26"/>
        <v>Error?</v>
      </c>
    </row>
    <row r="1785" spans="1:4" x14ac:dyDescent="0.2">
      <c r="A1785" s="5">
        <v>1724</v>
      </c>
      <c r="B1785" s="138">
        <f>'Tax Sched 23'!C12</f>
        <v>10547</v>
      </c>
      <c r="D1785" s="2" t="str">
        <f t="shared" si="26"/>
        <v>Error?</v>
      </c>
    </row>
    <row r="1786" spans="1:4" x14ac:dyDescent="0.2">
      <c r="A1786" s="5">
        <v>1725</v>
      </c>
      <c r="B1786" s="138">
        <f>'Tax Sched 23'!C14</f>
        <v>4219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682426</v>
      </c>
      <c r="C1791" s="2" t="s">
        <v>594</v>
      </c>
      <c r="D1791" s="2" t="str">
        <f t="shared" ref="D1791:D1854" si="27">IF(ISBLANK(B1791),"OK",IF(A1791-B1791=0,"OK","Error?"))</f>
        <v>Error?</v>
      </c>
    </row>
    <row r="1792" spans="1:4" x14ac:dyDescent="0.2">
      <c r="A1792" s="5">
        <v>1731</v>
      </c>
      <c r="B1792" s="138">
        <f>'Tax Sched 23'!F4</f>
        <v>584119</v>
      </c>
      <c r="C1792" s="2" t="s">
        <v>594</v>
      </c>
      <c r="D1792" s="2" t="str">
        <f t="shared" si="27"/>
        <v>Error?</v>
      </c>
    </row>
    <row r="1793" spans="1:4" x14ac:dyDescent="0.2">
      <c r="A1793" s="5">
        <v>1732</v>
      </c>
      <c r="B1793" s="138">
        <f>'Tax Sched 23'!F5</f>
        <v>75273</v>
      </c>
      <c r="C1793" s="2" t="s">
        <v>594</v>
      </c>
      <c r="D1793" s="2" t="str">
        <f t="shared" si="27"/>
        <v>Error?</v>
      </c>
    </row>
    <row r="1794" spans="1:4" x14ac:dyDescent="0.2">
      <c r="A1794" s="5">
        <v>1733</v>
      </c>
      <c r="B1794" s="138">
        <f>'Tax Sched 23'!F6</f>
        <v>14703</v>
      </c>
      <c r="C1794" s="2" t="s">
        <v>594</v>
      </c>
      <c r="D1794" s="2" t="str">
        <f t="shared" si="27"/>
        <v>Error?</v>
      </c>
    </row>
    <row r="1795" spans="1:4" x14ac:dyDescent="0.2">
      <c r="A1795" s="5">
        <v>1734</v>
      </c>
      <c r="B1795" s="138">
        <f>'Tax Sched 23'!F7</f>
        <v>62083</v>
      </c>
      <c r="C1795" s="2" t="s">
        <v>594</v>
      </c>
      <c r="D1795" s="2" t="str">
        <f t="shared" si="27"/>
        <v>Error?</v>
      </c>
    </row>
    <row r="1796" spans="1:4" x14ac:dyDescent="0.2">
      <c r="A1796" s="5">
        <v>1735</v>
      </c>
      <c r="B1796" s="138">
        <f>'Tax Sched 23'!F8</f>
        <v>18818</v>
      </c>
      <c r="C1796" s="2" t="s">
        <v>594</v>
      </c>
      <c r="D1796" s="2" t="str">
        <f t="shared" si="27"/>
        <v>Error?</v>
      </c>
    </row>
    <row r="1797" spans="1:4" x14ac:dyDescent="0.2">
      <c r="A1797" s="5">
        <v>1736</v>
      </c>
      <c r="B1797" s="138">
        <f>'Tax Sched 23'!F10</f>
        <v>15055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149068</v>
      </c>
      <c r="C1800" s="2" t="s">
        <v>594</v>
      </c>
      <c r="D1800" s="2" t="str">
        <f t="shared" si="27"/>
        <v>Error?</v>
      </c>
    </row>
    <row r="1801" spans="1:4" x14ac:dyDescent="0.2">
      <c r="A1801" s="5">
        <v>1740</v>
      </c>
      <c r="B1801" s="138">
        <f>'Tax Sched 23'!F12</f>
        <v>15055</v>
      </c>
      <c r="C1801" s="2" t="s">
        <v>594</v>
      </c>
      <c r="D1801" s="2" t="str">
        <f t="shared" si="27"/>
        <v>Error?</v>
      </c>
    </row>
    <row r="1802" spans="1:4" x14ac:dyDescent="0.2">
      <c r="A1802" s="5">
        <v>1741</v>
      </c>
      <c r="B1802" s="138">
        <f>'Tax Sched 23'!F14</f>
        <v>6022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974069</v>
      </c>
      <c r="C1807" s="2" t="s">
        <v>594</v>
      </c>
      <c r="D1807" s="2" t="str">
        <f t="shared" si="27"/>
        <v>Error?</v>
      </c>
    </row>
    <row r="1808" spans="1:4" x14ac:dyDescent="0.2">
      <c r="A1808" s="5">
        <v>1747</v>
      </c>
      <c r="B1808" s="138">
        <f>'Tax Sched 23'!E4</f>
        <v>993351</v>
      </c>
      <c r="D1808" s="2" t="str">
        <f t="shared" si="27"/>
        <v>Error?</v>
      </c>
    </row>
    <row r="1809" spans="1:4" x14ac:dyDescent="0.2">
      <c r="A1809" s="5">
        <v>1748</v>
      </c>
      <c r="B1809" s="138">
        <f>'Tax Sched 23'!E5</f>
        <v>128009</v>
      </c>
      <c r="D1809" s="2" t="str">
        <f t="shared" si="27"/>
        <v>Error?</v>
      </c>
    </row>
    <row r="1810" spans="1:4" x14ac:dyDescent="0.2">
      <c r="A1810" s="5">
        <v>1749</v>
      </c>
      <c r="B1810" s="138">
        <f>'Tax Sched 23'!E6</f>
        <v>25003</v>
      </c>
      <c r="D1810" s="2" t="str">
        <f t="shared" si="27"/>
        <v>Error?</v>
      </c>
    </row>
    <row r="1811" spans="1:4" x14ac:dyDescent="0.2">
      <c r="A1811" s="5">
        <v>1750</v>
      </c>
      <c r="B1811" s="138">
        <f>'Tax Sched 23'!E7</f>
        <v>105577</v>
      </c>
      <c r="D1811" s="2" t="str">
        <f t="shared" si="27"/>
        <v>Error?</v>
      </c>
    </row>
    <row r="1812" spans="1:4" x14ac:dyDescent="0.2">
      <c r="A1812" s="5">
        <v>1751</v>
      </c>
      <c r="B1812" s="138">
        <f>'Tax Sched 23'!E8</f>
        <v>32002</v>
      </c>
      <c r="D1812" s="2" t="str">
        <f t="shared" si="27"/>
        <v>Error?</v>
      </c>
    </row>
    <row r="1813" spans="1:4" x14ac:dyDescent="0.2">
      <c r="A1813" s="5">
        <v>1752</v>
      </c>
      <c r="B1813" s="138">
        <f>'Tax Sched 23'!E10</f>
        <v>25602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253504</v>
      </c>
      <c r="D1816" s="2" t="str">
        <f t="shared" si="27"/>
        <v>Error?</v>
      </c>
    </row>
    <row r="1817" spans="1:4" x14ac:dyDescent="0.2">
      <c r="A1817" s="5">
        <v>1756</v>
      </c>
      <c r="B1817" s="138">
        <f>'Tax Sched 23'!E12</f>
        <v>25602</v>
      </c>
      <c r="D1817" s="2" t="str">
        <f t="shared" si="27"/>
        <v>Error?</v>
      </c>
    </row>
    <row r="1818" spans="1:4" x14ac:dyDescent="0.2">
      <c r="A1818" s="5">
        <v>1757</v>
      </c>
      <c r="B1818" s="138">
        <f>'Tax Sched 23'!E14</f>
        <v>10241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1656495</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155000</v>
      </c>
      <c r="C1939" s="2" t="s">
        <v>594</v>
      </c>
      <c r="D1939" s="2" t="str">
        <f t="shared" si="29"/>
        <v>Error?</v>
      </c>
    </row>
    <row r="1940" spans="1:5" x14ac:dyDescent="0.2">
      <c r="A1940" s="5">
        <v>1879</v>
      </c>
      <c r="B1940" s="138">
        <f>'Short-Term Long-Term Debt 24'!F49</f>
        <v>15841</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10157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10157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10157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16025</v>
      </c>
      <c r="D2008" s="2" t="str">
        <f t="shared" si="30"/>
        <v>Error?</v>
      </c>
    </row>
    <row r="2009" spans="1:4" x14ac:dyDescent="0.2">
      <c r="A2009" s="5">
        <v>1948</v>
      </c>
      <c r="B2009" s="138">
        <f>'Cap Outlay Deprec 26'!C8</f>
        <v>1920880</v>
      </c>
      <c r="D2009" s="2" t="str">
        <f t="shared" si="30"/>
        <v>Error?</v>
      </c>
    </row>
    <row r="2010" spans="1:4" x14ac:dyDescent="0.2">
      <c r="A2010" s="5">
        <v>1949</v>
      </c>
      <c r="B2010" s="138">
        <f>'Cap Outlay Deprec 26'!C10</f>
        <v>555557</v>
      </c>
      <c r="D2010" s="2" t="str">
        <f t="shared" si="30"/>
        <v>Error?</v>
      </c>
    </row>
    <row r="2011" spans="1:4" x14ac:dyDescent="0.2">
      <c r="A2011" s="5">
        <v>1950</v>
      </c>
      <c r="B2011" s="138">
        <f>'Cap Outlay Deprec 26'!C12</f>
        <v>174051</v>
      </c>
      <c r="D2011" s="2" t="str">
        <f t="shared" si="30"/>
        <v>Error?</v>
      </c>
    </row>
    <row r="2012" spans="1:4" x14ac:dyDescent="0.2">
      <c r="A2012" s="5">
        <v>1951</v>
      </c>
      <c r="B2012" s="138">
        <f>'Cap Outlay Deprec 26'!C13</f>
        <v>185753</v>
      </c>
      <c r="D2012" s="2" t="str">
        <f t="shared" si="30"/>
        <v>Error?</v>
      </c>
    </row>
    <row r="2013" spans="1:4" x14ac:dyDescent="0.2">
      <c r="A2013" s="5">
        <v>1952</v>
      </c>
      <c r="B2013" s="138">
        <f>'Cap Outlay Deprec 26'!C16</f>
        <v>2852266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28278</v>
      </c>
      <c r="D2016" s="2" t="str">
        <f t="shared" si="30"/>
        <v>Error?</v>
      </c>
    </row>
    <row r="2017" spans="1:4" x14ac:dyDescent="0.2">
      <c r="A2017" s="5">
        <v>1956</v>
      </c>
      <c r="B2017" s="138">
        <f>'Cap Outlay Deprec 26'!D12</f>
        <v>7161</v>
      </c>
      <c r="D2017" s="2" t="str">
        <f t="shared" si="30"/>
        <v>Error?</v>
      </c>
    </row>
    <row r="2018" spans="1:4" x14ac:dyDescent="0.2">
      <c r="A2018" s="5">
        <v>1957</v>
      </c>
      <c r="B2018" s="138">
        <f>'Cap Outlay Deprec 26'!D13</f>
        <v>34841</v>
      </c>
      <c r="D2018" s="2" t="str">
        <f t="shared" si="30"/>
        <v>Error?</v>
      </c>
    </row>
    <row r="2019" spans="1:4" x14ac:dyDescent="0.2">
      <c r="A2019" s="5">
        <v>1958</v>
      </c>
      <c r="B2019" s="138">
        <f>'Cap Outlay Deprec 26'!D16</f>
        <v>82483</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32741</v>
      </c>
      <c r="D2022" s="2" t="str">
        <f t="shared" si="30"/>
        <v>Error?</v>
      </c>
    </row>
    <row r="2023" spans="1:4" x14ac:dyDescent="0.2">
      <c r="A2023" s="5">
        <v>1962</v>
      </c>
      <c r="B2023" s="138">
        <f>'Cap Outlay Deprec 26'!E12</f>
        <v>6788</v>
      </c>
      <c r="D2023" s="2" t="str">
        <f t="shared" si="30"/>
        <v>Error?</v>
      </c>
    </row>
    <row r="2024" spans="1:4" x14ac:dyDescent="0.2">
      <c r="A2024" s="5">
        <v>1963</v>
      </c>
      <c r="B2024" s="138">
        <f>'Cap Outlay Deprec 26'!E13</f>
        <v>39660</v>
      </c>
      <c r="D2024" s="2" t="str">
        <f t="shared" si="30"/>
        <v>Error?</v>
      </c>
    </row>
    <row r="2025" spans="1:4" x14ac:dyDescent="0.2">
      <c r="A2025" s="5">
        <v>1964</v>
      </c>
      <c r="B2025" s="138">
        <f>'Cap Outlay Deprec 26'!E16</f>
        <v>79189</v>
      </c>
      <c r="C2025" s="2" t="s">
        <v>594</v>
      </c>
      <c r="D2025" s="2" t="str">
        <f t="shared" si="30"/>
        <v>Error?</v>
      </c>
    </row>
    <row r="2026" spans="1:4" x14ac:dyDescent="0.2">
      <c r="A2026" s="5">
        <v>1965</v>
      </c>
      <c r="B2026" s="138">
        <f>'Cap Outlay Deprec 26'!F5</f>
        <v>16025</v>
      </c>
      <c r="C2026" s="2" t="s">
        <v>594</v>
      </c>
      <c r="D2026" s="2" t="str">
        <f t="shared" si="30"/>
        <v>Error?</v>
      </c>
    </row>
    <row r="2027" spans="1:4" x14ac:dyDescent="0.2">
      <c r="A2027" s="5">
        <v>1966</v>
      </c>
      <c r="B2027" s="138">
        <f>'Cap Outlay Deprec 26'!F8</f>
        <v>1920880</v>
      </c>
      <c r="C2027" s="2" t="s">
        <v>594</v>
      </c>
      <c r="D2027" s="2" t="str">
        <f t="shared" si="30"/>
        <v>Error?</v>
      </c>
    </row>
    <row r="2028" spans="1:4" x14ac:dyDescent="0.2">
      <c r="A2028" s="5">
        <v>1967</v>
      </c>
      <c r="B2028" s="138">
        <f>'Cap Outlay Deprec 26'!F10</f>
        <v>551094</v>
      </c>
      <c r="C2028" s="2" t="s">
        <v>594</v>
      </c>
      <c r="D2028" s="2" t="str">
        <f t="shared" si="30"/>
        <v>Error?</v>
      </c>
    </row>
    <row r="2029" spans="1:4" x14ac:dyDescent="0.2">
      <c r="A2029" s="5">
        <v>1968</v>
      </c>
      <c r="B2029" s="138">
        <f>'Cap Outlay Deprec 26'!F12</f>
        <v>174424</v>
      </c>
      <c r="C2029" s="2" t="s">
        <v>594</v>
      </c>
      <c r="D2029" s="2" t="str">
        <f t="shared" si="30"/>
        <v>Error?</v>
      </c>
    </row>
    <row r="2030" spans="1:4" x14ac:dyDescent="0.2">
      <c r="A2030" s="5">
        <v>1969</v>
      </c>
      <c r="B2030" s="138">
        <f>'Cap Outlay Deprec 26'!F13</f>
        <v>180934</v>
      </c>
      <c r="C2030" s="2" t="s">
        <v>594</v>
      </c>
      <c r="D2030" s="2" t="str">
        <f t="shared" si="30"/>
        <v>Error?</v>
      </c>
    </row>
    <row r="2031" spans="1:4" x14ac:dyDescent="0.2">
      <c r="A2031" s="5">
        <v>1970</v>
      </c>
      <c r="B2031" s="138">
        <f>'Cap Outlay Deprec 26'!F16</f>
        <v>2855560</v>
      </c>
      <c r="C2031" s="2" t="s">
        <v>594</v>
      </c>
      <c r="D2031" s="2" t="str">
        <f t="shared" si="30"/>
        <v>Error?</v>
      </c>
    </row>
    <row r="2032" spans="1:4" x14ac:dyDescent="0.2">
      <c r="A2032" s="10">
        <v>1971</v>
      </c>
      <c r="D2032" s="2" t="str">
        <f t="shared" si="30"/>
        <v>OK</v>
      </c>
    </row>
    <row r="2033" spans="1:4" x14ac:dyDescent="0.2">
      <c r="A2033" s="5">
        <v>1972</v>
      </c>
      <c r="B2033" s="138">
        <f>'Cap Outlay Deprec 26'!H8</f>
        <v>1166115</v>
      </c>
      <c r="D2033" s="2" t="str">
        <f t="shared" si="30"/>
        <v>Error?</v>
      </c>
    </row>
    <row r="2034" spans="1:4" x14ac:dyDescent="0.2">
      <c r="A2034" s="5">
        <v>1973</v>
      </c>
      <c r="B2034" s="138">
        <f>'Cap Outlay Deprec 26'!H10</f>
        <v>134998</v>
      </c>
      <c r="D2034" s="2" t="str">
        <f t="shared" si="30"/>
        <v>Error?</v>
      </c>
    </row>
    <row r="2035" spans="1:4" x14ac:dyDescent="0.2">
      <c r="A2035" s="5">
        <v>1974</v>
      </c>
      <c r="B2035" s="138">
        <f>'Cap Outlay Deprec 26'!H12</f>
        <v>67150</v>
      </c>
      <c r="D2035" s="2" t="str">
        <f t="shared" si="30"/>
        <v>Error?</v>
      </c>
    </row>
    <row r="2036" spans="1:4" x14ac:dyDescent="0.2">
      <c r="A2036" s="5">
        <v>1975</v>
      </c>
      <c r="B2036" s="138">
        <f>'Cap Outlay Deprec 26'!H13</f>
        <v>123885</v>
      </c>
      <c r="D2036" s="2" t="str">
        <f t="shared" si="30"/>
        <v>Error?</v>
      </c>
    </row>
    <row r="2037" spans="1:4" x14ac:dyDescent="0.2">
      <c r="A2037" s="5">
        <v>1976</v>
      </c>
      <c r="B2037" s="138">
        <f>'Cap Outlay Deprec 26'!H16</f>
        <v>1492148</v>
      </c>
      <c r="C2037" s="2" t="s">
        <v>594</v>
      </c>
      <c r="D2037" s="2" t="str">
        <f t="shared" si="30"/>
        <v>Error?</v>
      </c>
    </row>
    <row r="2038" spans="1:4" x14ac:dyDescent="0.2">
      <c r="A2038" s="10">
        <v>1977</v>
      </c>
      <c r="D2038" s="2" t="str">
        <f t="shared" si="30"/>
        <v>OK</v>
      </c>
    </row>
    <row r="2039" spans="1:4" x14ac:dyDescent="0.2">
      <c r="A2039" s="5">
        <v>1978</v>
      </c>
      <c r="B2039" s="138">
        <f>'Cap Outlay Deprec 26'!I8</f>
        <v>31244</v>
      </c>
      <c r="D2039" s="2" t="str">
        <f t="shared" si="30"/>
        <v>Error?</v>
      </c>
    </row>
    <row r="2040" spans="1:4" x14ac:dyDescent="0.2">
      <c r="A2040" s="5">
        <v>1979</v>
      </c>
      <c r="B2040" s="138">
        <f>'Cap Outlay Deprec 26'!I10</f>
        <v>27552</v>
      </c>
      <c r="D2040" s="2" t="str">
        <f t="shared" si="30"/>
        <v>Error?</v>
      </c>
    </row>
    <row r="2041" spans="1:4" x14ac:dyDescent="0.2">
      <c r="A2041" s="5">
        <v>1980</v>
      </c>
      <c r="B2041" s="138">
        <f>'Cap Outlay Deprec 26'!I12</f>
        <v>17441</v>
      </c>
      <c r="D2041" s="2" t="str">
        <f t="shared" si="30"/>
        <v>Error?</v>
      </c>
    </row>
    <row r="2042" spans="1:4" x14ac:dyDescent="0.2">
      <c r="A2042" s="5">
        <v>1981</v>
      </c>
      <c r="B2042" s="138">
        <f>'Cap Outlay Deprec 26'!I13</f>
        <v>36188</v>
      </c>
      <c r="D2042" s="2" t="str">
        <f t="shared" si="30"/>
        <v>Error?</v>
      </c>
    </row>
    <row r="2043" spans="1:4" x14ac:dyDescent="0.2">
      <c r="A2043" s="5">
        <v>1982</v>
      </c>
      <c r="B2043" s="138">
        <f>'Cap Outlay Deprec 26'!I16</f>
        <v>112425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32741</v>
      </c>
      <c r="D2046" s="2" t="str">
        <f t="shared" si="30"/>
        <v>Error?</v>
      </c>
    </row>
    <row r="2047" spans="1:4" x14ac:dyDescent="0.2">
      <c r="A2047" s="5">
        <v>1986</v>
      </c>
      <c r="B2047" s="138">
        <f>'Cap Outlay Deprec 26'!J12</f>
        <v>6788</v>
      </c>
      <c r="D2047" s="2" t="str">
        <f t="shared" ref="D2047:D2110" si="31">IF(ISBLANK(B2047),"OK",IF(A2047-B2047=0,"OK","Error?"))</f>
        <v>Error?</v>
      </c>
    </row>
    <row r="2048" spans="1:4" x14ac:dyDescent="0.2">
      <c r="A2048" s="5">
        <v>1987</v>
      </c>
      <c r="B2048" s="138">
        <f>'Cap Outlay Deprec 26'!J13</f>
        <v>39660</v>
      </c>
      <c r="D2048" s="2" t="str">
        <f t="shared" si="31"/>
        <v>Error?</v>
      </c>
    </row>
    <row r="2049" spans="1:4" x14ac:dyDescent="0.2">
      <c r="A2049" s="5">
        <v>1988</v>
      </c>
      <c r="B2049" s="138">
        <f>'Cap Outlay Deprec 26'!J16</f>
        <v>79189</v>
      </c>
      <c r="C2049" s="2" t="s">
        <v>594</v>
      </c>
      <c r="D2049" s="2" t="str">
        <f t="shared" si="31"/>
        <v>Error?</v>
      </c>
    </row>
    <row r="2050" spans="1:4" x14ac:dyDescent="0.2">
      <c r="A2050" s="10">
        <v>1989</v>
      </c>
      <c r="D2050" s="2" t="str">
        <f t="shared" si="31"/>
        <v>OK</v>
      </c>
    </row>
    <row r="2051" spans="1:4" x14ac:dyDescent="0.2">
      <c r="A2051" s="5">
        <v>1990</v>
      </c>
      <c r="B2051" s="138">
        <f>'Cap Outlay Deprec 26'!K8</f>
        <v>1197359</v>
      </c>
      <c r="C2051" s="2" t="s">
        <v>594</v>
      </c>
      <c r="D2051" s="2" t="str">
        <f t="shared" si="31"/>
        <v>Error?</v>
      </c>
    </row>
    <row r="2052" spans="1:4" x14ac:dyDescent="0.2">
      <c r="A2052" s="5">
        <v>1991</v>
      </c>
      <c r="B2052" s="138">
        <f>'Cap Outlay Deprec 26'!K10</f>
        <v>129809</v>
      </c>
      <c r="C2052" s="2" t="s">
        <v>594</v>
      </c>
      <c r="D2052" s="2" t="str">
        <f t="shared" si="31"/>
        <v>Error?</v>
      </c>
    </row>
    <row r="2053" spans="1:4" x14ac:dyDescent="0.2">
      <c r="A2053" s="5">
        <v>1992</v>
      </c>
      <c r="B2053" s="138">
        <f>'Cap Outlay Deprec 26'!K12</f>
        <v>77803</v>
      </c>
      <c r="C2053" s="2" t="s">
        <v>594</v>
      </c>
      <c r="D2053" s="2" t="str">
        <f t="shared" si="31"/>
        <v>Error?</v>
      </c>
    </row>
    <row r="2054" spans="1:4" x14ac:dyDescent="0.2">
      <c r="A2054" s="5">
        <v>1993</v>
      </c>
      <c r="B2054" s="138">
        <f>'Cap Outlay Deprec 26'!K13</f>
        <v>120413</v>
      </c>
      <c r="C2054" s="2" t="s">
        <v>594</v>
      </c>
      <c r="D2054" s="2" t="str">
        <f t="shared" si="31"/>
        <v>Error?</v>
      </c>
    </row>
    <row r="2055" spans="1:4" x14ac:dyDescent="0.2">
      <c r="A2055" s="5">
        <v>1994</v>
      </c>
      <c r="B2055" s="138">
        <f>'Cap Outlay Deprec 26'!K16</f>
        <v>1525384</v>
      </c>
      <c r="C2055" s="2" t="s">
        <v>594</v>
      </c>
      <c r="D2055" s="2" t="str">
        <f t="shared" si="31"/>
        <v>Error?</v>
      </c>
    </row>
    <row r="2056" spans="1:4" x14ac:dyDescent="0.2">
      <c r="A2056" s="5">
        <v>1995</v>
      </c>
      <c r="B2056" s="138">
        <f>'Cap Outlay Deprec 26'!L5</f>
        <v>16025</v>
      </c>
      <c r="C2056" s="2" t="s">
        <v>594</v>
      </c>
      <c r="D2056" s="2" t="str">
        <f t="shared" si="31"/>
        <v>Error?</v>
      </c>
    </row>
    <row r="2057" spans="1:4" x14ac:dyDescent="0.2">
      <c r="A2057" s="5">
        <v>1996</v>
      </c>
      <c r="B2057" s="138">
        <f>'Cap Outlay Deprec 26'!L8</f>
        <v>723521</v>
      </c>
      <c r="C2057" s="2" t="s">
        <v>594</v>
      </c>
      <c r="D2057" s="2" t="str">
        <f t="shared" si="31"/>
        <v>Error?</v>
      </c>
    </row>
    <row r="2058" spans="1:4" x14ac:dyDescent="0.2">
      <c r="A2058" s="5">
        <v>1997</v>
      </c>
      <c r="B2058" s="138">
        <f>'Cap Outlay Deprec 26'!L10</f>
        <v>421285</v>
      </c>
      <c r="C2058" s="2" t="s">
        <v>594</v>
      </c>
      <c r="D2058" s="2" t="str">
        <f t="shared" si="31"/>
        <v>Error?</v>
      </c>
    </row>
    <row r="2059" spans="1:4" x14ac:dyDescent="0.2">
      <c r="A2059" s="5">
        <v>1998</v>
      </c>
      <c r="B2059" s="138">
        <f>'Cap Outlay Deprec 26'!L12</f>
        <v>96621</v>
      </c>
      <c r="C2059" s="2" t="s">
        <v>594</v>
      </c>
      <c r="D2059" s="2" t="str">
        <f t="shared" si="31"/>
        <v>Error?</v>
      </c>
    </row>
    <row r="2060" spans="1:4" x14ac:dyDescent="0.2">
      <c r="A2060" s="5">
        <v>1999</v>
      </c>
      <c r="B2060" s="138">
        <f>'Cap Outlay Deprec 26'!L13</f>
        <v>60521</v>
      </c>
      <c r="C2060" s="2" t="s">
        <v>594</v>
      </c>
      <c r="D2060" s="2" t="str">
        <f t="shared" si="31"/>
        <v>Error?</v>
      </c>
    </row>
    <row r="2061" spans="1:4" x14ac:dyDescent="0.2">
      <c r="A2061" s="5">
        <v>2000</v>
      </c>
      <c r="B2061" s="138">
        <f>'Cap Outlay Deprec 26'!L16</f>
        <v>1330176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243036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244139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30000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1122486</v>
      </c>
      <c r="C2551" s="2" t="s">
        <v>594</v>
      </c>
      <c r="D2551" s="2" t="str">
        <f t="shared" si="38"/>
        <v>Error?</v>
      </c>
    </row>
    <row r="2552" spans="1:4" x14ac:dyDescent="0.2">
      <c r="A2552" s="10">
        <v>2491</v>
      </c>
      <c r="D2552" s="2" t="str">
        <f t="shared" si="38"/>
        <v>OK</v>
      </c>
    </row>
    <row r="2553" spans="1:4" x14ac:dyDescent="0.2">
      <c r="A2553" s="5">
        <v>2492</v>
      </c>
      <c r="B2553" s="138">
        <f>'Acct Summary 7-8'!C6</f>
        <v>760575</v>
      </c>
      <c r="C2553" s="2" t="s">
        <v>594</v>
      </c>
      <c r="D2553" s="2" t="str">
        <f t="shared" si="38"/>
        <v>Error?</v>
      </c>
    </row>
    <row r="2554" spans="1:4" x14ac:dyDescent="0.2">
      <c r="A2554" s="5">
        <v>2493</v>
      </c>
      <c r="B2554" s="138">
        <f>'Acct Summary 7-8'!C7</f>
        <v>111266</v>
      </c>
      <c r="C2554" s="2" t="s">
        <v>594</v>
      </c>
      <c r="D2554" s="2" t="str">
        <f t="shared" si="38"/>
        <v>Error?</v>
      </c>
    </row>
    <row r="2555" spans="1:4" x14ac:dyDescent="0.2">
      <c r="A2555" s="5">
        <v>2494</v>
      </c>
      <c r="B2555" s="138">
        <f>'Acct Summary 7-8'!C8</f>
        <v>1994327</v>
      </c>
      <c r="C2555" s="2" t="s">
        <v>594</v>
      </c>
      <c r="D2555" s="2" t="str">
        <f t="shared" si="38"/>
        <v>Error?</v>
      </c>
    </row>
    <row r="2556" spans="1:4" x14ac:dyDescent="0.2">
      <c r="A2556" s="5">
        <v>2495</v>
      </c>
      <c r="B2556" s="138">
        <f>'Acct Summary 7-8'!C12</f>
        <v>1338451</v>
      </c>
      <c r="C2556" s="2" t="s">
        <v>594</v>
      </c>
      <c r="D2556" s="2" t="str">
        <f t="shared" si="38"/>
        <v>Error?</v>
      </c>
    </row>
    <row r="2557" spans="1:4" x14ac:dyDescent="0.2">
      <c r="A2557" s="5">
        <v>2496</v>
      </c>
      <c r="B2557" s="138">
        <f>'Acct Summary 7-8'!C13</f>
        <v>407797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244139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1990387</v>
      </c>
      <c r="C2561" s="2" t="s">
        <v>594</v>
      </c>
      <c r="D2561" s="2" t="str">
        <f t="shared" si="39"/>
        <v>Error?</v>
      </c>
    </row>
    <row r="2562" spans="1:4" x14ac:dyDescent="0.2">
      <c r="A2562" s="5">
        <v>2501</v>
      </c>
      <c r="B2562" s="138">
        <f>'Acct Summary 7-8'!C20</f>
        <v>3940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184166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184166</v>
      </c>
      <c r="C2568" s="2" t="s">
        <v>594</v>
      </c>
      <c r="D2568" s="2" t="str">
        <f t="shared" si="39"/>
        <v>Error?</v>
      </c>
    </row>
    <row r="2569" spans="1:4" x14ac:dyDescent="0.2">
      <c r="A2569" s="5">
        <v>2508</v>
      </c>
      <c r="B2569" s="138">
        <f>'Acct Summary 7-8'!D13</f>
        <v>140833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140833</v>
      </c>
      <c r="C2573" s="2" t="s">
        <v>594</v>
      </c>
      <c r="D2573" s="2" t="str">
        <f t="shared" si="39"/>
        <v>Error?</v>
      </c>
    </row>
    <row r="2574" spans="1:4" x14ac:dyDescent="0.2">
      <c r="A2574" s="5">
        <v>2513</v>
      </c>
      <c r="B2574" s="138">
        <f>'Acct Summary 7-8'!D20</f>
        <v>43333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90358</v>
      </c>
      <c r="C2591" s="2" t="s">
        <v>594</v>
      </c>
      <c r="D2591" s="2" t="str">
        <f t="shared" si="39"/>
        <v>Error?</v>
      </c>
    </row>
    <row r="2592" spans="1:4" x14ac:dyDescent="0.2">
      <c r="A2592" s="10">
        <v>2531</v>
      </c>
      <c r="D2592" s="2" t="str">
        <f t="shared" si="39"/>
        <v>OK</v>
      </c>
    </row>
    <row r="2593" spans="1:4" x14ac:dyDescent="0.2">
      <c r="A2593" s="5">
        <v>2532</v>
      </c>
      <c r="B2593" s="138">
        <f>'Acct Summary 7-8'!F6</f>
        <v>85122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175480</v>
      </c>
      <c r="C2595" s="2" t="s">
        <v>594</v>
      </c>
      <c r="D2595" s="2" t="str">
        <f t="shared" si="39"/>
        <v>Error?</v>
      </c>
    </row>
    <row r="2596" spans="1:4" x14ac:dyDescent="0.2">
      <c r="A2596" s="5">
        <v>2535</v>
      </c>
      <c r="B2596" s="138">
        <f>'Acct Summary 7-8'!F13</f>
        <v>140374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140374</v>
      </c>
      <c r="C2600" s="2" t="s">
        <v>594</v>
      </c>
      <c r="D2600" s="2" t="str">
        <f t="shared" si="39"/>
        <v>Error?</v>
      </c>
    </row>
    <row r="2601" spans="1:4" x14ac:dyDescent="0.2">
      <c r="A2601" s="5">
        <v>2540</v>
      </c>
      <c r="B2601" s="138">
        <f>'Acct Summary 7-8'!F20</f>
        <v>35106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63610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63610</v>
      </c>
      <c r="C2606" s="2" t="s">
        <v>594</v>
      </c>
      <c r="D2606" s="2" t="str">
        <f t="shared" si="39"/>
        <v>Error?</v>
      </c>
    </row>
    <row r="2607" spans="1:4" x14ac:dyDescent="0.2">
      <c r="A2607" s="5">
        <v>2546</v>
      </c>
      <c r="B2607" s="138">
        <f>'Acct Summary 7-8'!G12</f>
        <v>29603</v>
      </c>
      <c r="C2607" s="2" t="s">
        <v>594</v>
      </c>
      <c r="D2607" s="2" t="str">
        <f t="shared" si="39"/>
        <v>Error?</v>
      </c>
    </row>
    <row r="2608" spans="1:4" x14ac:dyDescent="0.2">
      <c r="A2608" s="5">
        <v>2547</v>
      </c>
      <c r="B2608" s="138">
        <f>'Acct Summary 7-8'!G13</f>
        <v>43912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76150</v>
      </c>
      <c r="C2612" s="2" t="s">
        <v>594</v>
      </c>
      <c r="D2612" s="2" t="str">
        <f t="shared" si="39"/>
        <v>Error?</v>
      </c>
    </row>
    <row r="2613" spans="1:4" x14ac:dyDescent="0.2">
      <c r="A2613" s="5">
        <v>2552</v>
      </c>
      <c r="B2613" s="138">
        <f>'Acct Summary 7-8'!G20</f>
        <v>-12540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72264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72264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56162</v>
      </c>
      <c r="C2634" s="2" t="s">
        <v>594</v>
      </c>
      <c r="D2634" s="2" t="str">
        <f t="shared" si="40"/>
        <v>Error?</v>
      </c>
    </row>
    <row r="2635" spans="1:4" x14ac:dyDescent="0.2">
      <c r="A2635" s="5">
        <v>2574</v>
      </c>
      <c r="B2635" s="138">
        <f>'Acct Summary 7-8'!E17</f>
        <v>56162</v>
      </c>
      <c r="C2635" s="2" t="s">
        <v>594</v>
      </c>
      <c r="D2635" s="2" t="str">
        <f t="shared" si="40"/>
        <v>Error?</v>
      </c>
    </row>
    <row r="2636" spans="1:4" x14ac:dyDescent="0.2">
      <c r="A2636" s="5">
        <v>2575</v>
      </c>
      <c r="B2636" s="138">
        <f>'Acct Summary 7-8'!E20</f>
        <v>16102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39566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39566</v>
      </c>
      <c r="C2658" s="2" t="s">
        <v>594</v>
      </c>
      <c r="D2658" s="2" t="str">
        <f t="shared" si="40"/>
        <v>Error?</v>
      </c>
    </row>
    <row r="2659" spans="1:4" x14ac:dyDescent="0.2">
      <c r="A2659" s="5">
        <v>2598</v>
      </c>
      <c r="B2659" s="138">
        <f>'Acct Summary 7-8'!H13</f>
        <v>51254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51254</v>
      </c>
      <c r="C2661" s="2" t="s">
        <v>594</v>
      </c>
      <c r="D2661" s="2" t="str">
        <f t="shared" si="40"/>
        <v>Error?</v>
      </c>
    </row>
    <row r="2662" spans="1:4" x14ac:dyDescent="0.2">
      <c r="A2662" s="5">
        <v>2601</v>
      </c>
      <c r="B2662" s="138">
        <f>'Acct Summary 7-8'!H20</f>
        <v>-11688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1103</v>
      </c>
      <c r="C2789" s="2" t="s">
        <v>594</v>
      </c>
      <c r="D2789" s="2" t="str">
        <f t="shared" si="42"/>
        <v>Error?</v>
      </c>
    </row>
    <row r="2790" spans="1:4" x14ac:dyDescent="0.2">
      <c r="A2790" s="5">
        <v>2729</v>
      </c>
      <c r="B2790" s="138">
        <f>'Expenditures 15-22'!E102</f>
        <v>1103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12203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381893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530874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4304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530874</v>
      </c>
      <c r="D2912" s="2" t="str">
        <f t="shared" si="44"/>
        <v>Error?</v>
      </c>
    </row>
    <row r="2913" spans="1:4" x14ac:dyDescent="0.2">
      <c r="A2913" s="5">
        <v>2852</v>
      </c>
      <c r="B2913" s="138">
        <f>'Assets-Liab 5-6'!I41</f>
        <v>530874</v>
      </c>
      <c r="C2913" s="2" t="s">
        <v>594</v>
      </c>
      <c r="D2913" s="2" t="str">
        <f t="shared" si="44"/>
        <v>Error?</v>
      </c>
    </row>
    <row r="2914" spans="1:4" x14ac:dyDescent="0.2">
      <c r="A2914" s="5">
        <v>2853</v>
      </c>
      <c r="B2914" s="138">
        <f>'Assets-Liab 5-6'!L33</f>
        <v>4304</v>
      </c>
      <c r="D2914" s="2" t="str">
        <f t="shared" si="44"/>
        <v>Error?</v>
      </c>
    </row>
    <row r="2915" spans="1:4" x14ac:dyDescent="0.2">
      <c r="A2915" s="10">
        <v>2854</v>
      </c>
      <c r="D2915" s="2" t="str">
        <f t="shared" si="44"/>
        <v>OK</v>
      </c>
    </row>
    <row r="2916" spans="1:4" x14ac:dyDescent="0.2">
      <c r="A2916" s="5">
        <v>2855</v>
      </c>
      <c r="B2916" s="138">
        <f>'Assets-Liab 5-6'!L34</f>
        <v>4304</v>
      </c>
      <c r="C2916" s="2" t="s">
        <v>594</v>
      </c>
      <c r="D2916" s="2" t="str">
        <f t="shared" si="44"/>
        <v>Error?</v>
      </c>
    </row>
    <row r="2917" spans="1:4" x14ac:dyDescent="0.2">
      <c r="A2917" s="5">
        <v>2856</v>
      </c>
      <c r="B2917" s="138">
        <f>'Assets-Liab 5-6'!L41</f>
        <v>4304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1103</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243036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1103</v>
      </c>
      <c r="C2973" s="2" t="s">
        <v>594</v>
      </c>
      <c r="D2973" s="2" t="str">
        <f t="shared" si="45"/>
        <v>Error?</v>
      </c>
    </row>
    <row r="2974" spans="1:4" x14ac:dyDescent="0.2">
      <c r="A2974" s="5">
        <v>2913</v>
      </c>
      <c r="B2974" s="138">
        <f>'Expenditures 15-22'!K79</f>
        <v>243036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27943</v>
      </c>
      <c r="C3225" s="2" t="s">
        <v>594</v>
      </c>
      <c r="D3225" s="2" t="str">
        <f t="shared" si="49"/>
        <v>Error?</v>
      </c>
    </row>
    <row r="3226" spans="1:4" x14ac:dyDescent="0.2">
      <c r="A3226" s="5">
        <v>3165</v>
      </c>
      <c r="B3226" s="138">
        <f>'Acct Summary 7-8'!I8</f>
        <v>27943</v>
      </c>
      <c r="C3226" s="2" t="s">
        <v>594</v>
      </c>
      <c r="D3226" s="2" t="str">
        <f t="shared" si="49"/>
        <v>Error?</v>
      </c>
    </row>
    <row r="3227" spans="1:4" x14ac:dyDescent="0.2">
      <c r="A3227" s="5">
        <v>3166</v>
      </c>
      <c r="B3227" s="138">
        <f>'Acct Summary 7-8'!I20</f>
        <v>27943</v>
      </c>
      <c r="C3227" s="2" t="s">
        <v>594</v>
      </c>
      <c r="D3227" s="2" t="str">
        <f t="shared" si="49"/>
        <v>Error?</v>
      </c>
    </row>
    <row r="3228" spans="1:4" x14ac:dyDescent="0.2">
      <c r="A3228" s="5">
        <v>3167</v>
      </c>
      <c r="B3228" s="138">
        <f>'Acct Summary 7-8'!C43</f>
        <v>15481</v>
      </c>
      <c r="D3228" s="2" t="str">
        <f t="shared" si="49"/>
        <v>Error?</v>
      </c>
    </row>
    <row r="3229" spans="1:4" x14ac:dyDescent="0.2">
      <c r="A3229" s="5">
        <v>3168</v>
      </c>
      <c r="B3229" s="138">
        <f>'Acct Summary 7-8'!C44</f>
        <v>15481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15481</v>
      </c>
      <c r="C3232" s="2" t="s">
        <v>594</v>
      </c>
      <c r="D3232" s="2" t="str">
        <f t="shared" si="49"/>
        <v>Error?</v>
      </c>
    </row>
    <row r="3233" spans="1:4" x14ac:dyDescent="0.2">
      <c r="A3233" s="5">
        <v>3172</v>
      </c>
      <c r="B3233" s="138">
        <f>'Acct Summary 7-8'!C78</f>
        <v>19421</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43333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35106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-12540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16102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-11688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27943</v>
      </c>
      <c r="C3320" s="2" t="s">
        <v>594</v>
      </c>
      <c r="D3320" s="2" t="str">
        <f t="shared" si="50"/>
        <v>Error?</v>
      </c>
    </row>
    <row r="3321" spans="1:4" x14ac:dyDescent="0.2">
      <c r="A3321" s="5">
        <v>3260</v>
      </c>
      <c r="B3321" s="138">
        <f>'Acct Summary 7-8'!I79</f>
        <v>502931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530874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99493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35070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134563</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17517</v>
      </c>
      <c r="D3387" s="2" t="str">
        <f t="shared" si="51"/>
        <v>Error?</v>
      </c>
    </row>
    <row r="3388" spans="1:4" x14ac:dyDescent="0.2">
      <c r="A3388" s="5">
        <v>3327</v>
      </c>
      <c r="B3388" s="138">
        <f>'Expenditures 15-22'!D217</f>
        <v>10856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17517</v>
      </c>
      <c r="C3390" s="2" t="s">
        <v>594</v>
      </c>
      <c r="D3390" s="2" t="str">
        <f t="shared" si="51"/>
        <v>Error?</v>
      </c>
    </row>
    <row r="3391" spans="1:4" x14ac:dyDescent="0.2">
      <c r="A3391" s="5">
        <v>3330</v>
      </c>
      <c r="B3391" s="138">
        <f>'Expenditures 15-22'!K217</f>
        <v>10856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484244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79730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24898</v>
      </c>
      <c r="D3417" s="2" t="str">
        <f t="shared" si="52"/>
        <v>Error?</v>
      </c>
    </row>
    <row r="3418" spans="1:4" x14ac:dyDescent="0.2">
      <c r="A3418" s="10">
        <v>3357</v>
      </c>
      <c r="D3418" s="2" t="str">
        <f t="shared" si="52"/>
        <v>OK</v>
      </c>
    </row>
    <row r="3419" spans="1:4" x14ac:dyDescent="0.2">
      <c r="A3419" s="5">
        <v>3358</v>
      </c>
      <c r="B3419" s="138">
        <f>'Assets-Liab 5-6'!F4</f>
        <v>42613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21256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71183</v>
      </c>
      <c r="D3425" s="2" t="str">
        <f t="shared" si="52"/>
        <v>Error?</v>
      </c>
    </row>
    <row r="3426" spans="1:4" x14ac:dyDescent="0.2">
      <c r="A3426" s="10">
        <v>3365</v>
      </c>
      <c r="D3426" s="2" t="str">
        <f t="shared" si="52"/>
        <v>OK</v>
      </c>
    </row>
    <row r="3427" spans="1:4" x14ac:dyDescent="0.2">
      <c r="A3427" s="5">
        <v>3366</v>
      </c>
      <c r="B3427" s="138">
        <f>'Assets-Liab 5-6'!I4</f>
        <v>148981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31545</v>
      </c>
      <c r="C3446" s="2" t="s">
        <v>594</v>
      </c>
      <c r="D3446" s="2" t="str">
        <f t="shared" si="52"/>
        <v>Error?</v>
      </c>
    </row>
    <row r="3447" spans="1:4" x14ac:dyDescent="0.2">
      <c r="A3447" s="5">
        <v>3386</v>
      </c>
      <c r="B3447" s="138">
        <f>'Tax Sched 23'!D16</f>
        <v>18361</v>
      </c>
      <c r="C3447" s="2" t="s">
        <v>594</v>
      </c>
      <c r="D3447" s="2" t="str">
        <f t="shared" si="52"/>
        <v>Error?</v>
      </c>
    </row>
    <row r="3448" spans="1:4" x14ac:dyDescent="0.2">
      <c r="A3448" s="5">
        <v>3387</v>
      </c>
      <c r="B3448" s="138">
        <f>'Tax Sched 23'!C16</f>
        <v>13184</v>
      </c>
      <c r="D3448" s="2" t="str">
        <f t="shared" si="52"/>
        <v>Error?</v>
      </c>
    </row>
    <row r="3449" spans="1:4" x14ac:dyDescent="0.2">
      <c r="A3449" s="5">
        <v>3388</v>
      </c>
      <c r="B3449" s="138">
        <f>'Tax Sched 23'!F16</f>
        <v>18818</v>
      </c>
      <c r="C3449" s="2" t="s">
        <v>594</v>
      </c>
      <c r="D3449" s="2" t="str">
        <f t="shared" si="52"/>
        <v>Error?</v>
      </c>
    </row>
    <row r="3450" spans="1:4" x14ac:dyDescent="0.2">
      <c r="A3450" s="5">
        <v>3389</v>
      </c>
      <c r="B3450" s="138">
        <f>'Tax Sched 23'!E16</f>
        <v>32002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12203</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12203</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12203</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120146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120146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120146</v>
      </c>
      <c r="D3567" s="2" t="str">
        <f t="shared" si="54"/>
        <v>Error?</v>
      </c>
    </row>
    <row r="3568" spans="1:4" x14ac:dyDescent="0.2">
      <c r="A3568" s="5">
        <v>3507</v>
      </c>
      <c r="B3568" s="138">
        <f>'Assets-Liab 5-6'!K41</f>
        <v>120146</v>
      </c>
      <c r="C3568" s="2" t="s">
        <v>594</v>
      </c>
      <c r="D3568" s="2" t="str">
        <f t="shared" si="54"/>
        <v>Error?</v>
      </c>
    </row>
    <row r="3569" spans="1:4" x14ac:dyDescent="0.2">
      <c r="A3569" s="5">
        <v>3508</v>
      </c>
      <c r="B3569" s="138">
        <f>'Acct Summary 7-8'!K4</f>
        <v>25393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25393</v>
      </c>
      <c r="C3571" s="2" t="s">
        <v>594</v>
      </c>
      <c r="D3571" s="2" t="str">
        <f t="shared" si="54"/>
        <v>Error?</v>
      </c>
    </row>
    <row r="3572" spans="1:4" x14ac:dyDescent="0.2">
      <c r="A3572" s="5">
        <v>3511</v>
      </c>
      <c r="B3572" s="138">
        <f>'Acct Summary 7-8'!K13</f>
        <v>18918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18918</v>
      </c>
      <c r="C3575" s="2" t="s">
        <v>594</v>
      </c>
      <c r="D3575" s="2" t="str">
        <f t="shared" si="54"/>
        <v>Error?</v>
      </c>
    </row>
    <row r="3576" spans="1:4" x14ac:dyDescent="0.2">
      <c r="A3576" s="5">
        <v>3515</v>
      </c>
      <c r="B3576" s="138">
        <f>'Acct Summary 7-8'!K20</f>
        <v>6475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6475</v>
      </c>
      <c r="C3588" s="2" t="s">
        <v>594</v>
      </c>
      <c r="D3588" s="2" t="str">
        <f t="shared" si="55"/>
        <v>Error?</v>
      </c>
    </row>
    <row r="3589" spans="1:4" x14ac:dyDescent="0.2">
      <c r="A3589" s="5">
        <v>3528</v>
      </c>
      <c r="B3589" s="138">
        <f>'Acct Summary 7-8'!K79</f>
        <v>113671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120146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18918</v>
      </c>
      <c r="D3632" s="2" t="str">
        <f t="shared" si="55"/>
        <v>Error?</v>
      </c>
    </row>
    <row r="3633" spans="1:4" x14ac:dyDescent="0.2">
      <c r="A3633" s="5">
        <v>3572</v>
      </c>
      <c r="B3633" s="138">
        <f>'Expenditures 15-22'!E350</f>
        <v>18918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18918</v>
      </c>
      <c r="C3635" s="2" t="s">
        <v>594</v>
      </c>
      <c r="D3635" s="2" t="str">
        <f t="shared" si="55"/>
        <v>Error?</v>
      </c>
    </row>
    <row r="3636" spans="1:4" x14ac:dyDescent="0.2">
      <c r="A3636" s="5">
        <v>3575</v>
      </c>
      <c r="B3636" s="138">
        <f>'Expenditures 15-22'!E367</f>
        <v>18918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18918</v>
      </c>
      <c r="C3669" s="2" t="s">
        <v>594</v>
      </c>
      <c r="D3669" s="2" t="str">
        <f t="shared" si="56"/>
        <v>Error?</v>
      </c>
    </row>
    <row r="3670" spans="1:4" x14ac:dyDescent="0.2">
      <c r="A3670" s="5">
        <v>3609</v>
      </c>
      <c r="B3670" s="138">
        <f>'Expenditures 15-22'!K350</f>
        <v>18918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18918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18918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6475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2635</v>
      </c>
      <c r="D3721" s="2" t="str">
        <f t="shared" si="57"/>
        <v>Error?</v>
      </c>
    </row>
    <row r="3722" spans="1:4" x14ac:dyDescent="0.2">
      <c r="A3722" s="5">
        <v>3661</v>
      </c>
      <c r="B3722" s="138">
        <f>'Expenditures 15-22'!D285</f>
        <v>2635</v>
      </c>
      <c r="C3722" s="2" t="s">
        <v>594</v>
      </c>
      <c r="D3722" s="2" t="str">
        <f t="shared" si="57"/>
        <v>Error?</v>
      </c>
    </row>
    <row r="3723" spans="1:4" x14ac:dyDescent="0.2">
      <c r="A3723" s="5">
        <v>3662</v>
      </c>
      <c r="B3723" s="138">
        <f>'Expenditures 15-22'!K283</f>
        <v>2635</v>
      </c>
      <c r="C3723" s="2" t="s">
        <v>594</v>
      </c>
      <c r="D3723" s="2" t="str">
        <f t="shared" si="57"/>
        <v>Error?</v>
      </c>
    </row>
    <row r="3724" spans="1:4" x14ac:dyDescent="0.2">
      <c r="A3724" s="5">
        <v>3663</v>
      </c>
      <c r="B3724" s="138">
        <f>'Expenditures 15-22'!K285</f>
        <v>2635</v>
      </c>
      <c r="C3724" s="2" t="s">
        <v>594</v>
      </c>
      <c r="D3724" s="2" t="str">
        <f t="shared" si="57"/>
        <v>Error?</v>
      </c>
    </row>
    <row r="3725" spans="1:4" x14ac:dyDescent="0.2">
      <c r="A3725" s="5">
        <v>3664</v>
      </c>
      <c r="B3725" s="138">
        <f>'Tax Sched 23'!B13</f>
        <v>25392</v>
      </c>
      <c r="C3725" s="2" t="s">
        <v>594</v>
      </c>
      <c r="D3725" s="2" t="str">
        <f t="shared" si="57"/>
        <v>Error?</v>
      </c>
    </row>
    <row r="3726" spans="1:4" x14ac:dyDescent="0.2">
      <c r="A3726" s="5">
        <v>3665</v>
      </c>
      <c r="B3726" s="138">
        <f>'Tax Sched 23'!D13</f>
        <v>14845</v>
      </c>
      <c r="C3726" s="2" t="s">
        <v>594</v>
      </c>
      <c r="D3726" s="2" t="str">
        <f t="shared" si="57"/>
        <v>Error?</v>
      </c>
    </row>
    <row r="3727" spans="1:4" x14ac:dyDescent="0.2">
      <c r="A3727" s="5">
        <v>3666</v>
      </c>
      <c r="B3727" s="138">
        <f>'Tax Sched 23'!C13</f>
        <v>10547</v>
      </c>
      <c r="D3727" s="2" t="str">
        <f t="shared" si="57"/>
        <v>Error?</v>
      </c>
    </row>
    <row r="3728" spans="1:4" x14ac:dyDescent="0.2">
      <c r="A3728" s="5">
        <v>3667</v>
      </c>
      <c r="B3728" s="138">
        <f>'Tax Sched 23'!F13</f>
        <v>15055</v>
      </c>
      <c r="C3728" s="2" t="s">
        <v>594</v>
      </c>
      <c r="D3728" s="2" t="str">
        <f t="shared" si="57"/>
        <v>Error?</v>
      </c>
    </row>
    <row r="3729" spans="1:4" x14ac:dyDescent="0.2">
      <c r="A3729" s="5">
        <v>3668</v>
      </c>
      <c r="B3729" s="138">
        <f>'Tax Sched 23'!E13</f>
        <v>25602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843788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2838115</v>
      </c>
      <c r="C4122" s="2" t="s">
        <v>594</v>
      </c>
      <c r="D4122" s="2" t="str">
        <f t="shared" si="63"/>
        <v>Error?</v>
      </c>
    </row>
    <row r="4123" spans="1:4" x14ac:dyDescent="0.2">
      <c r="A4123" s="5">
        <v>4062</v>
      </c>
      <c r="B4123" s="138">
        <f>'Acct Summary 7-8'!D10</f>
        <v>184166</v>
      </c>
      <c r="C4123" s="2" t="s">
        <v>594</v>
      </c>
      <c r="D4123" s="2" t="str">
        <f t="shared" si="63"/>
        <v>Error?</v>
      </c>
    </row>
    <row r="4124" spans="1:4" x14ac:dyDescent="0.2">
      <c r="A4124" s="5">
        <v>4063</v>
      </c>
      <c r="B4124" s="138">
        <f>'Acct Summary 7-8'!E10</f>
        <v>72264</v>
      </c>
      <c r="C4124" s="2" t="s">
        <v>594</v>
      </c>
      <c r="D4124" s="2" t="str">
        <f t="shared" si="63"/>
        <v>Error?</v>
      </c>
    </row>
    <row r="4125" spans="1:4" x14ac:dyDescent="0.2">
      <c r="A4125" s="5">
        <v>4064</v>
      </c>
      <c r="B4125" s="138">
        <f>'Acct Summary 7-8'!F10</f>
        <v>175480</v>
      </c>
      <c r="C4125" s="2" t="s">
        <v>594</v>
      </c>
      <c r="D4125" s="2" t="str">
        <f t="shared" si="63"/>
        <v>Error?</v>
      </c>
    </row>
    <row r="4126" spans="1:4" x14ac:dyDescent="0.2">
      <c r="A4126" s="5">
        <v>4065</v>
      </c>
      <c r="B4126" s="138">
        <f>'Acct Summary 7-8'!G10</f>
        <v>63610</v>
      </c>
      <c r="C4126" s="2" t="s">
        <v>594</v>
      </c>
      <c r="D4126" s="2" t="str">
        <f t="shared" si="63"/>
        <v>Error?</v>
      </c>
    </row>
    <row r="4127" spans="1:4" x14ac:dyDescent="0.2">
      <c r="A4127" s="5">
        <v>4066</v>
      </c>
      <c r="B4127" s="138">
        <f>'Acct Summary 7-8'!H10</f>
        <v>39566</v>
      </c>
      <c r="C4127" s="2" t="s">
        <v>594</v>
      </c>
      <c r="D4127" s="2" t="str">
        <f t="shared" si="63"/>
        <v>Error?</v>
      </c>
    </row>
    <row r="4128" spans="1:4" x14ac:dyDescent="0.2">
      <c r="A4128" s="5">
        <v>4067</v>
      </c>
      <c r="B4128" s="138">
        <f>'Acct Summary 7-8'!I10</f>
        <v>27943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25393</v>
      </c>
      <c r="C4130" s="2" t="s">
        <v>594</v>
      </c>
      <c r="D4130" s="2" t="str">
        <f t="shared" si="63"/>
        <v>Error?</v>
      </c>
    </row>
    <row r="4131" spans="1:4" x14ac:dyDescent="0.2">
      <c r="A4131" s="5">
        <v>4070</v>
      </c>
      <c r="B4131" s="138">
        <f>'Acct Summary 7-8'!C18</f>
        <v>843788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2834175</v>
      </c>
      <c r="C4136" s="2" t="s">
        <v>594</v>
      </c>
      <c r="D4136" s="2" t="str">
        <f t="shared" si="63"/>
        <v>Error?</v>
      </c>
    </row>
    <row r="4137" spans="1:4" x14ac:dyDescent="0.2">
      <c r="A4137" s="5">
        <v>4076</v>
      </c>
      <c r="B4137" s="138">
        <f>'Acct Summary 7-8'!D19</f>
        <v>140833</v>
      </c>
      <c r="C4137" s="2" t="s">
        <v>594</v>
      </c>
      <c r="D4137" s="2" t="str">
        <f t="shared" si="63"/>
        <v>Error?</v>
      </c>
    </row>
    <row r="4138" spans="1:4" x14ac:dyDescent="0.2">
      <c r="A4138" s="5">
        <v>4077</v>
      </c>
      <c r="B4138" s="138">
        <f>'Acct Summary 7-8'!E19</f>
        <v>56162</v>
      </c>
      <c r="C4138" s="2" t="s">
        <v>594</v>
      </c>
      <c r="D4138" s="2" t="str">
        <f t="shared" si="63"/>
        <v>Error?</v>
      </c>
    </row>
    <row r="4139" spans="1:4" x14ac:dyDescent="0.2">
      <c r="A4139" s="5">
        <v>4078</v>
      </c>
      <c r="B4139" s="138">
        <f>'Acct Summary 7-8'!F19</f>
        <v>140374</v>
      </c>
      <c r="C4139" s="2" t="s">
        <v>594</v>
      </c>
      <c r="D4139" s="2" t="str">
        <f t="shared" si="63"/>
        <v>Error?</v>
      </c>
    </row>
    <row r="4140" spans="1:4" x14ac:dyDescent="0.2">
      <c r="A4140" s="5">
        <v>4079</v>
      </c>
      <c r="B4140" s="138">
        <f>'Acct Summary 7-8'!G19</f>
        <v>76150</v>
      </c>
      <c r="C4140" s="2" t="s">
        <v>594</v>
      </c>
      <c r="D4140" s="2" t="str">
        <f t="shared" si="63"/>
        <v>Error?</v>
      </c>
    </row>
    <row r="4141" spans="1:4" x14ac:dyDescent="0.2">
      <c r="A4141" s="5">
        <v>4080</v>
      </c>
      <c r="B4141" s="138">
        <f>'Acct Summary 7-8'!H19</f>
        <v>51254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18918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120841</v>
      </c>
      <c r="C4171" s="2" t="s">
        <v>594</v>
      </c>
      <c r="D4171" s="2" t="str">
        <f t="shared" si="64"/>
        <v>Error?</v>
      </c>
    </row>
    <row r="4172" spans="1:4" x14ac:dyDescent="0.2">
      <c r="A4172" s="5">
        <v>4111</v>
      </c>
      <c r="B4172" s="138">
        <f>'Short-Term Long-Term Debt 24'!J49</f>
        <v>82633</v>
      </c>
      <c r="C4172" s="2" t="s">
        <v>594</v>
      </c>
      <c r="D4172" s="2" t="str">
        <f t="shared" si="64"/>
        <v>Error?</v>
      </c>
    </row>
    <row r="4173" spans="1:4" x14ac:dyDescent="0.2">
      <c r="A4173" s="5">
        <v>4112</v>
      </c>
      <c r="B4173" s="138">
        <f>'Short-Term Long-Term Debt 24'!H49</f>
        <v>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1940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206.19000000000003</v>
      </c>
      <c r="C4267" s="2" t="s">
        <v>594</v>
      </c>
      <c r="D4267" s="2" t="str">
        <f t="shared" si="65"/>
        <v>Error?</v>
      </c>
      <c r="E4267" s="128"/>
    </row>
    <row r="4268" spans="1:5" x14ac:dyDescent="0.2">
      <c r="A4268" s="12">
        <v>4207</v>
      </c>
      <c r="B4268" s="138">
        <f>('FP Info 3'!J10)*100000</f>
        <v>2396</v>
      </c>
      <c r="C4268" s="2" t="s">
        <v>594</v>
      </c>
      <c r="D4268" s="2" t="str">
        <f t="shared" si="65"/>
        <v>Error?</v>
      </c>
    </row>
    <row r="4269" spans="1:5" x14ac:dyDescent="0.2">
      <c r="A4269" s="12">
        <v>4208</v>
      </c>
      <c r="B4269" s="138">
        <f>'FP Info 3'!J16</f>
        <v>2727440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5674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12597</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13404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51203669</v>
      </c>
      <c r="D4995" s="2" t="str">
        <f t="shared" si="77"/>
        <v>Error?</v>
      </c>
    </row>
    <row r="4996" spans="1:4" x14ac:dyDescent="0.2">
      <c r="A4996" s="12">
        <v>4935</v>
      </c>
      <c r="B4996" s="138">
        <f>'FP Info 3'!H31</f>
        <v>3533053.1610000003</v>
      </c>
      <c r="D4996" s="2" t="str">
        <f t="shared" si="77"/>
        <v>Error?</v>
      </c>
    </row>
    <row r="4997" spans="1:4" x14ac:dyDescent="0.2">
      <c r="A4997" s="12">
        <v>4936</v>
      </c>
      <c r="B4997" s="138">
        <f>'FP Info 3'!H37</f>
        <v>120841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25392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985228</v>
      </c>
      <c r="D5061" s="2" t="str">
        <f t="shared" si="78"/>
        <v>Error?</v>
      </c>
    </row>
    <row r="5062" spans="1:4" x14ac:dyDescent="0.2">
      <c r="A5062" s="10">
        <v>5001</v>
      </c>
      <c r="D5062" s="2" t="str">
        <f t="shared" si="78"/>
        <v>OK</v>
      </c>
    </row>
    <row r="5063" spans="1:4" x14ac:dyDescent="0.2">
      <c r="A5063" s="5">
        <v>5002</v>
      </c>
      <c r="B5063" s="138">
        <f>'Revenues 9-14'!C7</f>
        <v>10157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1020777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12000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9455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9455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50804</v>
      </c>
      <c r="C5096" s="2" t="s">
        <v>594</v>
      </c>
      <c r="D5096" s="2" t="str">
        <f t="shared" si="78"/>
        <v>Error?</v>
      </c>
    </row>
    <row r="5097" spans="1:4" x14ac:dyDescent="0.2">
      <c r="A5097" s="5">
        <v>5036</v>
      </c>
      <c r="B5097" s="138">
        <f>'Revenues 9-14'!C77</f>
        <v>5192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5192</v>
      </c>
      <c r="C5102" s="2" t="s">
        <v>594</v>
      </c>
      <c r="D5102" s="2" t="str">
        <f t="shared" si="78"/>
        <v>Error?</v>
      </c>
    </row>
    <row r="5103" spans="1:4" x14ac:dyDescent="0.2">
      <c r="A5103" s="5">
        <v>5042</v>
      </c>
      <c r="B5103" s="138">
        <f>'Revenues 9-14'!C84</f>
        <v>14562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14562</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9696</v>
      </c>
      <c r="D5119" s="2" t="str">
        <f t="shared" ref="D5119:D5182" si="79">IF(ISBLANK(B5119),"OK",IF(A5119-B5119=0,"OK","Error?"))</f>
        <v>Error?</v>
      </c>
    </row>
    <row r="5120" spans="1:4" x14ac:dyDescent="0.2">
      <c r="A5120" s="5">
        <v>5059</v>
      </c>
      <c r="B5120" s="138">
        <f>'Revenues 9-14'!C108</f>
        <v>9696</v>
      </c>
      <c r="C5120" s="2" t="s">
        <v>594</v>
      </c>
      <c r="D5120" s="2" t="str">
        <f t="shared" si="79"/>
        <v>Error?</v>
      </c>
    </row>
    <row r="5121" spans="1:4" x14ac:dyDescent="0.2">
      <c r="A5121" s="5">
        <v>5060</v>
      </c>
      <c r="B5121" s="138">
        <f>'Revenues 9-14'!C109</f>
        <v>1122486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719690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719690</v>
      </c>
      <c r="C5132" s="2" t="s">
        <v>594</v>
      </c>
      <c r="D5132" s="2" t="str">
        <f t="shared" si="79"/>
        <v>Error?</v>
      </c>
    </row>
    <row r="5133" spans="1:4" x14ac:dyDescent="0.2">
      <c r="A5133" s="5">
        <v>5072</v>
      </c>
      <c r="B5133" s="138">
        <f>'Revenues 9-14'!C124</f>
        <v>8174</v>
      </c>
      <c r="D5133" s="2" t="str">
        <f t="shared" si="79"/>
        <v>Error?</v>
      </c>
    </row>
    <row r="5134" spans="1:4" x14ac:dyDescent="0.2">
      <c r="A5134" s="5">
        <v>5073</v>
      </c>
      <c r="B5134" s="138">
        <f>'Revenues 9-14'!C125</f>
        <v>19678</v>
      </c>
      <c r="D5134" s="2" t="str">
        <f t="shared" si="79"/>
        <v>Error?</v>
      </c>
    </row>
    <row r="5135" spans="1:4" x14ac:dyDescent="0.2">
      <c r="A5135" s="5">
        <v>5074</v>
      </c>
      <c r="B5135" s="138">
        <f>'Revenues 9-14'!C126</f>
        <v>7193</v>
      </c>
      <c r="D5135" s="2" t="str">
        <f t="shared" si="79"/>
        <v>Error?</v>
      </c>
    </row>
    <row r="5136" spans="1:4" x14ac:dyDescent="0.2">
      <c r="A5136" s="10">
        <v>5075</v>
      </c>
      <c r="D5136" s="2" t="str">
        <f t="shared" si="79"/>
        <v>OK</v>
      </c>
    </row>
    <row r="5137" spans="1:4" x14ac:dyDescent="0.2">
      <c r="A5137" s="5">
        <v>5076</v>
      </c>
      <c r="B5137" s="138">
        <f>'Revenues 9-14'!C127</f>
        <v>5492</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40537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348</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40885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760575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30097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30097</v>
      </c>
      <c r="C5246" s="2" t="s">
        <v>594</v>
      </c>
      <c r="D5246" s="2" t="str">
        <f t="shared" si="80"/>
        <v>Error?</v>
      </c>
    </row>
    <row r="5247" spans="1:4" x14ac:dyDescent="0.2">
      <c r="A5247" s="5">
        <v>5186</v>
      </c>
      <c r="B5247" s="138">
        <f>'Revenues 9-14'!C203</f>
        <v>43494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43494</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6000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6000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111266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111266</v>
      </c>
      <c r="C5326" s="2" t="s">
        <v>594</v>
      </c>
      <c r="D5326" s="2" t="str">
        <f t="shared" si="82"/>
        <v>Error?</v>
      </c>
    </row>
    <row r="5327" spans="1:4" x14ac:dyDescent="0.2">
      <c r="A5327" s="5">
        <v>5266</v>
      </c>
      <c r="B5327" s="138">
        <f>'Revenues 9-14'!C275</f>
        <v>1994327</v>
      </c>
      <c r="C5327" s="2" t="s">
        <v>594</v>
      </c>
      <c r="D5327" s="2" t="str">
        <f t="shared" si="82"/>
        <v>Error?</v>
      </c>
    </row>
    <row r="5328" spans="1:4" x14ac:dyDescent="0.2">
      <c r="A5328" s="5">
        <v>5267</v>
      </c>
      <c r="B5328" s="138">
        <f>'Revenues 9-14'!D5</f>
        <v>126962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126962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52219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52219</v>
      </c>
      <c r="C5339" s="2" t="s">
        <v>594</v>
      </c>
      <c r="D5339" s="2" t="str">
        <f t="shared" si="82"/>
        <v>Error?</v>
      </c>
    </row>
    <row r="5340" spans="1:4" x14ac:dyDescent="0.2">
      <c r="A5340" s="5">
        <v>5279</v>
      </c>
      <c r="B5340" s="138">
        <f>'Revenues 9-14'!D65</f>
        <v>1485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1485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3500</v>
      </c>
      <c r="C5355" s="2" t="s">
        <v>594</v>
      </c>
      <c r="D5355" s="2" t="str">
        <f t="shared" si="82"/>
        <v>Error?</v>
      </c>
    </row>
    <row r="5356" spans="1:4" x14ac:dyDescent="0.2">
      <c r="A5356" s="5">
        <v>5295</v>
      </c>
      <c r="B5356" s="138">
        <f>'Revenues 9-14'!D109</f>
        <v>184166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184166</v>
      </c>
      <c r="C5508" s="2" t="s">
        <v>594</v>
      </c>
      <c r="D5508" s="2" t="str">
        <f t="shared" si="85"/>
        <v>Error?</v>
      </c>
    </row>
    <row r="5509" spans="1:4" x14ac:dyDescent="0.2">
      <c r="A5509" s="5">
        <v>5448</v>
      </c>
      <c r="B5509" s="138">
        <f>'Revenues 9-14'!E5</f>
        <v>42236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42236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30000</v>
      </c>
      <c r="C5526" s="2" t="s">
        <v>594</v>
      </c>
      <c r="D5526" s="2" t="str">
        <f t="shared" si="85"/>
        <v>Error?</v>
      </c>
    </row>
    <row r="5527" spans="1:4" x14ac:dyDescent="0.2">
      <c r="A5527" s="5">
        <v>5466</v>
      </c>
      <c r="B5527" s="138">
        <f>'Revenues 9-14'!E109</f>
        <v>72264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72264</v>
      </c>
      <c r="C5552" s="2" t="s">
        <v>594</v>
      </c>
      <c r="D5552" s="2" t="str">
        <f t="shared" si="85"/>
        <v>Error?</v>
      </c>
    </row>
    <row r="5553" spans="1:4" x14ac:dyDescent="0.2">
      <c r="A5553" s="5">
        <v>5492</v>
      </c>
      <c r="B5553" s="138">
        <f>'Revenues 9-14'!F5</f>
        <v>88452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88452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1906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1906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90358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39902</v>
      </c>
      <c r="D5615" s="2" t="str">
        <f t="shared" si="86"/>
        <v>Error?</v>
      </c>
    </row>
    <row r="5616" spans="1:4" x14ac:dyDescent="0.2">
      <c r="A5616" s="10">
        <v>5555</v>
      </c>
      <c r="D5616" s="2" t="str">
        <f t="shared" si="86"/>
        <v>OK</v>
      </c>
    </row>
    <row r="5617" spans="1:4" x14ac:dyDescent="0.2">
      <c r="A5617" s="5">
        <v>5556</v>
      </c>
      <c r="B5617" s="138">
        <f>'Revenues 9-14'!F152</f>
        <v>45220</v>
      </c>
      <c r="D5617" s="2" t="str">
        <f t="shared" si="86"/>
        <v>Error?</v>
      </c>
    </row>
    <row r="5618" spans="1:4" x14ac:dyDescent="0.2">
      <c r="A5618" s="5">
        <v>5557</v>
      </c>
      <c r="B5618" s="138">
        <f>'Revenues 9-14'!F154</f>
        <v>85122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85122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85122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175480</v>
      </c>
      <c r="C5720" s="2" t="s">
        <v>594</v>
      </c>
      <c r="D5720" s="2" t="str">
        <f t="shared" si="88"/>
        <v>Error?</v>
      </c>
    </row>
    <row r="5721" spans="1:4" x14ac:dyDescent="0.2">
      <c r="A5721" s="5">
        <v>5660</v>
      </c>
      <c r="B5721" s="138">
        <f>'Revenues 9-14'!G5</f>
        <v>31545</v>
      </c>
      <c r="D5721" s="2" t="str">
        <f t="shared" si="88"/>
        <v>Error?</v>
      </c>
    </row>
    <row r="5722" spans="1:4" x14ac:dyDescent="0.2">
      <c r="A5722" s="5">
        <v>5661</v>
      </c>
      <c r="B5722" s="138">
        <f>'Revenues 9-14'!G7</f>
        <v>0</v>
      </c>
      <c r="D5722" s="2" t="str">
        <f t="shared" si="88"/>
        <v>Error?</v>
      </c>
    </row>
    <row r="5723" spans="1:4" x14ac:dyDescent="0.2">
      <c r="A5723" s="5">
        <v>5662</v>
      </c>
      <c r="B5723" s="138">
        <f>'Revenues 9-14'!G8</f>
        <v>31545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63090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v>
      </c>
      <c r="C5730" s="2" t="s">
        <v>594</v>
      </c>
      <c r="D5730" s="2" t="str">
        <f t="shared" si="88"/>
        <v>Error?</v>
      </c>
    </row>
    <row r="5731" spans="1:4" x14ac:dyDescent="0.2">
      <c r="A5731" s="5">
        <v>5670</v>
      </c>
      <c r="B5731" s="138">
        <f>'Revenues 9-14'!G65</f>
        <v>20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63610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39566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39566</v>
      </c>
      <c r="C5915" s="2" t="s">
        <v>594</v>
      </c>
      <c r="D5915" s="2" t="str">
        <f t="shared" si="91"/>
        <v>Error?</v>
      </c>
    </row>
    <row r="5916" spans="1:4" x14ac:dyDescent="0.2">
      <c r="A5916" s="5">
        <v>5855</v>
      </c>
      <c r="B5916" s="138">
        <f>'Revenues 9-14'!I5</f>
        <v>25392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25392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2551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2551</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27943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25393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25393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25393</v>
      </c>
      <c r="C6023" s="2" t="s">
        <v>594</v>
      </c>
      <c r="D6023" s="2" t="str">
        <f t="shared" si="93"/>
        <v>Error?</v>
      </c>
    </row>
    <row r="6024" spans="1:5" x14ac:dyDescent="0.2">
      <c r="A6024" s="5">
        <v>5963</v>
      </c>
      <c r="B6024" s="138">
        <f>'Revenues 9-14'!G109</f>
        <v>63610</v>
      </c>
      <c r="C6024" s="2" t="s">
        <v>594</v>
      </c>
      <c r="D6024" s="2" t="str">
        <f t="shared" si="93"/>
        <v>Error?</v>
      </c>
    </row>
    <row r="6025" spans="1:5" x14ac:dyDescent="0.2">
      <c r="A6025" s="5">
        <v>5964</v>
      </c>
      <c r="B6025" s="138">
        <f>'Revenues 9-14'!H109</f>
        <v>39566</v>
      </c>
      <c r="C6025" s="2" t="s">
        <v>594</v>
      </c>
      <c r="D6025" s="2" t="str">
        <f t="shared" si="93"/>
        <v>Error?</v>
      </c>
    </row>
    <row r="6026" spans="1:5" x14ac:dyDescent="0.2">
      <c r="A6026" s="5">
        <v>5965</v>
      </c>
      <c r="B6026" s="138">
        <f>'Revenues 9-14'!I109</f>
        <v>27943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25393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50804</v>
      </c>
      <c r="D6031" s="2" t="str">
        <f t="shared" si="93"/>
        <v>Error?</v>
      </c>
    </row>
    <row r="6032" spans="1:5" x14ac:dyDescent="0.2">
      <c r="A6032" s="5">
        <v>5971</v>
      </c>
      <c r="B6032" s="138">
        <f>'Acct Summary 7-8'!G15</f>
        <v>2635</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14572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285.18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12573</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12573</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10100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3021</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10100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3021</v>
      </c>
      <c r="D6215" s="2" t="str">
        <f t="shared" si="96"/>
        <v>Error?</v>
      </c>
      <c r="E6215" s="2" t="s">
        <v>199</v>
      </c>
    </row>
    <row r="6216" spans="1:5" x14ac:dyDescent="0.2">
      <c r="A6216">
        <v>6155</v>
      </c>
      <c r="B6216" s="138">
        <f>'Assets-Liab 5-6'!J41</f>
        <v>3021</v>
      </c>
      <c r="D6216" s="2" t="str">
        <f t="shared" si="96"/>
        <v>Error?</v>
      </c>
      <c r="E6216" s="2" t="s">
        <v>199</v>
      </c>
    </row>
    <row r="6217" spans="1:5" x14ac:dyDescent="0.2">
      <c r="A6217">
        <v>6156</v>
      </c>
      <c r="B6217" s="138">
        <f>'Assets-Liab 5-6'!J4</f>
        <v>3021</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249008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249008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249008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250704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250704</v>
      </c>
      <c r="D6229" s="2" t="str">
        <f t="shared" si="96"/>
        <v>Error?</v>
      </c>
      <c r="E6229" s="2" t="s">
        <v>199</v>
      </c>
    </row>
    <row r="6230" spans="1:5" x14ac:dyDescent="0.2">
      <c r="A6230">
        <v>6169</v>
      </c>
      <c r="B6230" s="138">
        <f>'Acct Summary 7-8'!J20</f>
        <v>-1696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-1696</v>
      </c>
      <c r="D6263" s="2" t="str">
        <f t="shared" si="96"/>
        <v>Error?</v>
      </c>
      <c r="E6263" s="2" t="s">
        <v>199</v>
      </c>
    </row>
    <row r="6264" spans="1:5" x14ac:dyDescent="0.2">
      <c r="A6264">
        <v>6203</v>
      </c>
      <c r="B6264" s="138">
        <f>'Acct Summary 7-8'!J79</f>
        <v>4717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3021</v>
      </c>
      <c r="D6266" s="2" t="str">
        <f t="shared" si="96"/>
        <v>Error?</v>
      </c>
      <c r="E6266" s="2" t="s">
        <v>199</v>
      </c>
    </row>
    <row r="6267" spans="1:5" x14ac:dyDescent="0.2">
      <c r="A6267">
        <v>6206</v>
      </c>
      <c r="B6267" s="138">
        <f>'Acct Summary 7-8'!C82</f>
        <v>19421</v>
      </c>
      <c r="D6267" s="2" t="str">
        <f t="shared" si="96"/>
        <v>Error?</v>
      </c>
      <c r="E6267" s="2" t="s">
        <v>199</v>
      </c>
    </row>
    <row r="6268" spans="1:5" x14ac:dyDescent="0.2">
      <c r="A6268">
        <v>6207</v>
      </c>
      <c r="B6268" s="138">
        <f>'Acct Summary 7-8'!D82</f>
        <v>43333</v>
      </c>
      <c r="D6268" s="2" t="str">
        <f t="shared" si="96"/>
        <v>Error?</v>
      </c>
      <c r="E6268" s="2" t="s">
        <v>199</v>
      </c>
    </row>
    <row r="6269" spans="1:5" x14ac:dyDescent="0.2">
      <c r="A6269">
        <v>6208</v>
      </c>
      <c r="B6269" s="138">
        <f>'Acct Summary 7-8'!E82</f>
        <v>16102</v>
      </c>
      <c r="D6269" s="2" t="str">
        <f t="shared" si="96"/>
        <v>Error?</v>
      </c>
      <c r="E6269" s="2" t="s">
        <v>199</v>
      </c>
    </row>
    <row r="6270" spans="1:5" x14ac:dyDescent="0.2">
      <c r="A6270">
        <v>6209</v>
      </c>
      <c r="B6270" s="138">
        <f>'Acct Summary 7-8'!F82</f>
        <v>35106</v>
      </c>
      <c r="D6270" s="2" t="str">
        <f t="shared" si="96"/>
        <v>Error?</v>
      </c>
      <c r="E6270" s="2" t="s">
        <v>199</v>
      </c>
    </row>
    <row r="6271" spans="1:5" x14ac:dyDescent="0.2">
      <c r="A6271">
        <v>6210</v>
      </c>
      <c r="B6271" s="138">
        <f>'Acct Summary 7-8'!G82</f>
        <v>-12540</v>
      </c>
      <c r="D6271" s="2" t="str">
        <f t="shared" ref="D6271:D6334" si="97">IF(ISBLANK(B6271),"OK",IF(A6271-B6271=0,"OK","Error?"))</f>
        <v>Error?</v>
      </c>
      <c r="E6271" s="2" t="s">
        <v>199</v>
      </c>
    </row>
    <row r="6272" spans="1:5" x14ac:dyDescent="0.2">
      <c r="A6272">
        <v>6211</v>
      </c>
      <c r="B6272" s="138">
        <f>'Acct Summary 7-8'!H82</f>
        <v>-11688</v>
      </c>
      <c r="D6272" s="2" t="str">
        <f t="shared" si="97"/>
        <v>Error?</v>
      </c>
      <c r="E6272" s="2" t="s">
        <v>199</v>
      </c>
    </row>
    <row r="6273" spans="1:5" x14ac:dyDescent="0.2">
      <c r="A6273">
        <v>6212</v>
      </c>
      <c r="B6273" s="138">
        <f>'Acct Summary 7-8'!I82</f>
        <v>27943</v>
      </c>
      <c r="D6273" s="2" t="str">
        <f t="shared" si="97"/>
        <v>Error?</v>
      </c>
      <c r="E6273" s="2" t="s">
        <v>199</v>
      </c>
    </row>
    <row r="6274" spans="1:5" x14ac:dyDescent="0.2">
      <c r="A6274">
        <v>6213</v>
      </c>
      <c r="B6274" s="138">
        <f>'Acct Summary 7-8'!J82</f>
        <v>-1696</v>
      </c>
      <c r="D6274" s="2" t="str">
        <f t="shared" si="97"/>
        <v>Error?</v>
      </c>
      <c r="E6274" s="2" t="s">
        <v>199</v>
      </c>
    </row>
    <row r="6275" spans="1:5" x14ac:dyDescent="0.2">
      <c r="A6275">
        <v>6214</v>
      </c>
      <c r="B6275" s="138">
        <f>'Acct Summary 7-8'!K82</f>
        <v>6475</v>
      </c>
      <c r="D6275" s="2" t="str">
        <f t="shared" si="97"/>
        <v>Error?</v>
      </c>
      <c r="E6275" s="2" t="s">
        <v>199</v>
      </c>
    </row>
    <row r="6276" spans="1:5" x14ac:dyDescent="0.2">
      <c r="A6276">
        <v>6215</v>
      </c>
      <c r="B6276" s="138">
        <f>'Acct Summary 7-8'!C83</f>
        <v>1.233760871084345E-2</v>
      </c>
      <c r="D6276" s="2" t="str">
        <f t="shared" si="97"/>
        <v>Error?</v>
      </c>
      <c r="E6276" s="2" t="s">
        <v>199</v>
      </c>
    </row>
    <row r="6277" spans="1:5" x14ac:dyDescent="0.2">
      <c r="A6277">
        <v>6216</v>
      </c>
      <c r="B6277" s="138">
        <f>'Acct Summary 7-8'!D83</f>
        <v>0.14489540700318326</v>
      </c>
      <c r="D6277" s="2" t="str">
        <f t="shared" si="97"/>
        <v>Error?</v>
      </c>
      <c r="E6277" s="2" t="s">
        <v>199</v>
      </c>
    </row>
    <row r="6278" spans="1:5" x14ac:dyDescent="0.2">
      <c r="A6278">
        <v>6217</v>
      </c>
      <c r="B6278" s="138">
        <f>'Acct Summary 7-8'!E83</f>
        <v>0.42143006700167507</v>
      </c>
      <c r="D6278" s="2" t="str">
        <f t="shared" si="97"/>
        <v>Error?</v>
      </c>
      <c r="E6278" s="2" t="s">
        <v>199</v>
      </c>
    </row>
    <row r="6279" spans="1:5" x14ac:dyDescent="0.2">
      <c r="A6279">
        <v>6218</v>
      </c>
      <c r="B6279" s="138">
        <f>'Acct Summary 7-8'!F83</f>
        <v>0.10856227502690399</v>
      </c>
      <c r="D6279" s="2" t="str">
        <f t="shared" si="97"/>
        <v>Error?</v>
      </c>
      <c r="E6279" s="2" t="s">
        <v>199</v>
      </c>
    </row>
    <row r="6280" spans="1:5" x14ac:dyDescent="0.2">
      <c r="A6280">
        <v>6219</v>
      </c>
      <c r="B6280" s="138">
        <f>'Acct Summary 7-8'!G83</f>
        <v>-1.1223485187505593</v>
      </c>
      <c r="D6280" s="2" t="str">
        <f t="shared" si="97"/>
        <v>Error?</v>
      </c>
      <c r="E6280" s="2" t="s">
        <v>199</v>
      </c>
    </row>
    <row r="6281" spans="1:5" x14ac:dyDescent="0.2">
      <c r="A6281">
        <v>6220</v>
      </c>
      <c r="B6281" s="138">
        <f>'Acct Summary 7-8'!H83</f>
        <v>-0.16419650759310508</v>
      </c>
      <c r="D6281" s="2" t="str">
        <f t="shared" si="97"/>
        <v>Error?</v>
      </c>
      <c r="E6281" s="2" t="s">
        <v>199</v>
      </c>
    </row>
    <row r="6282" spans="1:5" x14ac:dyDescent="0.2">
      <c r="A6282">
        <v>6221</v>
      </c>
      <c r="B6282" s="138">
        <f>'Acct Summary 7-8'!I83</f>
        <v>5.2635842026544907E-2</v>
      </c>
      <c r="D6282" s="2" t="str">
        <f t="shared" si="97"/>
        <v>Error?</v>
      </c>
      <c r="E6282" s="2" t="s">
        <v>199</v>
      </c>
    </row>
    <row r="6283" spans="1:5" x14ac:dyDescent="0.2">
      <c r="A6283">
        <v>6222</v>
      </c>
      <c r="B6283" s="138">
        <f>'Acct Summary 7-8'!J83</f>
        <v>-0.56140350877192979</v>
      </c>
      <c r="D6283" s="2" t="str">
        <f t="shared" si="97"/>
        <v>Error?</v>
      </c>
      <c r="E6283" s="2" t="s">
        <v>199</v>
      </c>
    </row>
    <row r="6284" spans="1:5" x14ac:dyDescent="0.2">
      <c r="A6284">
        <v>6223</v>
      </c>
      <c r="B6284" s="138">
        <f>'Acct Summary 7-8'!K83</f>
        <v>5.3892763804038422E-2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249008</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249008</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249008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250704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249008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504</v>
      </c>
      <c r="D7093" s="2" t="str">
        <f t="shared" si="109"/>
        <v>Error?</v>
      </c>
    </row>
    <row r="7094" spans="1:4" x14ac:dyDescent="0.2">
      <c r="A7094">
        <v>7033</v>
      </c>
      <c r="B7094" s="138">
        <f>'Expenditures 15-22'!K254</f>
        <v>504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13461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13461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84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84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11358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11358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12996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2177</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15173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196770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196770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2127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2127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248527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2177</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250704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248527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2177</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250704</v>
      </c>
      <c r="D7224" s="2" t="str">
        <f t="shared" si="111"/>
        <v>Error?</v>
      </c>
    </row>
    <row r="7225" spans="1:4" x14ac:dyDescent="0.2">
      <c r="A7225">
        <v>7164</v>
      </c>
      <c r="B7225" s="138">
        <f>'Expenditures 15-22'!K343</f>
        <v>-1696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112425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11731</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11731</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69566</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69566</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10157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39566</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30000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39566</v>
      </c>
      <c r="D7730" s="2" t="str">
        <f t="shared" si="126"/>
        <v>Error?</v>
      </c>
      <c r="E7730" s="2" t="s">
        <v>881</v>
      </c>
    </row>
    <row r="7731" spans="1:6" x14ac:dyDescent="0.2">
      <c r="A7731">
        <v>7670</v>
      </c>
      <c r="B7731" s="138">
        <f>'Revenues 9-14'!H103</f>
        <v>39566</v>
      </c>
      <c r="D7731" s="2" t="str">
        <f t="shared" si="126"/>
        <v>Error?</v>
      </c>
      <c r="E7731" s="2" t="s">
        <v>881</v>
      </c>
    </row>
    <row r="7732" spans="1:6" x14ac:dyDescent="0.2">
      <c r="A7732">
        <v>7671</v>
      </c>
      <c r="B7732" s="138">
        <f>'Rest Tax Levies-Tort Im 25'!J24</f>
        <v>30000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30000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131210</v>
      </c>
      <c r="D7797" s="2" t="str">
        <f t="shared" si="127"/>
        <v>Error?</v>
      </c>
      <c r="E7797" s="4" t="s">
        <v>2020</v>
      </c>
    </row>
    <row r="7798" spans="1:5" x14ac:dyDescent="0.2">
      <c r="A7798">
        <v>7737</v>
      </c>
      <c r="B7798" s="138">
        <f>'Contracts Paid in CY 29'!F141</f>
        <v>25000</v>
      </c>
      <c r="D7798" s="2" t="str">
        <f t="shared" si="127"/>
        <v>Error?</v>
      </c>
      <c r="E7798" s="4" t="s">
        <v>2020</v>
      </c>
    </row>
    <row r="7799" spans="1:5" x14ac:dyDescent="0.2">
      <c r="A7799">
        <v>7738</v>
      </c>
      <c r="B7799" s="138">
        <f>'Contracts Paid in CY 29'!G141</f>
        <v>106210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3" t="s">
        <v>1253</v>
      </c>
      <c r="B2" s="2423"/>
      <c r="C2" s="2423"/>
      <c r="D2" s="2423"/>
      <c r="E2" s="2423"/>
      <c r="F2" s="2423"/>
      <c r="G2" s="2423"/>
      <c r="H2" s="2423"/>
      <c r="I2" s="2423"/>
      <c r="J2" s="2423"/>
      <c r="K2" s="2423"/>
      <c r="L2" s="2423"/>
    </row>
    <row r="3" spans="1:29" ht="13.5" customHeight="1" x14ac:dyDescent="0.2">
      <c r="A3" s="2409" t="s">
        <v>1252</v>
      </c>
      <c r="B3" s="2409"/>
      <c r="C3" s="2409"/>
      <c r="D3" s="2409"/>
      <c r="E3" s="2409"/>
      <c r="F3" s="2409"/>
      <c r="G3" s="2409"/>
      <c r="H3" s="2409"/>
      <c r="I3" s="2409"/>
      <c r="J3" s="2409"/>
      <c r="K3" s="2409"/>
      <c r="L3" s="2409"/>
    </row>
    <row r="4" spans="1:29" ht="13.5" customHeight="1" x14ac:dyDescent="0.2">
      <c r="A4" s="2423" t="s">
        <v>1799</v>
      </c>
      <c r="B4" s="2440"/>
      <c r="C4" s="2440"/>
      <c r="D4" s="2440"/>
      <c r="E4" s="2440"/>
      <c r="F4" s="2440"/>
      <c r="G4" s="2440"/>
      <c r="H4" s="2440"/>
      <c r="I4" s="2440"/>
      <c r="J4" s="2440"/>
      <c r="K4" s="2440"/>
      <c r="L4" s="244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3" t="str">
        <f>COVER!A17</f>
        <v>Monroe Grade School, District No. 70</v>
      </c>
      <c r="B7" s="2404"/>
      <c r="C7" s="2404"/>
      <c r="D7" s="2441"/>
      <c r="E7" s="2442">
        <f>COVER!A13</f>
        <v>48072070002</v>
      </c>
      <c r="F7" s="2443"/>
      <c r="G7" s="2410" t="str">
        <f>COVER!T23</f>
        <v>066-004769</v>
      </c>
      <c r="H7" s="2411"/>
      <c r="I7" s="2411"/>
      <c r="J7" s="2411"/>
      <c r="K7" s="2411"/>
      <c r="L7" s="241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3"/>
      <c r="B9" s="2414"/>
      <c r="C9" s="2414"/>
      <c r="D9" s="2414"/>
      <c r="E9" s="2414"/>
      <c r="F9" s="2415"/>
      <c r="G9" s="2416" t="str">
        <f>COVER!T13</f>
        <v>Meister, Hilton, Chitwood &amp;  Associates, Inc.</v>
      </c>
      <c r="H9" s="2417"/>
      <c r="I9" s="2417"/>
      <c r="J9" s="2417"/>
      <c r="K9" s="2417"/>
      <c r="L9" s="2418"/>
    </row>
    <row r="10" spans="1:29" ht="13.5" customHeight="1" x14ac:dyDescent="0.2">
      <c r="A10" s="2400" t="str">
        <f>COVER!A38</f>
        <v>Darrick Reiley</v>
      </c>
      <c r="B10" s="2401"/>
      <c r="C10" s="2401"/>
      <c r="D10" s="2401"/>
      <c r="E10" s="2401"/>
      <c r="F10" s="2402"/>
      <c r="G10" s="2416" t="str">
        <f>COVER!T17</f>
        <v>809 W.  Detweiller Drive, Suite 804</v>
      </c>
      <c r="H10" s="2429"/>
      <c r="I10" s="2429"/>
      <c r="J10" s="2429"/>
      <c r="K10" s="2429"/>
      <c r="L10" s="2430"/>
    </row>
    <row r="11" spans="1:29" ht="13.5" customHeight="1" x14ac:dyDescent="0.2">
      <c r="A11" s="1185" t="s">
        <v>1599</v>
      </c>
      <c r="B11" s="1186"/>
      <c r="C11" s="1187"/>
      <c r="D11" s="1192"/>
      <c r="E11" s="1187"/>
      <c r="F11" s="1191"/>
      <c r="G11" s="2416" t="str">
        <f>COVER!T19</f>
        <v>Peoria</v>
      </c>
      <c r="H11" s="2429"/>
      <c r="I11" s="2429"/>
      <c r="J11" s="2429"/>
      <c r="K11" s="2429"/>
      <c r="L11" s="2430"/>
    </row>
    <row r="12" spans="1:29" ht="13.5" customHeight="1" x14ac:dyDescent="0.2">
      <c r="A12" s="2434" t="s">
        <v>1598</v>
      </c>
      <c r="B12" s="2435"/>
      <c r="C12" s="2435"/>
      <c r="D12" s="2435"/>
      <c r="E12" s="2435"/>
      <c r="F12" s="2436"/>
      <c r="G12" s="2431"/>
      <c r="H12" s="2432"/>
      <c r="I12" s="2432"/>
      <c r="J12" s="2432"/>
      <c r="K12" s="2432"/>
      <c r="L12" s="2433"/>
    </row>
    <row r="13" spans="1:29" ht="13.5" customHeight="1" x14ac:dyDescent="0.2">
      <c r="A13" s="2416"/>
      <c r="B13" s="2429"/>
      <c r="C13" s="2429"/>
      <c r="D13" s="2429"/>
      <c r="E13" s="2429"/>
      <c r="F13" s="2430"/>
      <c r="G13" s="2424" t="s">
        <v>1600</v>
      </c>
      <c r="H13" s="2425"/>
      <c r="I13" s="2437" t="str">
        <f>COVER!T25</f>
        <v>ron.hilton1@comcast.net</v>
      </c>
      <c r="J13" s="2438"/>
      <c r="K13" s="2438"/>
      <c r="L13" s="2439"/>
    </row>
    <row r="14" spans="1:29" ht="13.5" customHeight="1" x14ac:dyDescent="0.2">
      <c r="A14" s="2416" t="str">
        <f>COVER!A19</f>
        <v>5137 West Cisna Road</v>
      </c>
      <c r="B14" s="2429"/>
      <c r="C14" s="2429"/>
      <c r="D14" s="2429"/>
      <c r="E14" s="2429"/>
      <c r="F14" s="2430"/>
      <c r="G14" s="1196" t="s">
        <v>1247</v>
      </c>
      <c r="H14" s="1194"/>
      <c r="I14" s="1194"/>
      <c r="J14" s="1194"/>
      <c r="K14" s="1194"/>
      <c r="L14" s="1195"/>
    </row>
    <row r="15" spans="1:29" ht="13.5" customHeight="1" x14ac:dyDescent="0.2">
      <c r="A15" s="2416" t="str">
        <f>COVER!A21</f>
        <v>Bartonville</v>
      </c>
      <c r="B15" s="2429"/>
      <c r="C15" s="2429"/>
      <c r="D15" s="2429"/>
      <c r="E15" s="2429"/>
      <c r="F15" s="2430"/>
      <c r="G15" s="2426" t="str">
        <f>COVER!T15</f>
        <v>Ron Hilton</v>
      </c>
      <c r="H15" s="2427"/>
      <c r="I15" s="2427"/>
      <c r="J15" s="2427"/>
      <c r="K15" s="2427"/>
      <c r="L15" s="2428"/>
    </row>
    <row r="16" spans="1:29" ht="12.2" customHeight="1" x14ac:dyDescent="0.2">
      <c r="A16" s="2406">
        <f>COVER!A25</f>
        <v>61607</v>
      </c>
      <c r="B16" s="2407"/>
      <c r="C16" s="2407"/>
      <c r="D16" s="2407"/>
      <c r="E16" s="2407"/>
      <c r="F16" s="2408"/>
      <c r="G16" s="2419"/>
      <c r="H16" s="2420"/>
      <c r="I16" s="2420"/>
      <c r="J16" s="2420"/>
      <c r="K16" s="2420"/>
      <c r="L16" s="2421"/>
    </row>
    <row r="17" spans="1:13" ht="12.2" customHeight="1" x14ac:dyDescent="0.2">
      <c r="A17" s="2422"/>
      <c r="B17" s="2407"/>
      <c r="C17" s="2407"/>
      <c r="D17" s="2407"/>
      <c r="E17" s="2407"/>
      <c r="F17" s="2408"/>
      <c r="G17" s="1196" t="s">
        <v>1246</v>
      </c>
      <c r="H17" s="1194"/>
      <c r="I17" s="1194"/>
      <c r="J17" s="1194"/>
      <c r="K17" s="1198" t="s">
        <v>1245</v>
      </c>
      <c r="L17" s="1191"/>
      <c r="M17" s="1184"/>
    </row>
    <row r="18" spans="1:13" ht="12.2" customHeight="1" x14ac:dyDescent="0.2">
      <c r="A18" s="2400"/>
      <c r="B18" s="2401"/>
      <c r="C18" s="2401"/>
      <c r="D18" s="2401"/>
      <c r="E18" s="2401"/>
      <c r="F18" s="2402"/>
      <c r="G18" s="2403" t="str">
        <f>COVER!T21</f>
        <v>(309) 683-0441</v>
      </c>
      <c r="H18" s="2404"/>
      <c r="I18" s="2404"/>
      <c r="J18" s="2404"/>
      <c r="K18" s="2403" t="str">
        <f>COVER!X21</f>
        <v>(309) 692-0492</v>
      </c>
      <c r="L18" s="240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F31" sqref="F3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Monroe Grade School, District No. 70</v>
      </c>
      <c r="B1" s="2440"/>
      <c r="C1" s="2440"/>
      <c r="D1" s="2440"/>
    </row>
    <row r="2" spans="1:11" s="1215" customFormat="1" ht="12.75" x14ac:dyDescent="0.2">
      <c r="A2" s="2445">
        <f>'Single Audit Cover'!E7</f>
        <v>48072070002</v>
      </c>
      <c r="B2" s="2446"/>
      <c r="C2" s="2446"/>
      <c r="D2" s="2446"/>
    </row>
    <row r="3" spans="1:11" s="1215" customFormat="1" ht="12.75" x14ac:dyDescent="0.2">
      <c r="A3" s="2444" t="s">
        <v>1593</v>
      </c>
      <c r="B3" s="2440"/>
      <c r="C3" s="2440"/>
      <c r="D3" s="244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Monroe Grade School, District No. 70</v>
      </c>
      <c r="B1" s="2448"/>
      <c r="C1" s="2448"/>
      <c r="D1" s="2448"/>
      <c r="E1" s="2448"/>
    </row>
    <row r="2" spans="1:5" x14ac:dyDescent="0.2">
      <c r="A2" s="2449">
        <f>'Single Audit Cover'!E7</f>
        <v>48072070002</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111266</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14572</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-12597</v>
      </c>
    </row>
    <row r="19" spans="1:4" ht="13.5" thickBot="1" x14ac:dyDescent="0.25">
      <c r="A19" s="1265" t="s">
        <v>1297</v>
      </c>
      <c r="D19" s="1266">
        <f>SUM(D10:D17)</f>
        <v>113241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113241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0</v>
      </c>
    </row>
    <row r="49" spans="2:4" x14ac:dyDescent="0.2">
      <c r="B49" s="1272" t="s">
        <v>1288</v>
      </c>
      <c r="C49" s="1272"/>
      <c r="D49" s="1273">
        <f>D32-D47</f>
        <v>113241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Monroe Grade School, District No. 70</v>
      </c>
      <c r="B1" s="2453"/>
      <c r="C1" s="2453"/>
      <c r="D1" s="2453"/>
      <c r="E1" s="2453"/>
      <c r="F1" s="2453"/>
    </row>
    <row r="2" spans="1:7" ht="13.5" customHeight="1" x14ac:dyDescent="0.2">
      <c r="A2" s="2454">
        <f>'Single Audit Cover'!E7</f>
        <v>48072070002</v>
      </c>
      <c r="B2" s="2454"/>
      <c r="C2" s="2454"/>
      <c r="D2" s="2454"/>
      <c r="E2" s="2454"/>
      <c r="F2" s="2454"/>
      <c r="G2" s="1275"/>
    </row>
    <row r="3" spans="1:7" ht="15.75" customHeight="1" x14ac:dyDescent="0.2">
      <c r="A3" s="2455" t="s">
        <v>1333</v>
      </c>
      <c r="B3" s="2455"/>
      <c r="C3" s="2455"/>
      <c r="D3" s="2455"/>
      <c r="E3" s="2455"/>
      <c r="F3" s="2455"/>
    </row>
    <row r="4" spans="1:7" ht="13.5" customHeight="1" x14ac:dyDescent="0.2">
      <c r="A4" s="2456" t="str">
        <f>'Single Audit Cover'!A4</f>
        <v>Year Ending June 30, 2018</v>
      </c>
      <c r="B4" s="2456"/>
      <c r="C4" s="2456"/>
      <c r="D4" s="2456"/>
      <c r="E4" s="2456"/>
      <c r="F4" s="2456"/>
    </row>
    <row r="5" spans="1:7" ht="8.25" customHeight="1" x14ac:dyDescent="0.2">
      <c r="C5" s="317"/>
      <c r="D5" s="317"/>
    </row>
    <row r="6" spans="1:7" ht="13.5" customHeight="1" x14ac:dyDescent="0.2">
      <c r="A6" s="1276" t="s">
        <v>1831</v>
      </c>
      <c r="C6" s="317"/>
      <c r="D6" s="317"/>
    </row>
    <row r="7" spans="1:7" ht="60.95" customHeight="1" x14ac:dyDescent="0.2">
      <c r="A7" s="2452" t="s">
        <v>1832</v>
      </c>
      <c r="B7" s="2452"/>
      <c r="C7" s="2452"/>
      <c r="D7" s="2452"/>
      <c r="E7" s="2452"/>
      <c r="F7" s="2452"/>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2" t="s">
        <v>1834</v>
      </c>
      <c r="B13" s="2452"/>
      <c r="C13" s="2452"/>
      <c r="D13" s="2452"/>
      <c r="E13" s="2452"/>
      <c r="F13" s="2452"/>
    </row>
    <row r="14" spans="1:7" ht="9.75" customHeight="1" x14ac:dyDescent="0.2">
      <c r="C14" s="1260"/>
      <c r="D14" s="1260"/>
    </row>
    <row r="15" spans="1:7" ht="13.5" customHeight="1" x14ac:dyDescent="0.2">
      <c r="C15" s="1871" t="s">
        <v>1332</v>
      </c>
      <c r="D15" s="2458" t="s">
        <v>1331</v>
      </c>
      <c r="E15" s="2458"/>
      <c r="F15" s="2458"/>
    </row>
    <row r="16" spans="1:7" ht="13.5" customHeight="1" x14ac:dyDescent="0.2">
      <c r="A16" s="1282"/>
      <c r="B16" s="1276" t="s">
        <v>1330</v>
      </c>
      <c r="C16" s="1871" t="s">
        <v>1329</v>
      </c>
      <c r="D16" s="2459" t="s">
        <v>1670</v>
      </c>
      <c r="E16" s="2459"/>
      <c r="F16" s="2459"/>
    </row>
    <row r="17" spans="1:6" ht="20.45" customHeight="1" x14ac:dyDescent="0.2">
      <c r="A17" s="1283"/>
      <c r="B17" s="1284"/>
      <c r="C17" s="1285"/>
      <c r="D17" s="2457"/>
      <c r="E17" s="2457"/>
      <c r="F17" s="2457"/>
    </row>
    <row r="18" spans="1:6" ht="20.65" customHeight="1" x14ac:dyDescent="0.2">
      <c r="A18" s="1283"/>
      <c r="B18" s="1284"/>
      <c r="C18" s="1285"/>
      <c r="D18" s="2457"/>
      <c r="E18" s="2457"/>
      <c r="F18" s="2457"/>
    </row>
    <row r="19" spans="1:6" ht="20.65" customHeight="1" x14ac:dyDescent="0.2">
      <c r="A19" s="1283"/>
      <c r="B19" s="1284"/>
      <c r="C19" s="1285"/>
      <c r="D19" s="2457"/>
      <c r="E19" s="2457"/>
      <c r="F19" s="2457"/>
    </row>
    <row r="20" spans="1:6" ht="20.65" customHeight="1" x14ac:dyDescent="0.2">
      <c r="A20" s="1283"/>
      <c r="B20" s="1284"/>
      <c r="C20" s="1285"/>
      <c r="D20" s="2457"/>
      <c r="E20" s="2457"/>
      <c r="F20" s="2457"/>
    </row>
    <row r="21" spans="1:6" ht="20.65" customHeight="1" x14ac:dyDescent="0.2">
      <c r="A21" s="1283"/>
      <c r="B21" s="1284"/>
      <c r="C21" s="1285"/>
      <c r="D21" s="2457"/>
      <c r="E21" s="2457"/>
      <c r="F21" s="2457"/>
    </row>
    <row r="22" spans="1:6" ht="20.65" customHeight="1" x14ac:dyDescent="0.2">
      <c r="A22" s="1283"/>
      <c r="B22" s="1284"/>
      <c r="C22" s="1285"/>
      <c r="D22" s="2457"/>
      <c r="E22" s="2457"/>
      <c r="F22" s="2457"/>
    </row>
    <row r="23" spans="1:6" ht="20.65" customHeight="1" x14ac:dyDescent="0.2">
      <c r="A23" s="1283"/>
      <c r="B23" s="1284"/>
      <c r="C23" s="1285"/>
      <c r="D23" s="2457"/>
      <c r="E23" s="2457"/>
      <c r="F23" s="2457"/>
    </row>
    <row r="24" spans="1:6" ht="20.65" customHeight="1" x14ac:dyDescent="0.2">
      <c r="A24" s="1283"/>
      <c r="B24" s="1284"/>
      <c r="C24" s="1285"/>
      <c r="D24" s="2457"/>
      <c r="E24" s="2457"/>
      <c r="F24" s="2457"/>
    </row>
    <row r="25" spans="1:6" ht="20.65" customHeight="1" x14ac:dyDescent="0.2">
      <c r="A25" s="1283"/>
      <c r="B25" s="1284"/>
      <c r="C25" s="1285"/>
      <c r="D25" s="2457"/>
      <c r="E25" s="2457"/>
      <c r="F25" s="2457"/>
    </row>
    <row r="26" spans="1:6" ht="20.65" customHeight="1" x14ac:dyDescent="0.2">
      <c r="A26" s="1283"/>
      <c r="B26" s="1284"/>
      <c r="C26" s="1285"/>
      <c r="D26" s="2457"/>
      <c r="E26" s="2457"/>
      <c r="F26" s="2457"/>
    </row>
    <row r="27" spans="1:6" ht="20.65" customHeight="1" x14ac:dyDescent="0.2">
      <c r="A27" s="1283"/>
      <c r="B27" s="1284"/>
      <c r="C27" s="1285"/>
      <c r="D27" s="2457"/>
      <c r="E27" s="2457"/>
      <c r="F27" s="2457"/>
    </row>
    <row r="28" spans="1:6" ht="20.65" customHeight="1" x14ac:dyDescent="0.2">
      <c r="A28" s="1283"/>
      <c r="B28" s="1284"/>
      <c r="C28" s="1285"/>
      <c r="D28" s="2457"/>
      <c r="E28" s="2457"/>
      <c r="F28" s="2457"/>
    </row>
    <row r="29" spans="1:6" ht="20.65" customHeight="1" x14ac:dyDescent="0.2">
      <c r="A29" s="1283"/>
      <c r="B29" s="1284"/>
      <c r="C29" s="1285"/>
      <c r="D29" s="2457"/>
      <c r="E29" s="2457"/>
      <c r="F29" s="2457"/>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1" t="s">
        <v>1835</v>
      </c>
      <c r="B32" s="2461"/>
      <c r="C32" s="2461"/>
      <c r="D32" s="2461"/>
      <c r="E32" s="2461"/>
      <c r="F32" s="2461"/>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2">
        <f>+C33+C34</f>
        <v>0</v>
      </c>
      <c r="F34" s="2463"/>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4" t="s">
        <v>1672</v>
      </c>
      <c r="C49" s="2464"/>
      <c r="D49" s="2464"/>
      <c r="E49" s="1399"/>
    </row>
    <row r="50" spans="1:5" s="1300" customFormat="1" ht="3.75" customHeight="1" x14ac:dyDescent="0.2">
      <c r="A50" s="1299"/>
      <c r="B50" s="1870"/>
      <c r="C50" s="1870"/>
      <c r="D50" s="1870"/>
      <c r="E50" s="1399"/>
    </row>
    <row r="51" spans="1:5" s="1300" customFormat="1" ht="20.25" customHeight="1" x14ac:dyDescent="0.2">
      <c r="A51" s="1301">
        <v>6</v>
      </c>
      <c r="B51" s="2460" t="s">
        <v>1632</v>
      </c>
      <c r="C51" s="2460"/>
      <c r="D51" s="2460"/>
    </row>
    <row r="52" spans="1:5" ht="14.25" customHeight="1" x14ac:dyDescent="0.2">
      <c r="A52" s="1301"/>
      <c r="B52" s="2460"/>
      <c r="C52" s="2460"/>
      <c r="D52" s="246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9" t="str">
        <f>'Single Audit Cover'!A7</f>
        <v>Monroe Grade School, District No. 70</v>
      </c>
      <c r="C1" s="2465"/>
      <c r="D1" s="2465"/>
      <c r="E1" s="2465"/>
      <c r="F1" s="2465"/>
      <c r="G1" s="2465"/>
      <c r="H1" s="2465"/>
      <c r="I1" s="2465"/>
      <c r="J1" s="2465"/>
      <c r="K1" s="2465"/>
      <c r="L1" s="2465"/>
      <c r="M1" s="2465"/>
    </row>
    <row r="2" spans="2:14" ht="15" x14ac:dyDescent="0.2">
      <c r="B2" s="2454">
        <f>'Single Audit Cover'!E7</f>
        <v>48072070002</v>
      </c>
      <c r="C2" s="2454"/>
      <c r="D2" s="2454"/>
      <c r="E2" s="2454"/>
      <c r="F2" s="2454"/>
      <c r="G2" s="2454"/>
      <c r="H2" s="2454"/>
      <c r="I2" s="2454"/>
      <c r="J2" s="2454"/>
      <c r="K2" s="2454"/>
      <c r="L2" s="2454"/>
      <c r="M2" s="2454"/>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5"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2090</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2090</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t="s">
        <v>2094</v>
      </c>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2077</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Monroe Grade School, District No. 70</v>
      </c>
      <c r="C1" s="2473"/>
      <c r="D1" s="2473"/>
      <c r="E1" s="2473"/>
      <c r="F1" s="2473"/>
      <c r="G1" s="2473"/>
      <c r="H1" s="2473"/>
      <c r="I1" s="2473"/>
      <c r="J1" s="1422"/>
    </row>
    <row r="2" spans="2:10" s="317" customFormat="1" ht="12.75" customHeight="1" x14ac:dyDescent="0.2">
      <c r="B2" s="2474">
        <f>'Single Audit Cover'!E7</f>
        <v>48072070002</v>
      </c>
      <c r="C2" s="2475"/>
      <c r="D2" s="2475"/>
      <c r="E2" s="2475"/>
      <c r="F2" s="2475"/>
      <c r="G2" s="2475"/>
      <c r="H2" s="2475"/>
      <c r="I2" s="2475"/>
      <c r="J2" s="1422"/>
    </row>
    <row r="3" spans="2:10" s="317" customFormat="1" ht="12.75" customHeight="1" x14ac:dyDescent="0.2">
      <c r="B3" s="2476" t="s">
        <v>1347</v>
      </c>
      <c r="C3" s="2477"/>
      <c r="D3" s="2477"/>
      <c r="E3" s="2477"/>
      <c r="F3" s="2477"/>
      <c r="G3" s="2477"/>
      <c r="H3" s="2477"/>
      <c r="I3" s="2477"/>
      <c r="J3" s="1423"/>
    </row>
    <row r="4" spans="2:10" s="317" customFormat="1" ht="12.75" customHeight="1" x14ac:dyDescent="0.2">
      <c r="B4" s="2476" t="str">
        <f>'Single Audit Cover'!A4</f>
        <v>Year Ending June 30, 2018</v>
      </c>
      <c r="C4" s="2477"/>
      <c r="D4" s="2477"/>
      <c r="E4" s="2477"/>
      <c r="F4" s="2477"/>
      <c r="G4" s="2477"/>
      <c r="H4" s="2477"/>
      <c r="I4" s="2477"/>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6" t="s">
        <v>1346</v>
      </c>
      <c r="C7" s="2477"/>
      <c r="D7" s="2477"/>
      <c r="E7" s="2477"/>
      <c r="F7" s="2477"/>
      <c r="G7" s="2477"/>
      <c r="H7" s="2477"/>
      <c r="I7" s="2477"/>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8"/>
      <c r="D11" s="2478"/>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9"/>
      <c r="E29" s="2479"/>
      <c r="F29" s="2479"/>
      <c r="G29" s="2479"/>
      <c r="H29" s="2479"/>
      <c r="I29" s="2479"/>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0" t="s">
        <v>1854</v>
      </c>
      <c r="D37" s="2481"/>
      <c r="E37" s="2481"/>
      <c r="F37" s="2482"/>
      <c r="G37" s="2480" t="s">
        <v>1674</v>
      </c>
      <c r="H37" s="2481"/>
      <c r="I37" s="2482"/>
    </row>
    <row r="38" spans="2:9" ht="16.5" customHeight="1" x14ac:dyDescent="0.2">
      <c r="B38" s="1444"/>
      <c r="C38" s="2468"/>
      <c r="D38" s="2469"/>
      <c r="E38" s="2469"/>
      <c r="F38" s="2470"/>
      <c r="G38" s="2483"/>
      <c r="H38" s="2484"/>
      <c r="I38" s="2485"/>
    </row>
    <row r="39" spans="2:9" ht="16.5" customHeight="1" x14ac:dyDescent="0.2">
      <c r="B39" s="1444"/>
      <c r="C39" s="2468"/>
      <c r="D39" s="2469"/>
      <c r="E39" s="2469"/>
      <c r="F39" s="2470"/>
      <c r="G39" s="2471"/>
      <c r="H39" s="2471"/>
      <c r="I39" s="2471"/>
    </row>
    <row r="40" spans="2:9" ht="16.5" customHeight="1" x14ac:dyDescent="0.2">
      <c r="B40" s="1444"/>
      <c r="C40" s="2468"/>
      <c r="D40" s="2469"/>
      <c r="E40" s="2469"/>
      <c r="F40" s="2470"/>
      <c r="G40" s="2471"/>
      <c r="H40" s="2471"/>
      <c r="I40" s="2471"/>
    </row>
    <row r="41" spans="2:9" ht="16.5" customHeight="1" x14ac:dyDescent="0.2">
      <c r="B41" s="1444"/>
      <c r="C41" s="2468"/>
      <c r="D41" s="2469"/>
      <c r="E41" s="2469"/>
      <c r="F41" s="2470"/>
      <c r="G41" s="2471"/>
      <c r="H41" s="2471"/>
      <c r="I41" s="2471"/>
    </row>
    <row r="42" spans="2:9" ht="16.5" customHeight="1" x14ac:dyDescent="0.2">
      <c r="B42" s="1444"/>
      <c r="C42" s="2468"/>
      <c r="D42" s="2469"/>
      <c r="E42" s="2469"/>
      <c r="F42" s="2470"/>
      <c r="G42" s="2471"/>
      <c r="H42" s="2471"/>
      <c r="I42" s="2471"/>
    </row>
    <row r="43" spans="2:9" ht="16.5" customHeight="1" x14ac:dyDescent="0.2">
      <c r="B43" s="1444"/>
      <c r="C43" s="2486" t="s">
        <v>1675</v>
      </c>
      <c r="D43" s="2487"/>
      <c r="E43" s="2487"/>
      <c r="F43" s="2488"/>
      <c r="G43" s="2489">
        <f>SUM(G38:I42)</f>
        <v>0</v>
      </c>
      <c r="H43" s="2489"/>
      <c r="I43" s="2489"/>
    </row>
    <row r="44" spans="2:9" ht="12.75" customHeight="1" x14ac:dyDescent="0.2"/>
    <row r="45" spans="2:9" ht="12.75" customHeight="1" x14ac:dyDescent="0.2">
      <c r="B45" s="1435" t="s">
        <v>1952</v>
      </c>
      <c r="D45" s="2490">
        <v>0</v>
      </c>
      <c r="E45" s="249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2"/>
      <c r="F49" s="2492"/>
      <c r="G49" s="249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2"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Monroe Grade School, District No. 70</v>
      </c>
      <c r="C1" s="2472"/>
      <c r="D1" s="2472"/>
      <c r="E1" s="2472"/>
      <c r="F1" s="2472"/>
      <c r="G1" s="2472"/>
      <c r="H1" s="2472"/>
      <c r="I1" s="2472"/>
      <c r="J1" s="2472"/>
      <c r="K1" s="2472"/>
      <c r="L1" s="1374"/>
      <c r="M1" s="1374"/>
    </row>
    <row r="2" spans="1:13" ht="12" customHeight="1" x14ac:dyDescent="0.2">
      <c r="B2" s="2474">
        <f>'Single Audit Cover'!E7</f>
        <v>48072070002</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2090</v>
      </c>
      <c r="J10" s="1390" t="s">
        <v>1360</v>
      </c>
      <c r="K10" s="322"/>
      <c r="L10" s="1381"/>
    </row>
    <row r="11" spans="1:13" ht="13.5" customHeight="1" x14ac:dyDescent="0.2">
      <c r="B11" s="322"/>
      <c r="C11" s="322"/>
      <c r="D11" s="322"/>
      <c r="E11" s="322"/>
      <c r="F11" s="322"/>
      <c r="G11" s="1383"/>
      <c r="H11" s="322"/>
      <c r="I11" s="1391" t="s">
        <v>1359</v>
      </c>
      <c r="J11" s="322"/>
      <c r="K11" s="1392">
        <v>1990</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2106</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2107</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2108</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2109</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2110</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2111</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3" t="s">
        <v>2112</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35&amp;R&amp;8Page 35</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Monroe Grade School, District No. 70</v>
      </c>
      <c r="C1" s="2472"/>
      <c r="D1" s="2472"/>
      <c r="E1" s="2472"/>
      <c r="F1" s="2472"/>
      <c r="G1" s="2472"/>
      <c r="H1" s="2472"/>
      <c r="I1" s="2472"/>
      <c r="J1" s="2472"/>
      <c r="K1" s="2472"/>
      <c r="L1" s="1374"/>
      <c r="M1" s="1374"/>
    </row>
    <row r="2" spans="1:13" ht="12" customHeight="1" x14ac:dyDescent="0.2">
      <c r="B2" s="2474">
        <f>'Single Audit Cover'!E7</f>
        <v>48072070002</v>
      </c>
      <c r="C2" s="2474"/>
      <c r="D2" s="2474"/>
      <c r="E2" s="2474"/>
      <c r="F2" s="2474"/>
      <c r="G2" s="2474"/>
      <c r="H2" s="2474"/>
      <c r="I2" s="2474"/>
      <c r="J2" s="2474"/>
      <c r="K2" s="2474"/>
      <c r="L2" s="1375"/>
      <c r="M2" s="1376"/>
    </row>
    <row r="3" spans="1:13" ht="10.35" customHeight="1" x14ac:dyDescent="0.2">
      <c r="B3" s="2495" t="s">
        <v>1347</v>
      </c>
      <c r="C3" s="2495"/>
      <c r="D3" s="2495"/>
      <c r="E3" s="2495"/>
      <c r="F3" s="2495"/>
      <c r="G3" s="2495"/>
      <c r="H3" s="2495"/>
      <c r="I3" s="2495"/>
      <c r="J3" s="2495"/>
      <c r="K3" s="2495"/>
      <c r="L3" s="1956"/>
      <c r="M3" s="1956"/>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2</v>
      </c>
      <c r="E10" s="322"/>
      <c r="F10" s="1387" t="s">
        <v>1362</v>
      </c>
      <c r="G10" s="1388"/>
      <c r="H10" s="1389" t="s">
        <v>1361</v>
      </c>
      <c r="I10" s="1388" t="s">
        <v>2090</v>
      </c>
      <c r="J10" s="1390" t="s">
        <v>1360</v>
      </c>
      <c r="K10" s="322"/>
      <c r="L10" s="1381"/>
    </row>
    <row r="11" spans="1:13" ht="13.5" customHeight="1" x14ac:dyDescent="0.2">
      <c r="B11" s="322"/>
      <c r="C11" s="322"/>
      <c r="D11" s="322"/>
      <c r="E11" s="322"/>
      <c r="F11" s="322"/>
      <c r="G11" s="1383"/>
      <c r="H11" s="322"/>
      <c r="I11" s="1391" t="s">
        <v>1359</v>
      </c>
      <c r="J11" s="322"/>
      <c r="K11" s="1392">
        <v>2008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57" customHeight="1" x14ac:dyDescent="0.2">
      <c r="B14" s="2494" t="s">
        <v>2113</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70.5" customHeight="1" x14ac:dyDescent="0.2">
      <c r="B17" s="2494" t="s">
        <v>2114</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8" t="s">
        <v>2115</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2116</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t="s">
        <v>2117</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2118</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64.5" customHeight="1" x14ac:dyDescent="0.2">
      <c r="B32" s="2493" t="s">
        <v>2119</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12" zoomScale="110" zoomScaleNormal="110" workbookViewId="0">
      <selection activeCell="B27" sqref="B2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Monroe Grade School, District No. 70</v>
      </c>
      <c r="C1" s="2499"/>
      <c r="D1" s="2499"/>
      <c r="E1" s="2499"/>
      <c r="F1" s="2499"/>
      <c r="G1" s="2499"/>
      <c r="H1" s="2499"/>
      <c r="I1" s="2499"/>
      <c r="J1" s="2499"/>
      <c r="K1" s="2499"/>
      <c r="L1" s="1465"/>
    </row>
    <row r="2" spans="1:12" ht="12.75" customHeight="1" x14ac:dyDescent="0.2">
      <c r="B2" s="2500">
        <f>'Single Audit Cover'!E7</f>
        <v>48072070002</v>
      </c>
      <c r="C2" s="2500"/>
      <c r="D2" s="2500"/>
      <c r="E2" s="2500"/>
      <c r="F2" s="2500"/>
      <c r="G2" s="2500"/>
      <c r="H2" s="2500"/>
      <c r="I2" s="2500"/>
      <c r="J2" s="2500"/>
      <c r="K2" s="2500"/>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v>2</v>
      </c>
      <c r="E8" s="322"/>
      <c r="F8" s="1384" t="s">
        <v>1362</v>
      </c>
      <c r="G8" s="1469"/>
      <c r="H8" s="1470" t="s">
        <v>1374</v>
      </c>
      <c r="I8" s="1469" t="s">
        <v>2090</v>
      </c>
      <c r="J8" s="1471" t="s">
        <v>1373</v>
      </c>
      <c r="L8" s="322"/>
    </row>
    <row r="9" spans="1:12" ht="13.5" customHeight="1" x14ac:dyDescent="0.2">
      <c r="D9" s="322"/>
      <c r="E9" s="322"/>
      <c r="F9" s="322"/>
      <c r="G9" s="1383"/>
      <c r="H9" s="322"/>
      <c r="I9" s="1472" t="s">
        <v>1359</v>
      </c>
      <c r="J9" s="322"/>
      <c r="K9" s="1473">
        <v>2008</v>
      </c>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9"/>
      <c r="G12" s="2479"/>
      <c r="H12" s="2479"/>
      <c r="I12" s="2479"/>
      <c r="J12" s="2479"/>
      <c r="K12" s="2479"/>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2"/>
      <c r="E14" s="2502"/>
      <c r="F14" s="2502"/>
      <c r="H14" s="1475" t="s">
        <v>1370</v>
      </c>
      <c r="I14" s="2503"/>
      <c r="J14" s="2503"/>
      <c r="K14" s="2503"/>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3"/>
      <c r="E16" s="2503"/>
      <c r="F16" s="2503"/>
      <c r="G16" s="2503"/>
      <c r="H16" s="2503"/>
      <c r="I16" s="2503"/>
      <c r="J16" s="2503"/>
      <c r="K16" s="2503"/>
      <c r="L16" s="322"/>
    </row>
    <row r="17" spans="2:12" ht="13.5" customHeight="1" x14ac:dyDescent="0.2">
      <c r="B17" s="1387" t="s">
        <v>1368</v>
      </c>
      <c r="C17" s="1387"/>
      <c r="D17" s="2504"/>
      <c r="E17" s="2504"/>
      <c r="F17" s="2504"/>
      <c r="G17" s="2504"/>
      <c r="H17" s="2504"/>
      <c r="I17" s="2504"/>
      <c r="J17" s="2504"/>
      <c r="K17" s="2504"/>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55.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55.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36&amp;R&amp;8Page 36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2" t="str">
        <f>'Single Audit Cover'!A7</f>
        <v>Monroe Grade School, District No. 70</v>
      </c>
      <c r="C1" s="2472"/>
      <c r="D1" s="2472"/>
      <c r="E1" s="1491"/>
    </row>
    <row r="2" spans="2:5" s="1282" customFormat="1" ht="12.75" customHeight="1" x14ac:dyDescent="0.2">
      <c r="B2" s="2474">
        <f>'Single Audit Cover'!E7</f>
        <v>48072070002</v>
      </c>
      <c r="C2" s="2474"/>
      <c r="D2" s="2474"/>
      <c r="E2" s="1492"/>
    </row>
    <row r="3" spans="2:5" ht="12.75" customHeight="1" x14ac:dyDescent="0.2">
      <c r="B3" s="2495" t="s">
        <v>1869</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51203669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1.9400000000000001E-2</v>
      </c>
      <c r="E10" s="356" t="s">
        <v>1062</v>
      </c>
      <c r="F10" s="355">
        <v>2.5000000000000001E-3</v>
      </c>
      <c r="G10" s="356" t="s">
        <v>1062</v>
      </c>
      <c r="H10" s="355">
        <v>2.0619000000000002E-3</v>
      </c>
      <c r="I10" s="356" t="s">
        <v>1063</v>
      </c>
      <c r="J10" s="1754">
        <f>ROUND(D10+F10+H10,5)</f>
        <v>2.3959999999999999E-2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2381916</v>
      </c>
      <c r="E16" s="356"/>
      <c r="F16" s="1755">
        <f>SUM('Acct Summary 7-8'!C17,'Acct Summary 7-8'!D17,'Acct Summary 7-8'!F17)</f>
        <v>2271594</v>
      </c>
      <c r="G16" s="356"/>
      <c r="H16" s="1755">
        <f>SUM(D16-F16)</f>
        <v>110322</v>
      </c>
      <c r="I16" s="222"/>
      <c r="J16" s="1755">
        <f>SUM('Acct Summary 7-8'!C81,'Acct Summary 7-8'!D81,'Acct Summary 7-8'!F81,'Acct Summary 7-8'!I81)</f>
        <v>2727440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2090</v>
      </c>
      <c r="C31" s="367" t="s">
        <v>607</v>
      </c>
      <c r="D31" s="237" t="s">
        <v>1132</v>
      </c>
      <c r="E31" s="222"/>
      <c r="F31" s="222"/>
      <c r="G31" s="363"/>
      <c r="H31" s="1757">
        <f>IF(B31="X",(J7*0.069),IF(B32="X",(J7*0.138),"Enter x in a.or b."))</f>
        <v>3533053.1610000003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120841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Monroe Grade School, District No. 70</v>
      </c>
      <c r="E7" s="391"/>
      <c r="G7" s="252"/>
      <c r="H7" s="387"/>
      <c r="I7" s="387"/>
      <c r="J7" s="387"/>
      <c r="K7" s="387"/>
      <c r="L7" s="329"/>
      <c r="M7" s="329"/>
      <c r="N7" s="329"/>
      <c r="O7" s="329"/>
      <c r="P7" s="329"/>
    </row>
    <row r="8" spans="1:18" ht="12.75" x14ac:dyDescent="0.2">
      <c r="A8" s="329"/>
      <c r="B8" s="329"/>
      <c r="C8" s="389" t="s">
        <v>1187</v>
      </c>
      <c r="D8" s="392">
        <f>COVER!A13</f>
        <v>48072070002</v>
      </c>
      <c r="E8" s="393"/>
      <c r="G8" s="329"/>
      <c r="H8" s="329"/>
      <c r="I8" s="329"/>
      <c r="J8" s="329"/>
      <c r="K8" s="329"/>
      <c r="L8" s="329"/>
      <c r="M8" s="329"/>
      <c r="N8" s="329"/>
      <c r="O8" s="329"/>
      <c r="P8" s="329"/>
    </row>
    <row r="9" spans="1:18" ht="12.75" x14ac:dyDescent="0.2">
      <c r="A9" s="329"/>
      <c r="B9" s="329"/>
      <c r="C9" s="389" t="s">
        <v>737</v>
      </c>
      <c r="D9" s="394" t="str">
        <f>COVER!A15</f>
        <v>Peoria</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2727440</v>
      </c>
      <c r="I12" s="404"/>
      <c r="J12" s="404"/>
      <c r="K12" s="405">
        <f>TRUNC((H12/H13*100000),5)/100000</f>
        <v>1.1450613706999999</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2381916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2271594</v>
      </c>
      <c r="I17" s="404"/>
      <c r="J17" s="416"/>
      <c r="K17" s="405">
        <f>TRUNC((H17/H18*100000),5)/100000</f>
        <v>0.95368350520000011</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2381916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2712921</v>
      </c>
      <c r="I24" s="422"/>
      <c r="J24" s="422"/>
      <c r="K24" s="423">
        <f>TRUNC(((H24/H25*100000)/100000),2)</f>
        <v>429.94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6309.98333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1042813.92285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120841</v>
      </c>
      <c r="I32" s="420"/>
      <c r="J32" s="420"/>
      <c r="K32" s="423">
        <f>TRUNC(100-((((H32/H33*100))*100)/100),2)</f>
        <v>96.57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3533053.1610000003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C1" colorId="8" zoomScaleNormal="100" workbookViewId="0">
      <pane ySplit="2" topLeftCell="A27" activePane="bottomLeft" state="frozen"/>
      <selection activeCell="A47" sqref="A47"/>
      <selection pane="bottomLeft" activeCell="E39" sqref="E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484244</v>
      </c>
      <c r="D4" s="466">
        <v>79730</v>
      </c>
      <c r="E4" s="466">
        <v>24898</v>
      </c>
      <c r="F4" s="466">
        <v>42613</v>
      </c>
      <c r="G4" s="466">
        <v>21256</v>
      </c>
      <c r="H4" s="466">
        <v>71183</v>
      </c>
      <c r="I4" s="466">
        <v>148981</v>
      </c>
      <c r="J4" s="467">
        <v>3021</v>
      </c>
      <c r="K4" s="466">
        <v>120146</v>
      </c>
      <c r="L4" s="466">
        <v>4304</v>
      </c>
      <c r="M4" s="468"/>
      <c r="N4" s="469"/>
    </row>
    <row r="5" spans="1:14" x14ac:dyDescent="0.2">
      <c r="A5" s="463" t="s">
        <v>1049</v>
      </c>
      <c r="B5" s="470">
        <v>120</v>
      </c>
      <c r="C5" s="465">
        <v>1075633</v>
      </c>
      <c r="D5" s="466">
        <v>219068</v>
      </c>
      <c r="E5" s="466">
        <v>13310</v>
      </c>
      <c r="F5" s="466">
        <v>280759</v>
      </c>
      <c r="G5" s="466">
        <v>17</v>
      </c>
      <c r="H5" s="466"/>
      <c r="I5" s="466">
        <v>381893</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10100</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v>4153</v>
      </c>
      <c r="D12" s="466">
        <v>266</v>
      </c>
      <c r="E12" s="466"/>
      <c r="F12" s="466"/>
      <c r="G12" s="466"/>
      <c r="H12" s="466"/>
      <c r="I12" s="466"/>
      <c r="J12" s="467"/>
      <c r="K12" s="466"/>
      <c r="L12" s="466"/>
      <c r="M12" s="469"/>
      <c r="N12" s="469"/>
    </row>
    <row r="13" spans="1:14" ht="13.5" customHeight="1" thickBot="1" x14ac:dyDescent="0.25">
      <c r="A13" s="1758" t="s">
        <v>665</v>
      </c>
      <c r="B13" s="1731"/>
      <c r="C13" s="1759">
        <f>SUM(C4:C12)</f>
        <v>1574130</v>
      </c>
      <c r="D13" s="1759">
        <f t="shared" ref="D13:L13" si="0">SUM(D4:D12)</f>
        <v>299064</v>
      </c>
      <c r="E13" s="1759">
        <f t="shared" si="0"/>
        <v>38208</v>
      </c>
      <c r="F13" s="1759">
        <f t="shared" si="0"/>
        <v>323372</v>
      </c>
      <c r="G13" s="1759">
        <f t="shared" si="0"/>
        <v>21273</v>
      </c>
      <c r="H13" s="1759">
        <f t="shared" si="0"/>
        <v>71183</v>
      </c>
      <c r="I13" s="1759">
        <f t="shared" si="0"/>
        <v>530874</v>
      </c>
      <c r="J13" s="1759">
        <f t="shared" si="0"/>
        <v>3021</v>
      </c>
      <c r="K13" s="1759">
        <f t="shared" si="0"/>
        <v>120146</v>
      </c>
      <c r="L13" s="1759">
        <f t="shared" si="0"/>
        <v>4304</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16025</v>
      </c>
      <c r="N16" s="484"/>
    </row>
    <row r="17" spans="1:14" s="485" customFormat="1" ht="12.75" customHeight="1" x14ac:dyDescent="0.2">
      <c r="A17" s="482" t="s">
        <v>1470</v>
      </c>
      <c r="B17" s="483">
        <v>230</v>
      </c>
      <c r="C17" s="477"/>
      <c r="D17" s="477"/>
      <c r="E17" s="477"/>
      <c r="F17" s="477"/>
      <c r="G17" s="477"/>
      <c r="H17" s="477"/>
      <c r="I17" s="477"/>
      <c r="J17" s="477"/>
      <c r="K17" s="477"/>
      <c r="L17" s="477"/>
      <c r="M17" s="467">
        <v>723521</v>
      </c>
      <c r="N17" s="484"/>
    </row>
    <row r="18" spans="1:14" s="485" customFormat="1" ht="12.75" customHeight="1" x14ac:dyDescent="0.2">
      <c r="A18" s="482" t="s">
        <v>1471</v>
      </c>
      <c r="B18" s="483">
        <v>240</v>
      </c>
      <c r="C18" s="477"/>
      <c r="D18" s="477"/>
      <c r="E18" s="477"/>
      <c r="F18" s="477"/>
      <c r="G18" s="477"/>
      <c r="H18" s="477"/>
      <c r="I18" s="477"/>
      <c r="J18" s="477"/>
      <c r="K18" s="477"/>
      <c r="L18" s="477"/>
      <c r="M18" s="467">
        <v>421285</v>
      </c>
      <c r="N18" s="484"/>
    </row>
    <row r="19" spans="1:14" s="485" customFormat="1" ht="12.75" customHeight="1" x14ac:dyDescent="0.2">
      <c r="A19" s="482" t="s">
        <v>1472</v>
      </c>
      <c r="B19" s="483">
        <v>250</v>
      </c>
      <c r="C19" s="477"/>
      <c r="D19" s="477"/>
      <c r="E19" s="477"/>
      <c r="F19" s="477"/>
      <c r="G19" s="477"/>
      <c r="H19" s="477"/>
      <c r="I19" s="477"/>
      <c r="J19" s="477"/>
      <c r="K19" s="477"/>
      <c r="L19" s="477"/>
      <c r="M19" s="467">
        <v>157142</v>
      </c>
      <c r="N19" s="484"/>
    </row>
    <row r="20" spans="1:14" s="485" customFormat="1" ht="12.75" customHeight="1" x14ac:dyDescent="0.2">
      <c r="A20" s="482" t="s">
        <v>1473</v>
      </c>
      <c r="B20" s="483">
        <v>260</v>
      </c>
      <c r="C20" s="477"/>
      <c r="D20" s="477"/>
      <c r="E20" s="477"/>
      <c r="F20" s="477"/>
      <c r="G20" s="477"/>
      <c r="H20" s="477"/>
      <c r="I20" s="477"/>
      <c r="J20" s="477"/>
      <c r="K20" s="477"/>
      <c r="L20" s="477"/>
      <c r="M20" s="467">
        <v>12203</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38208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82633</v>
      </c>
    </row>
    <row r="23" spans="1:14" ht="13.5" customHeight="1" thickBot="1" x14ac:dyDescent="0.25">
      <c r="A23" s="1758" t="s">
        <v>664</v>
      </c>
      <c r="B23" s="1763"/>
      <c r="C23" s="468"/>
      <c r="D23" s="468"/>
      <c r="E23" s="468"/>
      <c r="F23" s="468"/>
      <c r="G23" s="468"/>
      <c r="H23" s="468"/>
      <c r="I23" s="468"/>
      <c r="J23" s="468"/>
      <c r="K23" s="468"/>
      <c r="L23" s="468"/>
      <c r="M23" s="1710">
        <f>SUM(M15:M22)</f>
        <v>1330176</v>
      </c>
      <c r="N23" s="1710">
        <f>SUM(N21:N22)</f>
        <v>120841</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v>10100</v>
      </c>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4304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10100</v>
      </c>
      <c r="H34" s="1762">
        <f t="shared" si="1"/>
        <v>0</v>
      </c>
      <c r="I34" s="1762">
        <f t="shared" si="1"/>
        <v>0</v>
      </c>
      <c r="J34" s="1762">
        <f t="shared" si="1"/>
        <v>0</v>
      </c>
      <c r="K34" s="1762">
        <f t="shared" si="1"/>
        <v>0</v>
      </c>
      <c r="L34" s="1743">
        <f>SUM(L33)</f>
        <v>4304</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120841</v>
      </c>
    </row>
    <row r="37" spans="1:14" ht="13.5" thickBot="1" x14ac:dyDescent="0.25">
      <c r="A37" s="1758" t="s">
        <v>674</v>
      </c>
      <c r="B37" s="1763"/>
      <c r="C37" s="477"/>
      <c r="D37" s="477"/>
      <c r="E37" s="477"/>
      <c r="F37" s="477"/>
      <c r="G37" s="477"/>
      <c r="H37" s="477"/>
      <c r="I37" s="477"/>
      <c r="J37" s="477"/>
      <c r="K37" s="477"/>
      <c r="L37" s="480"/>
      <c r="M37" s="468"/>
      <c r="N37" s="1710">
        <f>SUM(N36:N36)</f>
        <v>120841</v>
      </c>
    </row>
    <row r="38" spans="1:14" s="329" customFormat="1" ht="13.5" customHeight="1" thickTop="1" x14ac:dyDescent="0.2">
      <c r="A38" s="496" t="s">
        <v>440</v>
      </c>
      <c r="B38" s="483">
        <v>714</v>
      </c>
      <c r="C38" s="466">
        <v>0</v>
      </c>
      <c r="D38" s="466">
        <v>0</v>
      </c>
      <c r="E38" s="466">
        <v>30000</v>
      </c>
      <c r="F38" s="466">
        <v>0</v>
      </c>
      <c r="G38" s="466">
        <v>0</v>
      </c>
      <c r="H38" s="466">
        <v>0</v>
      </c>
      <c r="I38" s="466">
        <v>0</v>
      </c>
      <c r="J38" s="466">
        <v>0</v>
      </c>
      <c r="K38" s="466">
        <v>0</v>
      </c>
      <c r="L38" s="466">
        <v>0</v>
      </c>
      <c r="M38" s="497"/>
      <c r="N38" s="497"/>
    </row>
    <row r="39" spans="1:14" s="329" customFormat="1" ht="13.5" customHeight="1" x14ac:dyDescent="0.2">
      <c r="A39" s="496" t="s">
        <v>360</v>
      </c>
      <c r="B39" s="483">
        <v>730</v>
      </c>
      <c r="C39" s="466">
        <f>'Acct Summary 7-8'!C81-C38</f>
        <v>1574130</v>
      </c>
      <c r="D39" s="466">
        <f>'Acct Summary 7-8'!D81-D38</f>
        <v>299064</v>
      </c>
      <c r="E39" s="466">
        <f>'Acct Summary 7-8'!E81-E38</f>
        <v>8208</v>
      </c>
      <c r="F39" s="466">
        <f>'Acct Summary 7-8'!F81-F38</f>
        <v>323372</v>
      </c>
      <c r="G39" s="466">
        <f>'Acct Summary 7-8'!G81-G38</f>
        <v>11173</v>
      </c>
      <c r="H39" s="466">
        <f>'Acct Summary 7-8'!H81-H38</f>
        <v>71183</v>
      </c>
      <c r="I39" s="466">
        <f>'Acct Summary 7-8'!I81-I38</f>
        <v>530874</v>
      </c>
      <c r="J39" s="466">
        <f>'Acct Summary 7-8'!J81-J38</f>
        <v>3021</v>
      </c>
      <c r="K39" s="466">
        <f>'Acct Summary 7-8'!K81-K38</f>
        <v>120146</v>
      </c>
      <c r="L39" s="466">
        <f>'Acct Summary 7-8'!L81-L38</f>
        <v>0</v>
      </c>
      <c r="M39" s="497"/>
      <c r="N39" s="497"/>
    </row>
    <row r="40" spans="1:14" s="329" customFormat="1" ht="13.5" customHeight="1" x14ac:dyDescent="0.2">
      <c r="A40" s="498" t="s">
        <v>150</v>
      </c>
      <c r="B40" s="499"/>
      <c r="C40" s="500"/>
      <c r="D40" s="500"/>
      <c r="E40" s="500"/>
      <c r="F40" s="500"/>
      <c r="G40" s="500"/>
      <c r="H40" s="500"/>
      <c r="I40" s="500"/>
      <c r="J40" s="500"/>
      <c r="K40" s="500"/>
      <c r="L40" s="500"/>
      <c r="M40" s="467">
        <f>M23</f>
        <v>1330176</v>
      </c>
      <c r="N40" s="497"/>
    </row>
    <row r="41" spans="1:14" ht="13.5" customHeight="1" thickBot="1" x14ac:dyDescent="0.25">
      <c r="A41" s="1758" t="s">
        <v>676</v>
      </c>
      <c r="B41" s="1728"/>
      <c r="C41" s="1710">
        <f>(SUM(C34,C37,C38,C39))</f>
        <v>1574130</v>
      </c>
      <c r="D41" s="1710">
        <f t="shared" ref="D41:L41" si="2">SUM(D34,D37,D38:D39)</f>
        <v>299064</v>
      </c>
      <c r="E41" s="1710">
        <f t="shared" si="2"/>
        <v>38208</v>
      </c>
      <c r="F41" s="1710">
        <f t="shared" si="2"/>
        <v>323372</v>
      </c>
      <c r="G41" s="1710">
        <f t="shared" si="2"/>
        <v>21273</v>
      </c>
      <c r="H41" s="1710">
        <f t="shared" si="2"/>
        <v>71183</v>
      </c>
      <c r="I41" s="1710">
        <f t="shared" si="2"/>
        <v>530874</v>
      </c>
      <c r="J41" s="1710">
        <f t="shared" si="2"/>
        <v>3021</v>
      </c>
      <c r="K41" s="1710">
        <f t="shared" si="2"/>
        <v>120146</v>
      </c>
      <c r="L41" s="1710">
        <f t="shared" si="2"/>
        <v>4304</v>
      </c>
      <c r="M41" s="1710">
        <f>SUM(M40)</f>
        <v>1330176</v>
      </c>
      <c r="N41" s="1710">
        <f>SUM(N37)</f>
        <v>120841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96" zoomScaleNormal="96" zoomScaleSheetLayoutView="100" workbookViewId="0">
      <pane ySplit="2" topLeftCell="A15" activePane="bottomLeft" state="frozenSplit"/>
      <selection activeCell="A47" sqref="A47"/>
      <selection pane="bottomLeft" activeCell="C43" sqref="C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4" t="s">
        <v>1579</v>
      </c>
      <c r="B4" s="1955">
        <v>1000</v>
      </c>
      <c r="C4" s="1764">
        <f>'Revenues 9-14'!C109</f>
        <v>1122486</v>
      </c>
      <c r="D4" s="1764">
        <f>'Revenues 9-14'!D109</f>
        <v>184166</v>
      </c>
      <c r="E4" s="1764">
        <f>'Revenues 9-14'!E109</f>
        <v>72264</v>
      </c>
      <c r="F4" s="1764">
        <f>'Revenues 9-14'!F109</f>
        <v>90358</v>
      </c>
      <c r="G4" s="1764">
        <f>'Revenues 9-14'!G109</f>
        <v>63610</v>
      </c>
      <c r="H4" s="1764">
        <f>'Revenues 9-14'!H109</f>
        <v>39566</v>
      </c>
      <c r="I4" s="1764">
        <f>'Revenues 9-14'!I109</f>
        <v>27943</v>
      </c>
      <c r="J4" s="1764">
        <f>'Revenues 9-14'!J109</f>
        <v>249008</v>
      </c>
      <c r="K4" s="1764">
        <f>'Revenues 9-14'!K109</f>
        <v>25393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760575</v>
      </c>
      <c r="D6" s="1765">
        <f>'Revenues 9-14'!D173</f>
        <v>0</v>
      </c>
      <c r="E6" s="1765">
        <f>'Revenues 9-14'!E173</f>
        <v>0</v>
      </c>
      <c r="F6" s="1765">
        <f>'Revenues 9-14'!F173</f>
        <v>85122</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111266</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1994327</v>
      </c>
      <c r="D8" s="1710">
        <f t="shared" ref="D8:K8" si="0">SUM(D4:D7)</f>
        <v>184166</v>
      </c>
      <c r="E8" s="1710">
        <f t="shared" si="0"/>
        <v>72264</v>
      </c>
      <c r="F8" s="1710">
        <f t="shared" si="0"/>
        <v>175480</v>
      </c>
      <c r="G8" s="1710">
        <f t="shared" si="0"/>
        <v>63610</v>
      </c>
      <c r="H8" s="1710">
        <f t="shared" si="0"/>
        <v>39566</v>
      </c>
      <c r="I8" s="1710">
        <f t="shared" si="0"/>
        <v>27943</v>
      </c>
      <c r="J8" s="1710">
        <f t="shared" si="0"/>
        <v>249008</v>
      </c>
      <c r="K8" s="1710">
        <f t="shared" si="0"/>
        <v>25393</v>
      </c>
      <c r="L8" s="347"/>
    </row>
    <row r="9" spans="1:13" ht="15.75" thickTop="1" x14ac:dyDescent="0.2">
      <c r="A9" s="514" t="s">
        <v>1752</v>
      </c>
      <c r="B9" s="515">
        <v>3998</v>
      </c>
      <c r="C9" s="481">
        <v>843788</v>
      </c>
      <c r="D9" s="516"/>
      <c r="E9" s="481"/>
      <c r="F9" s="481"/>
      <c r="G9" s="517"/>
      <c r="H9" s="481"/>
      <c r="I9" s="509" t="s">
        <v>1231</v>
      </c>
      <c r="J9" s="478"/>
      <c r="K9" s="481"/>
      <c r="L9" s="347"/>
    </row>
    <row r="10" spans="1:13" s="519" customFormat="1" ht="13.5" thickBot="1" x14ac:dyDescent="0.25">
      <c r="A10" s="1758" t="s">
        <v>1235</v>
      </c>
      <c r="B10" s="1731"/>
      <c r="C10" s="1710">
        <f>SUM(C8:C9)</f>
        <v>2838115</v>
      </c>
      <c r="D10" s="1710">
        <f t="shared" ref="D10:K10" si="1">SUM(D8:D9)</f>
        <v>184166</v>
      </c>
      <c r="E10" s="1710">
        <f t="shared" si="1"/>
        <v>72264</v>
      </c>
      <c r="F10" s="1710">
        <f t="shared" si="1"/>
        <v>175480</v>
      </c>
      <c r="G10" s="1710">
        <f t="shared" si="1"/>
        <v>63610</v>
      </c>
      <c r="H10" s="1710">
        <f t="shared" si="1"/>
        <v>39566</v>
      </c>
      <c r="I10" s="1710">
        <f t="shared" si="1"/>
        <v>27943</v>
      </c>
      <c r="J10" s="1710">
        <f t="shared" si="1"/>
        <v>249008</v>
      </c>
      <c r="K10" s="1710">
        <f t="shared" si="1"/>
        <v>25393</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4">
        <f>'Expenditures 15-22'!K33</f>
        <v>1338451</v>
      </c>
      <c r="D12" s="520" t="s">
        <v>1231</v>
      </c>
      <c r="E12" s="468" t="s">
        <v>1231</v>
      </c>
      <c r="F12" s="468" t="s">
        <v>1231</v>
      </c>
      <c r="G12" s="1764">
        <f>'Expenditures 15-22'!K229</f>
        <v>29603</v>
      </c>
      <c r="H12" s="521"/>
      <c r="I12" s="468" t="s">
        <v>1231</v>
      </c>
      <c r="J12" s="468" t="s">
        <v>1231</v>
      </c>
      <c r="K12" s="521" t="s">
        <v>1231</v>
      </c>
      <c r="L12" s="347"/>
    </row>
    <row r="13" spans="1:13" ht="15.75" customHeight="1" x14ac:dyDescent="0.2">
      <c r="A13" s="1598" t="s">
        <v>477</v>
      </c>
      <c r="B13" s="1600">
        <v>2000</v>
      </c>
      <c r="C13" s="1765">
        <f>'Expenditures 15-22'!K74</f>
        <v>407797</v>
      </c>
      <c r="D13" s="1765">
        <f>'Expenditures 15-22'!K129</f>
        <v>140833</v>
      </c>
      <c r="E13" s="469" t="s">
        <v>1231</v>
      </c>
      <c r="F13" s="1765">
        <f>'Expenditures 15-22'!K184</f>
        <v>140374</v>
      </c>
      <c r="G13" s="1765">
        <f>'Expenditures 15-22'!K279</f>
        <v>43912</v>
      </c>
      <c r="H13" s="1765">
        <f>'Expenditures 15-22'!K303</f>
        <v>51254</v>
      </c>
      <c r="I13" s="468" t="s">
        <v>1231</v>
      </c>
      <c r="J13" s="1765">
        <f>'Expenditures 15-22'!K330</f>
        <v>250704</v>
      </c>
      <c r="K13" s="1769">
        <f>'Expenditures 15-22'!K352</f>
        <v>18918</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244139</v>
      </c>
      <c r="D15" s="1765">
        <f>'Expenditures 15-22'!K139</f>
        <v>0</v>
      </c>
      <c r="E15" s="1765">
        <f>'Expenditures 15-22'!K160</f>
        <v>0</v>
      </c>
      <c r="F15" s="1765">
        <f>'Expenditures 15-22'!K196</f>
        <v>0</v>
      </c>
      <c r="G15" s="1765">
        <f>'Expenditures 15-22'!K285</f>
        <v>2635</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56162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1990387</v>
      </c>
      <c r="D17" s="1710">
        <f t="shared" si="2"/>
        <v>140833</v>
      </c>
      <c r="E17" s="1710">
        <f t="shared" si="2"/>
        <v>56162</v>
      </c>
      <c r="F17" s="1710">
        <f t="shared" si="2"/>
        <v>140374</v>
      </c>
      <c r="G17" s="1710">
        <f t="shared" si="2"/>
        <v>76150</v>
      </c>
      <c r="H17" s="1710">
        <f t="shared" si="2"/>
        <v>51254</v>
      </c>
      <c r="I17" s="468"/>
      <c r="J17" s="1710">
        <f>SUM(J12:J16)</f>
        <v>250704</v>
      </c>
      <c r="K17" s="1710">
        <f>SUM(K12:K16)</f>
        <v>18918</v>
      </c>
      <c r="L17" s="347"/>
    </row>
    <row r="18" spans="1:12" ht="15" customHeight="1" thickTop="1" x14ac:dyDescent="0.2">
      <c r="A18" s="1766" t="s">
        <v>1753</v>
      </c>
      <c r="B18" s="1767">
        <v>4180</v>
      </c>
      <c r="C18" s="1764">
        <f t="shared" ref="C18:H18" si="3">C9</f>
        <v>843788</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2834175</v>
      </c>
      <c r="D19" s="1710">
        <f t="shared" si="4"/>
        <v>140833</v>
      </c>
      <c r="E19" s="1710">
        <f t="shared" si="4"/>
        <v>56162</v>
      </c>
      <c r="F19" s="1710">
        <f t="shared" si="4"/>
        <v>140374</v>
      </c>
      <c r="G19" s="1710">
        <f t="shared" si="4"/>
        <v>76150</v>
      </c>
      <c r="H19" s="1710">
        <f t="shared" si="4"/>
        <v>51254</v>
      </c>
      <c r="I19" s="468"/>
      <c r="J19" s="1710">
        <f>SUM(J17:J18)</f>
        <v>250704</v>
      </c>
      <c r="K19" s="1710">
        <f>SUM(K17:K18)</f>
        <v>18918</v>
      </c>
      <c r="L19" s="347"/>
    </row>
    <row r="20" spans="1:12" ht="16.5" thickTop="1" thickBot="1" x14ac:dyDescent="0.25">
      <c r="A20" s="2145" t="s">
        <v>1754</v>
      </c>
      <c r="B20" s="2146"/>
      <c r="C20" s="1768">
        <f>C8-C17</f>
        <v>3940</v>
      </c>
      <c r="D20" s="1768">
        <f t="shared" ref="D20:K20" si="5">D8-D17</f>
        <v>43333</v>
      </c>
      <c r="E20" s="1768">
        <f t="shared" si="5"/>
        <v>16102</v>
      </c>
      <c r="F20" s="1768">
        <f t="shared" si="5"/>
        <v>35106</v>
      </c>
      <c r="G20" s="1768">
        <f t="shared" si="5"/>
        <v>-12540</v>
      </c>
      <c r="H20" s="1768">
        <f t="shared" si="5"/>
        <v>-11688</v>
      </c>
      <c r="I20" s="1768">
        <f t="shared" si="5"/>
        <v>27943</v>
      </c>
      <c r="J20" s="1768">
        <f t="shared" si="5"/>
        <v>-1696</v>
      </c>
      <c r="K20" s="1768">
        <f t="shared" si="5"/>
        <v>6475</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v>15481</v>
      </c>
      <c r="D43" s="467"/>
      <c r="E43" s="467"/>
      <c r="F43" s="467"/>
      <c r="G43" s="467"/>
      <c r="H43" s="467"/>
      <c r="I43" s="467"/>
      <c r="J43" s="467"/>
      <c r="K43" s="467"/>
      <c r="L43" s="524"/>
    </row>
    <row r="44" spans="1:12" s="485" customFormat="1" ht="13.5" customHeight="1" thickBot="1" x14ac:dyDescent="0.25">
      <c r="A44" s="2159" t="s">
        <v>392</v>
      </c>
      <c r="B44" s="2160"/>
      <c r="C44" s="1725">
        <f>SUM(C24:C43)</f>
        <v>15481</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7" t="s">
        <v>1239</v>
      </c>
      <c r="B77" s="2138"/>
      <c r="C77" s="1725">
        <f t="shared" ref="C77:K77" si="8">C44-C76</f>
        <v>15481</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1" t="s">
        <v>618</v>
      </c>
      <c r="B78" s="2142"/>
      <c r="C78" s="1724">
        <f t="shared" ref="C78:K78" si="9">C20+C77</f>
        <v>19421</v>
      </c>
      <c r="D78" s="1724">
        <f t="shared" si="9"/>
        <v>43333</v>
      </c>
      <c r="E78" s="1724">
        <f t="shared" si="9"/>
        <v>16102</v>
      </c>
      <c r="F78" s="1724">
        <f t="shared" si="9"/>
        <v>35106</v>
      </c>
      <c r="G78" s="1724">
        <f t="shared" si="9"/>
        <v>-12540</v>
      </c>
      <c r="H78" s="1724">
        <f t="shared" si="9"/>
        <v>-11688</v>
      </c>
      <c r="I78" s="1724">
        <f t="shared" si="9"/>
        <v>27943</v>
      </c>
      <c r="J78" s="1724">
        <f t="shared" si="9"/>
        <v>-1696</v>
      </c>
      <c r="K78" s="1724">
        <f t="shared" si="9"/>
        <v>6475</v>
      </c>
      <c r="L78" s="533"/>
    </row>
    <row r="79" spans="1:12" ht="13.5" thickTop="1" x14ac:dyDescent="0.2">
      <c r="A79" s="1516" t="s">
        <v>2073</v>
      </c>
      <c r="B79" s="534"/>
      <c r="C79" s="478">
        <v>1554709</v>
      </c>
      <c r="D79" s="535">
        <v>255731</v>
      </c>
      <c r="E79" s="535">
        <v>22106</v>
      </c>
      <c r="F79" s="535">
        <v>288266</v>
      </c>
      <c r="G79" s="535">
        <v>23713</v>
      </c>
      <c r="H79" s="535">
        <v>82871</v>
      </c>
      <c r="I79" s="535">
        <v>502931</v>
      </c>
      <c r="J79" s="535">
        <v>4717</v>
      </c>
      <c r="K79" s="535">
        <v>113671</v>
      </c>
      <c r="L79" s="347"/>
    </row>
    <row r="80" spans="1:12" x14ac:dyDescent="0.2">
      <c r="A80" s="2147" t="s">
        <v>1898</v>
      </c>
      <c r="B80" s="2148"/>
      <c r="C80" s="467"/>
      <c r="D80" s="467"/>
      <c r="E80" s="467"/>
      <c r="F80" s="467"/>
      <c r="G80" s="467"/>
      <c r="H80" s="467"/>
      <c r="I80" s="467"/>
      <c r="J80" s="467"/>
      <c r="K80" s="467"/>
      <c r="L80" s="347"/>
    </row>
    <row r="81" spans="1:12" ht="13.5" thickBot="1" x14ac:dyDescent="0.25">
      <c r="A81" s="2139" t="s">
        <v>2074</v>
      </c>
      <c r="B81" s="2140"/>
      <c r="C81" s="1710">
        <f>(SUM(C78:C80))</f>
        <v>1574130</v>
      </c>
      <c r="D81" s="1710">
        <f>SUM(D78:D80)</f>
        <v>299064</v>
      </c>
      <c r="E81" s="1710">
        <f t="shared" ref="E81:K81" si="10">SUM(E78:E80)</f>
        <v>38208</v>
      </c>
      <c r="F81" s="1710">
        <f t="shared" si="10"/>
        <v>323372</v>
      </c>
      <c r="G81" s="1710">
        <f t="shared" si="10"/>
        <v>11173</v>
      </c>
      <c r="H81" s="1710">
        <f t="shared" si="10"/>
        <v>71183</v>
      </c>
      <c r="I81" s="1710">
        <f t="shared" si="10"/>
        <v>530874</v>
      </c>
      <c r="J81" s="1710">
        <f t="shared" si="10"/>
        <v>3021</v>
      </c>
      <c r="K81" s="1710">
        <f t="shared" si="10"/>
        <v>120146</v>
      </c>
      <c r="L81" s="347"/>
    </row>
    <row r="82" spans="1:12" ht="0.75" customHeight="1" thickTop="1" thickBot="1" x14ac:dyDescent="0.25">
      <c r="A82" s="536" t="s">
        <v>361</v>
      </c>
      <c r="B82" s="537"/>
      <c r="C82" s="538">
        <f>(C81-C79)</f>
        <v>19421</v>
      </c>
      <c r="D82" s="538">
        <f t="shared" ref="D82:K82" si="11">(D81-D79)</f>
        <v>43333</v>
      </c>
      <c r="E82" s="538">
        <f t="shared" si="11"/>
        <v>16102</v>
      </c>
      <c r="F82" s="538">
        <f t="shared" si="11"/>
        <v>35106</v>
      </c>
      <c r="G82" s="538">
        <f t="shared" si="11"/>
        <v>-12540</v>
      </c>
      <c r="H82" s="538">
        <f t="shared" si="11"/>
        <v>-11688</v>
      </c>
      <c r="I82" s="538">
        <f t="shared" si="11"/>
        <v>27943</v>
      </c>
      <c r="J82" s="538">
        <f t="shared" si="11"/>
        <v>-1696</v>
      </c>
      <c r="K82" s="538">
        <f t="shared" si="11"/>
        <v>6475</v>
      </c>
    </row>
    <row r="83" spans="1:12" ht="14.25" hidden="1" thickTop="1" thickBot="1" x14ac:dyDescent="0.25">
      <c r="A83" s="539" t="s">
        <v>362</v>
      </c>
      <c r="B83" s="464"/>
      <c r="C83" s="540">
        <f>C82/C81</f>
        <v>1.233760871084345E-2</v>
      </c>
      <c r="D83" s="540">
        <f t="shared" ref="D83:K83" si="12">D82/D81</f>
        <v>0.14489540700318326</v>
      </c>
      <c r="E83" s="540">
        <f t="shared" si="12"/>
        <v>0.42143006700167507</v>
      </c>
      <c r="F83" s="540">
        <f t="shared" si="12"/>
        <v>0.10856227502690399</v>
      </c>
      <c r="G83" s="540">
        <f t="shared" si="12"/>
        <v>-1.1223485187505593</v>
      </c>
      <c r="H83" s="540">
        <f t="shared" si="12"/>
        <v>-0.16419650759310508</v>
      </c>
      <c r="I83" s="540">
        <f t="shared" si="12"/>
        <v>5.2635842026544907E-2</v>
      </c>
      <c r="J83" s="540">
        <f t="shared" si="12"/>
        <v>-0.56140350877192979</v>
      </c>
      <c r="K83" s="540">
        <f t="shared" si="12"/>
        <v>5.3892763804038422E-2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98" zoomScaleNormal="98" zoomScaleSheetLayoutView="75" workbookViewId="0">
      <pane ySplit="2" topLeftCell="A117" activePane="bottomLeft" state="frozen"/>
      <selection activeCell="A47" sqref="A47"/>
      <selection pane="bottomLeft" activeCell="C126" sqref="C12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1905</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985228</v>
      </c>
      <c r="D5" s="481">
        <v>126962</v>
      </c>
      <c r="E5" s="466">
        <v>42236</v>
      </c>
      <c r="F5" s="548">
        <v>88452</v>
      </c>
      <c r="G5" s="466">
        <v>31545</v>
      </c>
      <c r="H5" s="466"/>
      <c r="I5" s="466">
        <v>25392</v>
      </c>
      <c r="J5" s="467">
        <v>249008</v>
      </c>
      <c r="K5" s="466">
        <v>25393</v>
      </c>
    </row>
    <row r="6" spans="1:12" ht="15" x14ac:dyDescent="0.2">
      <c r="A6" s="463" t="s">
        <v>1761</v>
      </c>
      <c r="B6" s="470">
        <v>1130</v>
      </c>
      <c r="C6" s="466">
        <v>25392</v>
      </c>
      <c r="D6" s="466"/>
      <c r="E6" s="475"/>
      <c r="F6" s="475"/>
      <c r="G6" s="468"/>
      <c r="H6" s="468"/>
      <c r="I6" s="468"/>
      <c r="J6" s="468"/>
      <c r="K6" s="468"/>
    </row>
    <row r="7" spans="1:12" x14ac:dyDescent="0.2">
      <c r="A7" s="463" t="s">
        <v>112</v>
      </c>
      <c r="B7" s="549">
        <v>1140</v>
      </c>
      <c r="C7" s="466">
        <v>10157</v>
      </c>
      <c r="D7" s="466"/>
      <c r="E7" s="468"/>
      <c r="F7" s="467"/>
      <c r="G7" s="467"/>
      <c r="H7" s="467"/>
      <c r="I7" s="468"/>
      <c r="J7" s="468"/>
      <c r="K7" s="468"/>
    </row>
    <row r="8" spans="1:12" x14ac:dyDescent="0.2">
      <c r="A8" s="463" t="s">
        <v>433</v>
      </c>
      <c r="B8" s="470">
        <v>1150</v>
      </c>
      <c r="C8" s="475"/>
      <c r="D8" s="475"/>
      <c r="E8" s="477"/>
      <c r="F8" s="477"/>
      <c r="G8" s="481">
        <v>31545</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1020777</v>
      </c>
      <c r="D12" s="1729">
        <f t="shared" si="0"/>
        <v>126962</v>
      </c>
      <c r="E12" s="1729">
        <f t="shared" si="0"/>
        <v>42236</v>
      </c>
      <c r="F12" s="1729">
        <f t="shared" si="0"/>
        <v>88452</v>
      </c>
      <c r="G12" s="1729">
        <f t="shared" si="0"/>
        <v>63090</v>
      </c>
      <c r="H12" s="1729">
        <f t="shared" si="0"/>
        <v>0</v>
      </c>
      <c r="I12" s="1729">
        <f t="shared" si="0"/>
        <v>25392</v>
      </c>
      <c r="J12" s="1729">
        <f t="shared" si="0"/>
        <v>249008</v>
      </c>
      <c r="K12" s="1710">
        <f t="shared" si="0"/>
        <v>25393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12000</v>
      </c>
      <c r="D16" s="466">
        <v>52219</v>
      </c>
      <c r="E16" s="466"/>
      <c r="F16" s="466"/>
      <c r="G16" s="466">
        <v>500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12000</v>
      </c>
      <c r="D18" s="1732">
        <f t="shared" ref="D18:K18" si="1">SUM(D14:D17)</f>
        <v>52219</v>
      </c>
      <c r="E18" s="1732">
        <f t="shared" si="1"/>
        <v>0</v>
      </c>
      <c r="F18" s="1732">
        <f t="shared" si="1"/>
        <v>0</v>
      </c>
      <c r="G18" s="1732">
        <f t="shared" si="1"/>
        <v>500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9455</v>
      </c>
      <c r="D65" s="466">
        <v>1485</v>
      </c>
      <c r="E65" s="466">
        <v>28</v>
      </c>
      <c r="F65" s="467">
        <v>1906</v>
      </c>
      <c r="G65" s="466">
        <v>20</v>
      </c>
      <c r="H65" s="466"/>
      <c r="I65" s="466">
        <v>2551</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9455</v>
      </c>
      <c r="D67" s="1710">
        <f t="shared" ref="D67:K67" si="2">SUM(D65:D66)</f>
        <v>1485</v>
      </c>
      <c r="E67" s="1710">
        <f t="shared" si="2"/>
        <v>28</v>
      </c>
      <c r="F67" s="1710">
        <f t="shared" si="2"/>
        <v>1906</v>
      </c>
      <c r="G67" s="1710">
        <f t="shared" si="2"/>
        <v>20</v>
      </c>
      <c r="H67" s="1710">
        <f t="shared" si="2"/>
        <v>0</v>
      </c>
      <c r="I67" s="1710">
        <f t="shared" si="2"/>
        <v>2551</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50804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50804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5192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5192</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14562</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14562</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3500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30000</v>
      </c>
      <c r="F103" s="468"/>
      <c r="G103" s="468"/>
      <c r="H103" s="489">
        <v>39566</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9696</v>
      </c>
      <c r="D107" s="466"/>
      <c r="E107" s="466"/>
      <c r="F107" s="466"/>
      <c r="G107" s="466"/>
      <c r="H107" s="466"/>
      <c r="I107" s="466"/>
      <c r="J107" s="467"/>
      <c r="K107" s="466"/>
    </row>
    <row r="108" spans="1:12" ht="12.75" customHeight="1" thickBot="1" x14ac:dyDescent="0.25">
      <c r="A108" s="1730" t="s">
        <v>508</v>
      </c>
      <c r="B108" s="1734"/>
      <c r="C108" s="1729">
        <f>SUM(C95:C107)</f>
        <v>9696</v>
      </c>
      <c r="D108" s="1729">
        <f t="shared" ref="D108:K108" si="3">SUM(D95:D107)</f>
        <v>3500</v>
      </c>
      <c r="E108" s="1729">
        <f t="shared" si="3"/>
        <v>30000</v>
      </c>
      <c r="F108" s="1729">
        <f t="shared" si="3"/>
        <v>0</v>
      </c>
      <c r="G108" s="1729">
        <f t="shared" si="3"/>
        <v>0</v>
      </c>
      <c r="H108" s="1729">
        <f t="shared" si="3"/>
        <v>39566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1122486</v>
      </c>
      <c r="D109" s="1737">
        <f t="shared" si="4"/>
        <v>184166</v>
      </c>
      <c r="E109" s="1737">
        <f t="shared" si="4"/>
        <v>72264</v>
      </c>
      <c r="F109" s="1737">
        <f t="shared" si="4"/>
        <v>90358</v>
      </c>
      <c r="G109" s="1737">
        <f t="shared" si="4"/>
        <v>63610</v>
      </c>
      <c r="H109" s="1737">
        <f t="shared" si="4"/>
        <v>39566</v>
      </c>
      <c r="I109" s="1737">
        <f t="shared" si="4"/>
        <v>27943</v>
      </c>
      <c r="J109" s="1737">
        <f t="shared" si="4"/>
        <v>249008</v>
      </c>
      <c r="K109" s="1724">
        <f t="shared" si="4"/>
        <v>25393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719690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719690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8174</v>
      </c>
      <c r="D124" s="561"/>
      <c r="E124" s="468"/>
      <c r="F124" s="548"/>
      <c r="G124" s="468"/>
      <c r="H124" s="468"/>
      <c r="I124" s="468"/>
      <c r="J124" s="468"/>
      <c r="K124" s="468"/>
    </row>
    <row r="125" spans="1:11" ht="12.75" customHeight="1" x14ac:dyDescent="0.2">
      <c r="A125" s="463" t="s">
        <v>1521</v>
      </c>
      <c r="B125" s="562">
        <v>3105</v>
      </c>
      <c r="C125" s="466">
        <v>19678</v>
      </c>
      <c r="D125" s="561"/>
      <c r="E125" s="468"/>
      <c r="F125" s="466"/>
      <c r="G125" s="468"/>
      <c r="H125" s="468"/>
      <c r="I125" s="468"/>
      <c r="J125" s="468"/>
      <c r="K125" s="468"/>
    </row>
    <row r="126" spans="1:11" ht="12.75" customHeight="1" x14ac:dyDescent="0.2">
      <c r="A126" s="463" t="s">
        <v>922</v>
      </c>
      <c r="B126" s="562">
        <v>3110</v>
      </c>
      <c r="C126" s="551">
        <v>7193</v>
      </c>
      <c r="D126" s="466"/>
      <c r="E126" s="468"/>
      <c r="F126" s="466"/>
      <c r="G126" s="468"/>
      <c r="H126" s="468"/>
      <c r="I126" s="468"/>
      <c r="J126" s="468"/>
      <c r="K126" s="468"/>
    </row>
    <row r="127" spans="1:11" ht="12.75" customHeight="1" x14ac:dyDescent="0.2">
      <c r="A127" s="463" t="s">
        <v>107</v>
      </c>
      <c r="B127" s="562">
        <v>3120</v>
      </c>
      <c r="C127" s="466">
        <v>5492</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40537</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348</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39902</v>
      </c>
      <c r="G151" s="467"/>
      <c r="H151" s="468"/>
      <c r="I151" s="468"/>
      <c r="J151" s="468"/>
      <c r="K151" s="468"/>
    </row>
    <row r="152" spans="1:11" ht="12.75" customHeight="1" x14ac:dyDescent="0.2">
      <c r="A152" s="463" t="s">
        <v>1117</v>
      </c>
      <c r="B152" s="562">
        <v>3510</v>
      </c>
      <c r="C152" s="551"/>
      <c r="D152" s="466"/>
      <c r="E152" s="561"/>
      <c r="F152" s="466">
        <v>45220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85122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4">
        <f t="shared" ref="C172:K172" si="6">SUM(C131,C140,C144,C145:C149,C154,C155:C170,C171)</f>
        <v>40885</v>
      </c>
      <c r="D172" s="1744">
        <f t="shared" si="6"/>
        <v>0</v>
      </c>
      <c r="E172" s="1744">
        <f t="shared" si="6"/>
        <v>0</v>
      </c>
      <c r="F172" s="1744">
        <f t="shared" si="6"/>
        <v>85122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760575</v>
      </c>
      <c r="D173" s="1737">
        <f>SUM(D121,D172)</f>
        <v>0</v>
      </c>
      <c r="E173" s="1737">
        <f>SUM(E121,E172)</f>
        <v>0</v>
      </c>
      <c r="F173" s="1737">
        <f t="shared" ref="F173:K173" si="7">SUM(F121,F172)</f>
        <v>85122</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1906</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30097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30097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43494</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43494</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6000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6000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13404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5674</v>
      </c>
      <c r="D270" s="576"/>
      <c r="E270" s="468"/>
      <c r="F270" s="576"/>
      <c r="G270" s="576"/>
      <c r="H270" s="468"/>
      <c r="I270" s="468"/>
      <c r="J270" s="468"/>
      <c r="K270" s="468"/>
    </row>
    <row r="271" spans="1:11" ht="12.75" customHeight="1" thickTop="1" thickBot="1" x14ac:dyDescent="0.25">
      <c r="A271" s="463" t="s">
        <v>395</v>
      </c>
      <c r="B271" s="470">
        <v>4992</v>
      </c>
      <c r="C271" s="575">
        <v>12597</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111266</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111266</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1994327</v>
      </c>
      <c r="D275" s="1737">
        <f t="shared" si="12"/>
        <v>184166</v>
      </c>
      <c r="E275" s="1737">
        <f t="shared" si="12"/>
        <v>72264</v>
      </c>
      <c r="F275" s="1737">
        <f t="shared" si="12"/>
        <v>175480</v>
      </c>
      <c r="G275" s="1737">
        <f t="shared" si="12"/>
        <v>63610</v>
      </c>
      <c r="H275" s="1737">
        <f t="shared" si="12"/>
        <v>39566</v>
      </c>
      <c r="I275" s="1737">
        <f t="shared" si="12"/>
        <v>27943</v>
      </c>
      <c r="J275" s="1737">
        <f t="shared" si="12"/>
        <v>249008</v>
      </c>
      <c r="K275" s="1724">
        <f t="shared" si="12"/>
        <v>25393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notes are an intergral part of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8" zoomScaleNormal="98" workbookViewId="0">
      <pane ySplit="2" topLeftCell="A162" activePane="bottomLeft" state="frozen"/>
      <selection activeCell="A47" sqref="A47"/>
      <selection pane="bottomLeft" activeCell="L350" sqref="L3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7"/>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3" t="s">
        <v>315</v>
      </c>
      <c r="B3" s="2184"/>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852140</v>
      </c>
      <c r="D5" s="466">
        <v>124947</v>
      </c>
      <c r="E5" s="466">
        <v>24487</v>
      </c>
      <c r="F5" s="466">
        <v>108470</v>
      </c>
      <c r="G5" s="466">
        <v>36888</v>
      </c>
      <c r="H5" s="466">
        <v>520</v>
      </c>
      <c r="I5" s="467"/>
      <c r="J5" s="467"/>
      <c r="K5" s="1693">
        <f>SUM(C5:J5)</f>
        <v>1147452</v>
      </c>
      <c r="L5" s="466">
        <v>1105491</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99493</v>
      </c>
      <c r="D8" s="466">
        <v>35070</v>
      </c>
      <c r="E8" s="466"/>
      <c r="F8" s="466"/>
      <c r="G8" s="466"/>
      <c r="H8" s="466"/>
      <c r="I8" s="467"/>
      <c r="J8" s="467"/>
      <c r="K8" s="1693">
        <f t="shared" si="0"/>
        <v>134563</v>
      </c>
      <c r="L8" s="466">
        <v>128000</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41863</v>
      </c>
      <c r="D14" s="466">
        <v>519</v>
      </c>
      <c r="E14" s="466">
        <v>7140</v>
      </c>
      <c r="F14" s="466">
        <v>3916</v>
      </c>
      <c r="G14" s="466"/>
      <c r="H14" s="466">
        <v>2998</v>
      </c>
      <c r="I14" s="467"/>
      <c r="J14" s="467"/>
      <c r="K14" s="1693">
        <f t="shared" si="0"/>
        <v>56436</v>
      </c>
      <c r="L14" s="466">
        <v>55700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993496</v>
      </c>
      <c r="D33" s="1692">
        <f t="shared" ref="D33:L33" si="1">SUM(D5:D32)</f>
        <v>160536</v>
      </c>
      <c r="E33" s="1692">
        <f t="shared" si="1"/>
        <v>31627</v>
      </c>
      <c r="F33" s="1692">
        <f t="shared" si="1"/>
        <v>112386</v>
      </c>
      <c r="G33" s="1692">
        <f t="shared" si="1"/>
        <v>36888</v>
      </c>
      <c r="H33" s="1692">
        <f t="shared" si="1"/>
        <v>3518</v>
      </c>
      <c r="I33" s="1692">
        <f t="shared" si="1"/>
        <v>0</v>
      </c>
      <c r="J33" s="1692">
        <f t="shared" si="1"/>
        <v>0</v>
      </c>
      <c r="K33" s="1692">
        <f t="shared" si="1"/>
        <v>1338451</v>
      </c>
      <c r="L33" s="1692">
        <f t="shared" si="1"/>
        <v>1289191</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v>11108</v>
      </c>
      <c r="E44" s="481">
        <v>15548</v>
      </c>
      <c r="F44" s="481"/>
      <c r="G44" s="481"/>
      <c r="H44" s="481"/>
      <c r="I44" s="467"/>
      <c r="J44" s="467"/>
      <c r="K44" s="1694">
        <f>SUM(C44:J44)</f>
        <v>26656</v>
      </c>
      <c r="L44" s="481">
        <v>28404</v>
      </c>
    </row>
    <row r="45" spans="1:14" x14ac:dyDescent="0.2">
      <c r="A45" s="1526" t="s">
        <v>869</v>
      </c>
      <c r="B45" s="615">
        <v>2220</v>
      </c>
      <c r="C45" s="466">
        <v>15825</v>
      </c>
      <c r="D45" s="466">
        <v>677</v>
      </c>
      <c r="E45" s="466"/>
      <c r="F45" s="466"/>
      <c r="G45" s="466"/>
      <c r="H45" s="466"/>
      <c r="I45" s="467"/>
      <c r="J45" s="467"/>
      <c r="K45" s="1694">
        <f>SUM(C45:J45)</f>
        <v>16502</v>
      </c>
      <c r="L45" s="466">
        <v>11700</v>
      </c>
    </row>
    <row r="46" spans="1:14" x14ac:dyDescent="0.2">
      <c r="A46" s="1526" t="s">
        <v>870</v>
      </c>
      <c r="B46" s="615">
        <v>2230</v>
      </c>
      <c r="C46" s="466"/>
      <c r="D46" s="466"/>
      <c r="E46" s="466">
        <v>9735</v>
      </c>
      <c r="F46" s="466"/>
      <c r="G46" s="466"/>
      <c r="H46" s="466"/>
      <c r="I46" s="467"/>
      <c r="J46" s="467"/>
      <c r="K46" s="1694">
        <f>SUM(C46:J46)</f>
        <v>9735</v>
      </c>
      <c r="L46" s="466">
        <v>8066</v>
      </c>
    </row>
    <row r="47" spans="1:14" ht="12.75" customHeight="1" thickBot="1" x14ac:dyDescent="0.25">
      <c r="A47" s="1690" t="s">
        <v>582</v>
      </c>
      <c r="B47" s="1691" t="s">
        <v>32</v>
      </c>
      <c r="C47" s="1692">
        <f>SUM(C44:C46)</f>
        <v>15825</v>
      </c>
      <c r="D47" s="1692">
        <f t="shared" ref="D47:K47" si="4">SUM(D44:D46)</f>
        <v>11785</v>
      </c>
      <c r="E47" s="1692">
        <f t="shared" si="4"/>
        <v>25283</v>
      </c>
      <c r="F47" s="1692">
        <f t="shared" si="4"/>
        <v>0</v>
      </c>
      <c r="G47" s="1692">
        <f t="shared" si="4"/>
        <v>0</v>
      </c>
      <c r="H47" s="1692">
        <f t="shared" si="4"/>
        <v>0</v>
      </c>
      <c r="I47" s="1692">
        <f t="shared" si="4"/>
        <v>0</v>
      </c>
      <c r="J47" s="1692">
        <f t="shared" si="4"/>
        <v>0</v>
      </c>
      <c r="K47" s="1692">
        <f t="shared" si="4"/>
        <v>52893</v>
      </c>
      <c r="L47" s="1692">
        <f>SUM(L44:L46)</f>
        <v>48170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1881</v>
      </c>
      <c r="D49" s="481"/>
      <c r="E49" s="481">
        <v>13050</v>
      </c>
      <c r="F49" s="481">
        <v>942</v>
      </c>
      <c r="G49" s="481"/>
      <c r="H49" s="481">
        <v>1531</v>
      </c>
      <c r="I49" s="467"/>
      <c r="J49" s="467"/>
      <c r="K49" s="1694">
        <f>SUM(C49:J49)</f>
        <v>17404</v>
      </c>
      <c r="L49" s="481">
        <v>14000</v>
      </c>
    </row>
    <row r="50" spans="1:14" x14ac:dyDescent="0.2">
      <c r="A50" s="1526" t="s">
        <v>872</v>
      </c>
      <c r="B50" s="615">
        <v>2320</v>
      </c>
      <c r="C50" s="466">
        <v>110195</v>
      </c>
      <c r="D50" s="466">
        <v>32226</v>
      </c>
      <c r="E50" s="466">
        <v>5183</v>
      </c>
      <c r="F50" s="466"/>
      <c r="G50" s="466"/>
      <c r="H50" s="466">
        <v>1050</v>
      </c>
      <c r="I50" s="467"/>
      <c r="J50" s="467"/>
      <c r="K50" s="1694">
        <f>SUM(C50:J50)</f>
        <v>148654</v>
      </c>
      <c r="L50" s="466">
        <v>146870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112076</v>
      </c>
      <c r="D53" s="1692">
        <f t="shared" ref="D53:L53" si="5">SUM(D49:D52)</f>
        <v>32226</v>
      </c>
      <c r="E53" s="1692">
        <f t="shared" si="5"/>
        <v>18233</v>
      </c>
      <c r="F53" s="1692">
        <f t="shared" si="5"/>
        <v>942</v>
      </c>
      <c r="G53" s="1692">
        <f t="shared" si="5"/>
        <v>0</v>
      </c>
      <c r="H53" s="1692">
        <f t="shared" si="5"/>
        <v>2581</v>
      </c>
      <c r="I53" s="1692">
        <f t="shared" si="5"/>
        <v>0</v>
      </c>
      <c r="J53" s="1692">
        <f t="shared" si="5"/>
        <v>0</v>
      </c>
      <c r="K53" s="1692">
        <f t="shared" si="5"/>
        <v>166058</v>
      </c>
      <c r="L53" s="1692">
        <f t="shared" si="5"/>
        <v>160870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48649</v>
      </c>
      <c r="D55" s="481">
        <v>15805</v>
      </c>
      <c r="E55" s="481"/>
      <c r="F55" s="481"/>
      <c r="G55" s="481"/>
      <c r="H55" s="481">
        <v>280</v>
      </c>
      <c r="I55" s="467"/>
      <c r="J55" s="467"/>
      <c r="K55" s="1694">
        <f>SUM(C55:J55)</f>
        <v>64734</v>
      </c>
      <c r="L55" s="481">
        <v>62800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48649</v>
      </c>
      <c r="D57" s="1696">
        <f t="shared" ref="D57:K57" si="6">SUM(D55:D56)</f>
        <v>15805</v>
      </c>
      <c r="E57" s="1696">
        <f t="shared" si="6"/>
        <v>0</v>
      </c>
      <c r="F57" s="1696">
        <f t="shared" si="6"/>
        <v>0</v>
      </c>
      <c r="G57" s="1696">
        <f t="shared" si="6"/>
        <v>0</v>
      </c>
      <c r="H57" s="1696">
        <f t="shared" si="6"/>
        <v>280</v>
      </c>
      <c r="I57" s="1696">
        <f t="shared" si="6"/>
        <v>0</v>
      </c>
      <c r="J57" s="1696">
        <f t="shared" si="6"/>
        <v>0</v>
      </c>
      <c r="K57" s="1696">
        <f t="shared" si="6"/>
        <v>64734</v>
      </c>
      <c r="L57" s="1692">
        <f>SUM(L55:L56)</f>
        <v>62800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33996</v>
      </c>
      <c r="D60" s="466">
        <v>8098</v>
      </c>
      <c r="E60" s="466">
        <v>514</v>
      </c>
      <c r="F60" s="466"/>
      <c r="G60" s="466"/>
      <c r="H60" s="466"/>
      <c r="I60" s="467"/>
      <c r="J60" s="467"/>
      <c r="K60" s="1694">
        <f t="shared" si="7"/>
        <v>42608</v>
      </c>
      <c r="L60" s="466">
        <v>41740</v>
      </c>
      <c r="M60" s="610"/>
      <c r="N60" s="610"/>
    </row>
    <row r="61" spans="1:14" s="343" customFormat="1" x14ac:dyDescent="0.2">
      <c r="A61" s="1526" t="s">
        <v>206</v>
      </c>
      <c r="B61" s="615">
        <v>2540</v>
      </c>
      <c r="C61" s="466"/>
      <c r="D61" s="466"/>
      <c r="E61" s="466">
        <v>3692</v>
      </c>
      <c r="F61" s="466"/>
      <c r="G61" s="466"/>
      <c r="H61" s="466"/>
      <c r="I61" s="467"/>
      <c r="J61" s="467"/>
      <c r="K61" s="1694">
        <f t="shared" si="7"/>
        <v>3692</v>
      </c>
      <c r="L61" s="466">
        <v>4000</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33359</v>
      </c>
      <c r="D63" s="466">
        <v>3674</v>
      </c>
      <c r="E63" s="466">
        <v>522</v>
      </c>
      <c r="F63" s="466">
        <v>40257</v>
      </c>
      <c r="G63" s="466"/>
      <c r="H63" s="466"/>
      <c r="I63" s="467"/>
      <c r="J63" s="467"/>
      <c r="K63" s="1694">
        <f t="shared" si="7"/>
        <v>77812</v>
      </c>
      <c r="L63" s="466">
        <v>83600</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67355</v>
      </c>
      <c r="D65" s="1692">
        <f t="shared" ref="D65:L65" si="8">SUM(D59:D64)</f>
        <v>11772</v>
      </c>
      <c r="E65" s="1692">
        <f t="shared" si="8"/>
        <v>4728</v>
      </c>
      <c r="F65" s="1692">
        <f t="shared" si="8"/>
        <v>40257</v>
      </c>
      <c r="G65" s="1692">
        <f t="shared" si="8"/>
        <v>0</v>
      </c>
      <c r="H65" s="1692">
        <f t="shared" si="8"/>
        <v>0</v>
      </c>
      <c r="I65" s="1692">
        <f t="shared" si="8"/>
        <v>0</v>
      </c>
      <c r="J65" s="1692">
        <f t="shared" si="8"/>
        <v>0</v>
      </c>
      <c r="K65" s="1692">
        <f t="shared" si="8"/>
        <v>124112</v>
      </c>
      <c r="L65" s="1692">
        <f t="shared" si="8"/>
        <v>129340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100</v>
      </c>
      <c r="M73" s="610"/>
      <c r="N73" s="610"/>
    </row>
    <row r="74" spans="1:14" ht="12.75" customHeight="1" thickTop="1" thickBot="1" x14ac:dyDescent="0.25">
      <c r="A74" s="1690" t="s">
        <v>865</v>
      </c>
      <c r="B74" s="1698">
        <v>2000</v>
      </c>
      <c r="C74" s="1699">
        <f>SUM(C42,C47,C53,C57,C65,C72,C73)</f>
        <v>243905</v>
      </c>
      <c r="D74" s="1699">
        <f t="shared" ref="D74:K74" si="10">SUM(D42,D47,D53,D57,D65,D72,D73)</f>
        <v>71588</v>
      </c>
      <c r="E74" s="1699">
        <f t="shared" si="10"/>
        <v>48244</v>
      </c>
      <c r="F74" s="1699">
        <f t="shared" si="10"/>
        <v>41199</v>
      </c>
      <c r="G74" s="1699">
        <f t="shared" si="10"/>
        <v>0</v>
      </c>
      <c r="H74" s="1699">
        <f t="shared" si="10"/>
        <v>2861</v>
      </c>
      <c r="I74" s="1699">
        <f t="shared" si="10"/>
        <v>0</v>
      </c>
      <c r="J74" s="1699">
        <f t="shared" si="10"/>
        <v>0</v>
      </c>
      <c r="K74" s="1699">
        <f t="shared" si="10"/>
        <v>407797</v>
      </c>
      <c r="L74" s="1699">
        <f>SUM(L42,L47,L53,L57,L65,L72,L73)</f>
        <v>401280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1103</v>
      </c>
      <c r="F78" s="617"/>
      <c r="G78" s="617"/>
      <c r="H78" s="635"/>
      <c r="I78" s="477"/>
      <c r="J78" s="477"/>
      <c r="K78" s="1693">
        <f t="shared" ref="K78:K83" si="11">SUM(C78:J78)</f>
        <v>1103</v>
      </c>
      <c r="L78" s="481">
        <v>1200</v>
      </c>
    </row>
    <row r="79" spans="1:14" x14ac:dyDescent="0.2">
      <c r="A79" s="1526" t="s">
        <v>322</v>
      </c>
      <c r="B79" s="615">
        <v>4120</v>
      </c>
      <c r="C79" s="617"/>
      <c r="D79" s="617"/>
      <c r="E79" s="466"/>
      <c r="F79" s="617"/>
      <c r="G79" s="617"/>
      <c r="H79" s="466">
        <v>243036</v>
      </c>
      <c r="I79" s="477"/>
      <c r="J79" s="477"/>
      <c r="K79" s="1693">
        <f t="shared" si="11"/>
        <v>243036</v>
      </c>
      <c r="L79" s="466">
        <v>230000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1103</v>
      </c>
      <c r="F84" s="617"/>
      <c r="G84" s="617"/>
      <c r="H84" s="1692">
        <f>SUM(H78:H83)</f>
        <v>243036</v>
      </c>
      <c r="I84" s="477"/>
      <c r="J84" s="477"/>
      <c r="K84" s="1692">
        <f>SUM(K78:K83)</f>
        <v>244139</v>
      </c>
      <c r="L84" s="1692">
        <f>SUM(L78:L83)</f>
        <v>231200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1103</v>
      </c>
      <c r="F102" s="617"/>
      <c r="G102" s="617"/>
      <c r="H102" s="1699">
        <f>SUM(H84,H92,H100,H101)</f>
        <v>243036</v>
      </c>
      <c r="I102" s="477"/>
      <c r="J102" s="477"/>
      <c r="K102" s="1699">
        <f>SUM(K84,K92,K100,K101)</f>
        <v>244139</v>
      </c>
      <c r="L102" s="1699">
        <f>SUM(L84,L92,L100,L101)</f>
        <v>231200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1237401</v>
      </c>
      <c r="D114" s="1692">
        <f t="shared" ref="D114:K114" si="13">SUM(D33,D74,D75,D102,D112,D113)</f>
        <v>232124</v>
      </c>
      <c r="E114" s="1692">
        <f t="shared" si="13"/>
        <v>80974</v>
      </c>
      <c r="F114" s="1692">
        <f t="shared" si="13"/>
        <v>153585</v>
      </c>
      <c r="G114" s="1692">
        <f t="shared" si="13"/>
        <v>36888</v>
      </c>
      <c r="H114" s="1692">
        <f>SUM(H33,H74,H75,H102,H112,H113)</f>
        <v>249415</v>
      </c>
      <c r="I114" s="1692">
        <f t="shared" si="13"/>
        <v>0</v>
      </c>
      <c r="J114" s="1692">
        <f t="shared" si="13"/>
        <v>0</v>
      </c>
      <c r="K114" s="1692">
        <f t="shared" si="13"/>
        <v>1990387</v>
      </c>
      <c r="L114" s="1692">
        <f>SUM(L33,L74,L75,L102,L112,L113)</f>
        <v>1921671</v>
      </c>
    </row>
    <row r="115" spans="1:14" ht="13.5" thickTop="1" x14ac:dyDescent="0.2">
      <c r="A115" s="2175" t="s">
        <v>1053</v>
      </c>
      <c r="B115" s="2176"/>
      <c r="C115" s="619"/>
      <c r="D115" s="619"/>
      <c r="E115" s="619"/>
      <c r="F115" s="619"/>
      <c r="G115" s="619"/>
      <c r="H115" s="619"/>
      <c r="I115" s="619"/>
      <c r="J115" s="619"/>
      <c r="K115" s="1706">
        <f>'Revenues 9-14'!C275-'Expenditures 15-22'!K114</f>
        <v>3940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0" t="s">
        <v>314</v>
      </c>
      <c r="B117" s="2181"/>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57822</v>
      </c>
      <c r="D124" s="466">
        <v>8941</v>
      </c>
      <c r="E124" s="466">
        <v>28790</v>
      </c>
      <c r="F124" s="466">
        <v>45280</v>
      </c>
      <c r="G124" s="466"/>
      <c r="H124" s="466"/>
      <c r="I124" s="467"/>
      <c r="J124" s="467"/>
      <c r="K124" s="1692">
        <f>SUM(C124:J124)</f>
        <v>140833</v>
      </c>
      <c r="L124" s="466">
        <v>146000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57822</v>
      </c>
      <c r="D127" s="1692">
        <f t="shared" ref="D127:L127" si="14">SUM(D122:D126)</f>
        <v>8941</v>
      </c>
      <c r="E127" s="1692">
        <f t="shared" si="14"/>
        <v>28790</v>
      </c>
      <c r="F127" s="1692">
        <f t="shared" si="14"/>
        <v>45280</v>
      </c>
      <c r="G127" s="1692">
        <f t="shared" si="14"/>
        <v>0</v>
      </c>
      <c r="H127" s="1692">
        <f t="shared" si="14"/>
        <v>0</v>
      </c>
      <c r="I127" s="1692">
        <f t="shared" si="14"/>
        <v>0</v>
      </c>
      <c r="J127" s="1692">
        <f t="shared" si="14"/>
        <v>0</v>
      </c>
      <c r="K127" s="1692">
        <f t="shared" si="14"/>
        <v>140833</v>
      </c>
      <c r="L127" s="1692">
        <f t="shared" si="14"/>
        <v>146000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57822</v>
      </c>
      <c r="D129" s="1699">
        <f t="shared" ref="D129:L129" si="15">SUM(D120,D127,D128)</f>
        <v>8941</v>
      </c>
      <c r="E129" s="1699">
        <f t="shared" si="15"/>
        <v>28790</v>
      </c>
      <c r="F129" s="1699">
        <f t="shared" si="15"/>
        <v>45280</v>
      </c>
      <c r="G129" s="1699">
        <f t="shared" si="15"/>
        <v>0</v>
      </c>
      <c r="H129" s="1699">
        <f t="shared" si="15"/>
        <v>0</v>
      </c>
      <c r="I129" s="1699">
        <f t="shared" si="15"/>
        <v>0</v>
      </c>
      <c r="J129" s="1699">
        <f t="shared" si="15"/>
        <v>0</v>
      </c>
      <c r="K129" s="1699">
        <f t="shared" si="15"/>
        <v>140833</v>
      </c>
      <c r="L129" s="1699">
        <f t="shared" si="15"/>
        <v>146000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2" t="s">
        <v>641</v>
      </c>
      <c r="B151" s="2172"/>
      <c r="C151" s="1692">
        <f>SUM(C129,C130,C139,C149,C150)</f>
        <v>57822</v>
      </c>
      <c r="D151" s="1692">
        <f t="shared" ref="D151:K151" si="16">SUM(D129,D130,D139,D149,D150)</f>
        <v>8941</v>
      </c>
      <c r="E151" s="1692">
        <f t="shared" si="16"/>
        <v>28790</v>
      </c>
      <c r="F151" s="1692">
        <f t="shared" si="16"/>
        <v>45280</v>
      </c>
      <c r="G151" s="1692">
        <f t="shared" si="16"/>
        <v>0</v>
      </c>
      <c r="H151" s="1692">
        <f t="shared" si="16"/>
        <v>0</v>
      </c>
      <c r="I151" s="1692">
        <f t="shared" si="16"/>
        <v>0</v>
      </c>
      <c r="J151" s="1692">
        <f t="shared" si="16"/>
        <v>0</v>
      </c>
      <c r="K151" s="1692">
        <f t="shared" si="16"/>
        <v>140833</v>
      </c>
      <c r="L151" s="1692">
        <f>SUM(L129,L130,L139,L149,L150)</f>
        <v>146000</v>
      </c>
    </row>
    <row r="152" spans="1:14" ht="12.75" customHeight="1" thickTop="1" x14ac:dyDescent="0.2">
      <c r="A152" s="2195" t="s">
        <v>1240</v>
      </c>
      <c r="B152" s="2196"/>
      <c r="C152" s="619"/>
      <c r="D152" s="619"/>
      <c r="E152" s="619"/>
      <c r="F152" s="619"/>
      <c r="G152" s="619"/>
      <c r="H152" s="619"/>
      <c r="I152" s="619"/>
      <c r="J152" s="617"/>
      <c r="K152" s="1706">
        <f>'Revenues 9-14'!D275-'Expenditures 15-22'!K151</f>
        <v>43333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0" t="s">
        <v>642</v>
      </c>
      <c r="B154" s="2182"/>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5662</v>
      </c>
      <c r="I169" s="617"/>
      <c r="J169" s="617"/>
      <c r="K169" s="1693">
        <f>SUM(C169:H169)</f>
        <v>5662</v>
      </c>
      <c r="L169" s="657">
        <v>10000</v>
      </c>
    </row>
    <row r="170" spans="1:14" ht="33.75" customHeight="1" x14ac:dyDescent="0.2">
      <c r="A170" s="670" t="s">
        <v>1769</v>
      </c>
      <c r="B170" s="672" t="s">
        <v>31</v>
      </c>
      <c r="C170" s="617"/>
      <c r="D170" s="617"/>
      <c r="E170" s="617"/>
      <c r="F170" s="617"/>
      <c r="G170" s="617"/>
      <c r="H170" s="569">
        <v>50000</v>
      </c>
      <c r="I170" s="617"/>
      <c r="J170" s="617"/>
      <c r="K170" s="1693">
        <f>SUM(C170:J170)</f>
        <v>50000</v>
      </c>
      <c r="L170" s="569">
        <v>45000</v>
      </c>
    </row>
    <row r="171" spans="1:14" ht="15.75" customHeight="1" x14ac:dyDescent="0.2">
      <c r="A171" s="622" t="s">
        <v>790</v>
      </c>
      <c r="B171" s="673" t="s">
        <v>86</v>
      </c>
      <c r="C171" s="617"/>
      <c r="D171" s="617"/>
      <c r="E171" s="466"/>
      <c r="F171" s="617"/>
      <c r="G171" s="617"/>
      <c r="H171" s="569">
        <v>500</v>
      </c>
      <c r="I171" s="477"/>
      <c r="J171" s="617"/>
      <c r="K171" s="1693">
        <f>SUM(C171:J171)</f>
        <v>500</v>
      </c>
      <c r="L171" s="569"/>
    </row>
    <row r="172" spans="1:14" ht="12.75" customHeight="1" thickBot="1" x14ac:dyDescent="0.25">
      <c r="A172" s="1690" t="s">
        <v>659</v>
      </c>
      <c r="B172" s="1691" t="s">
        <v>513</v>
      </c>
      <c r="C172" s="617"/>
      <c r="D172" s="617"/>
      <c r="E172" s="1699">
        <f>SUM(E168,E169,E170,E171)</f>
        <v>0</v>
      </c>
      <c r="F172" s="617"/>
      <c r="G172" s="617"/>
      <c r="H172" s="1699">
        <f>SUM(H168,H169,H170,H171)</f>
        <v>56162</v>
      </c>
      <c r="I172" s="639"/>
      <c r="J172" s="617"/>
      <c r="K172" s="1699">
        <f>SUM(K168,K169,K170,K171)</f>
        <v>56162</v>
      </c>
      <c r="L172" s="1699">
        <f>SUM(L168,L169,L170,L171)</f>
        <v>55000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56162</v>
      </c>
      <c r="I174" s="639"/>
      <c r="J174" s="617"/>
      <c r="K174" s="1699">
        <f>SUM(K160,K172,K173)</f>
        <v>56162</v>
      </c>
      <c r="L174" s="1699">
        <f>SUM(L160,L172,L173)</f>
        <v>55000</v>
      </c>
    </row>
    <row r="175" spans="1:14" ht="13.5" thickTop="1" x14ac:dyDescent="0.2">
      <c r="A175" s="2175" t="s">
        <v>1053</v>
      </c>
      <c r="B175" s="2176"/>
      <c r="C175" s="617"/>
      <c r="D175" s="617"/>
      <c r="E175" s="617"/>
      <c r="F175" s="617"/>
      <c r="G175" s="617"/>
      <c r="H175" s="619"/>
      <c r="I175" s="617"/>
      <c r="J175" s="617"/>
      <c r="K175" s="1706">
        <f>'Revenues 9-14'!E275-'Expenditures 15-22'!K174</f>
        <v>16102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5182</v>
      </c>
      <c r="D182" s="466"/>
      <c r="E182" s="466">
        <v>135192</v>
      </c>
      <c r="F182" s="466"/>
      <c r="G182" s="466"/>
      <c r="H182" s="466"/>
      <c r="I182" s="467"/>
      <c r="J182" s="467"/>
      <c r="K182" s="1693">
        <f>SUM(C182:J182)</f>
        <v>140374</v>
      </c>
      <c r="L182" s="466">
        <v>127000</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5182</v>
      </c>
      <c r="D184" s="1699">
        <f t="shared" ref="D184:J184" si="17">SUM(D180,D182,D183)</f>
        <v>0</v>
      </c>
      <c r="E184" s="1699">
        <f t="shared" si="17"/>
        <v>135192</v>
      </c>
      <c r="F184" s="1699">
        <f t="shared" si="17"/>
        <v>0</v>
      </c>
      <c r="G184" s="1699">
        <f t="shared" si="17"/>
        <v>0</v>
      </c>
      <c r="H184" s="1699">
        <f t="shared" si="17"/>
        <v>0</v>
      </c>
      <c r="I184" s="1699">
        <f t="shared" si="17"/>
        <v>0</v>
      </c>
      <c r="J184" s="1699">
        <f t="shared" si="17"/>
        <v>0</v>
      </c>
      <c r="K184" s="1699">
        <f>SUM(K180,K182,K183)</f>
        <v>140374</v>
      </c>
      <c r="L184" s="1699">
        <f>SUM(L180, L182:L183)</f>
        <v>127000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5182</v>
      </c>
      <c r="D210" s="1692">
        <f>SUM(D184,D185)</f>
        <v>0</v>
      </c>
      <c r="E210" s="1692">
        <f>SUM(E184,E185,E196)</f>
        <v>135192</v>
      </c>
      <c r="F210" s="1692">
        <f>SUM(F184,F185)</f>
        <v>0</v>
      </c>
      <c r="G210" s="1692">
        <f>SUM(G184,G185)</f>
        <v>0</v>
      </c>
      <c r="H210" s="1692">
        <f>SUM(H184,H185,H196,H208,H209)</f>
        <v>0</v>
      </c>
      <c r="I210" s="1692">
        <f>SUM(I184,I185)</f>
        <v>0</v>
      </c>
      <c r="J210" s="1692">
        <f>SUM(J184,J185)</f>
        <v>0</v>
      </c>
      <c r="K210" s="1693">
        <f>SUM(K184,K185,K196,K208,K209)</f>
        <v>140374</v>
      </c>
      <c r="L210" s="1692">
        <f>SUM(L184,L185,L196,L208,L209)</f>
        <v>127000</v>
      </c>
    </row>
    <row r="211" spans="1:14" ht="13.5" thickTop="1" x14ac:dyDescent="0.2">
      <c r="A211" s="2175" t="s">
        <v>1053</v>
      </c>
      <c r="B211" s="2176"/>
      <c r="C211" s="619"/>
      <c r="D211" s="619"/>
      <c r="E211" s="619"/>
      <c r="F211" s="619"/>
      <c r="G211" s="619"/>
      <c r="H211" s="619"/>
      <c r="I211" s="617"/>
      <c r="J211" s="617"/>
      <c r="K211" s="1706">
        <f>'Revenues 9-14'!F275-'Expenditures 15-22'!K210</f>
        <v>35106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7" t="s">
        <v>1022</v>
      </c>
      <c r="B213" s="2198"/>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17517</v>
      </c>
      <c r="E215" s="617"/>
      <c r="F215" s="617"/>
      <c r="G215" s="617"/>
      <c r="H215" s="617"/>
      <c r="I215" s="617"/>
      <c r="J215" s="617"/>
      <c r="K215" s="1693">
        <f>D215</f>
        <v>17517</v>
      </c>
      <c r="L215" s="466">
        <v>23800</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10856</v>
      </c>
      <c r="E217" s="617"/>
      <c r="F217" s="617"/>
      <c r="G217" s="617"/>
      <c r="H217" s="617"/>
      <c r="I217" s="617"/>
      <c r="J217" s="617"/>
      <c r="K217" s="1693">
        <f t="shared" si="19"/>
        <v>10856</v>
      </c>
      <c r="L217" s="466">
        <v>5500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1230</v>
      </c>
      <c r="E223" s="617"/>
      <c r="F223" s="617"/>
      <c r="G223" s="617"/>
      <c r="H223" s="617"/>
      <c r="I223" s="617"/>
      <c r="J223" s="617"/>
      <c r="K223" s="1693">
        <f t="shared" si="19"/>
        <v>1230</v>
      </c>
      <c r="L223" s="466">
        <v>1100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29603</v>
      </c>
      <c r="E229" s="617"/>
      <c r="F229" s="617"/>
      <c r="G229" s="617"/>
      <c r="H229" s="617"/>
      <c r="I229" s="617"/>
      <c r="J229" s="617"/>
      <c r="K229" s="1692">
        <f>SUM(K215:K228)</f>
        <v>29603</v>
      </c>
      <c r="L229" s="1692">
        <f>SUM(L215:L228)</f>
        <v>30400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3110</v>
      </c>
      <c r="E241" s="617"/>
      <c r="F241" s="617"/>
      <c r="G241" s="617"/>
      <c r="H241" s="617"/>
      <c r="I241" s="617"/>
      <c r="J241" s="617"/>
      <c r="K241" s="1694">
        <f>D241</f>
        <v>3110</v>
      </c>
      <c r="L241" s="466">
        <v>2900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3110</v>
      </c>
      <c r="E243" s="617"/>
      <c r="F243" s="617"/>
      <c r="G243" s="617"/>
      <c r="H243" s="617"/>
      <c r="I243" s="617"/>
      <c r="J243" s="617"/>
      <c r="K243" s="1692">
        <f>SUM(K240:K242)</f>
        <v>3110</v>
      </c>
      <c r="L243" s="1692">
        <f>SUM(L240:L242)</f>
        <v>2900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144</v>
      </c>
      <c r="E245" s="617"/>
      <c r="F245" s="617"/>
      <c r="G245" s="617"/>
      <c r="H245" s="617"/>
      <c r="I245" s="617"/>
      <c r="J245" s="617"/>
      <c r="K245" s="1694">
        <f>D245</f>
        <v>144</v>
      </c>
      <c r="L245" s="481">
        <v>124</v>
      </c>
    </row>
    <row r="246" spans="1:12" x14ac:dyDescent="0.2">
      <c r="A246" s="1526" t="s">
        <v>872</v>
      </c>
      <c r="B246" s="615">
        <v>2320</v>
      </c>
      <c r="C246" s="617"/>
      <c r="D246" s="466">
        <v>8076</v>
      </c>
      <c r="E246" s="617"/>
      <c r="F246" s="617"/>
      <c r="G246" s="617"/>
      <c r="H246" s="617"/>
      <c r="I246" s="617"/>
      <c r="J246" s="617"/>
      <c r="K246" s="1694">
        <f t="shared" ref="K246:K256" si="21">D246</f>
        <v>8076</v>
      </c>
      <c r="L246" s="466">
        <v>7600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504</v>
      </c>
      <c r="E254" s="617"/>
      <c r="F254" s="617"/>
      <c r="G254" s="617"/>
      <c r="H254" s="617"/>
      <c r="I254" s="617"/>
      <c r="J254" s="617"/>
      <c r="K254" s="1694">
        <f t="shared" si="21"/>
        <v>504</v>
      </c>
      <c r="L254" s="466">
        <v>464</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8724</v>
      </c>
      <c r="E257" s="617"/>
      <c r="F257" s="617"/>
      <c r="G257" s="617"/>
      <c r="H257" s="617"/>
      <c r="I257" s="617"/>
      <c r="J257" s="617"/>
      <c r="K257" s="1692">
        <f>SUM(K245:K256)</f>
        <v>8724</v>
      </c>
      <c r="L257" s="1692">
        <f>SUM(L245:L256)</f>
        <v>8188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881</v>
      </c>
      <c r="E259" s="617"/>
      <c r="F259" s="617"/>
      <c r="G259" s="617"/>
      <c r="H259" s="617"/>
      <c r="I259" s="617"/>
      <c r="J259" s="617"/>
      <c r="K259" s="1694">
        <f>D259</f>
        <v>881</v>
      </c>
      <c r="L259" s="481">
        <v>821</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881</v>
      </c>
      <c r="E261" s="617"/>
      <c r="F261" s="617"/>
      <c r="G261" s="617"/>
      <c r="H261" s="617"/>
      <c r="I261" s="617"/>
      <c r="J261" s="617"/>
      <c r="K261" s="1692">
        <f>SUM(K259:K260)</f>
        <v>881</v>
      </c>
      <c r="L261" s="1692">
        <f>SUM(L259:L260)</f>
        <v>821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8622</v>
      </c>
      <c r="E264" s="617"/>
      <c r="F264" s="617"/>
      <c r="G264" s="617"/>
      <c r="H264" s="617"/>
      <c r="I264" s="617"/>
      <c r="J264" s="617"/>
      <c r="K264" s="1694">
        <f t="shared" ref="K264:K269" si="22">D264</f>
        <v>8622</v>
      </c>
      <c r="L264" s="466">
        <v>8000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13578</v>
      </c>
      <c r="E266" s="617"/>
      <c r="F266" s="617"/>
      <c r="G266" s="617"/>
      <c r="H266" s="617"/>
      <c r="I266" s="617"/>
      <c r="J266" s="617"/>
      <c r="K266" s="1694">
        <f t="shared" si="22"/>
        <v>13578</v>
      </c>
      <c r="L266" s="466">
        <v>12600</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8997</v>
      </c>
      <c r="E268" s="617"/>
      <c r="F268" s="617"/>
      <c r="G268" s="617"/>
      <c r="H268" s="617"/>
      <c r="I268" s="617"/>
      <c r="J268" s="617"/>
      <c r="K268" s="1694">
        <f t="shared" si="22"/>
        <v>8997</v>
      </c>
      <c r="L268" s="466">
        <v>8931</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31197</v>
      </c>
      <c r="E270" s="617"/>
      <c r="F270" s="617"/>
      <c r="G270" s="617"/>
      <c r="H270" s="617"/>
      <c r="I270" s="617"/>
      <c r="J270" s="617"/>
      <c r="K270" s="1692">
        <f>SUM(K263:K269)</f>
        <v>31197</v>
      </c>
      <c r="L270" s="1692">
        <f>SUM(L263:L269)</f>
        <v>29531</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43912</v>
      </c>
      <c r="E279" s="617"/>
      <c r="F279" s="617"/>
      <c r="G279" s="617"/>
      <c r="H279" s="617"/>
      <c r="I279" s="617"/>
      <c r="J279" s="617"/>
      <c r="K279" s="1699">
        <f>SUM(K238,K243,K257,K261,K270,K277,K278)</f>
        <v>43912</v>
      </c>
      <c r="L279" s="1699">
        <f>SUM(L238,L243,L257,L261,L270,L277,L278)</f>
        <v>41440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v>2635</v>
      </c>
      <c r="E283" s="617"/>
      <c r="F283" s="617"/>
      <c r="G283" s="617"/>
      <c r="H283" s="617"/>
      <c r="I283" s="617"/>
      <c r="J283" s="617"/>
      <c r="K283" s="1693">
        <f>D283</f>
        <v>2635</v>
      </c>
      <c r="L283" s="466">
        <v>6000</v>
      </c>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2635</v>
      </c>
      <c r="E285" s="617"/>
      <c r="F285" s="617"/>
      <c r="G285" s="617"/>
      <c r="H285" s="617"/>
      <c r="I285" s="617"/>
      <c r="J285" s="617"/>
      <c r="K285" s="1692">
        <f>SUM(K282:K284)</f>
        <v>2635</v>
      </c>
      <c r="L285" s="1692">
        <f>SUM(L282:L284)</f>
        <v>6000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3" t="s">
        <v>526</v>
      </c>
      <c r="B295" s="2194"/>
      <c r="C295" s="617"/>
      <c r="D295" s="1692">
        <f>SUM(D229,D279,D280,D285)</f>
        <v>76150</v>
      </c>
      <c r="E295" s="617"/>
      <c r="F295" s="617"/>
      <c r="G295" s="617"/>
      <c r="H295" s="1692">
        <f>H293</f>
        <v>0</v>
      </c>
      <c r="I295" s="617"/>
      <c r="J295" s="617"/>
      <c r="K295" s="1692">
        <f>SUM(K229,K279,K280,K285,K293,K294)</f>
        <v>76150</v>
      </c>
      <c r="L295" s="1692">
        <f>SUM(L229,L279,L280,L285,L293,L294)</f>
        <v>77840</v>
      </c>
    </row>
    <row r="296" spans="1:14" ht="13.5" thickTop="1" x14ac:dyDescent="0.2">
      <c r="A296" s="2175" t="s">
        <v>1053</v>
      </c>
      <c r="B296" s="2176"/>
      <c r="C296" s="617"/>
      <c r="D296" s="619"/>
      <c r="E296" s="617"/>
      <c r="F296" s="617"/>
      <c r="G296" s="617"/>
      <c r="H296" s="688"/>
      <c r="I296" s="617"/>
      <c r="J296" s="617"/>
      <c r="K296" s="1706">
        <f>'Revenues 9-14'!G275-'Expenditures 15-22'!K295</f>
        <v>-12540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5" t="s">
        <v>145</v>
      </c>
      <c r="B298" s="2179"/>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7836</v>
      </c>
      <c r="F301" s="466"/>
      <c r="G301" s="466">
        <v>43418</v>
      </c>
      <c r="H301" s="466"/>
      <c r="I301" s="467"/>
      <c r="J301" s="467"/>
      <c r="K301" s="1693">
        <f>SUM(C301:J301)</f>
        <v>51254</v>
      </c>
      <c r="L301" s="467">
        <v>18000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7836</v>
      </c>
      <c r="F303" s="1699">
        <f t="shared" si="23"/>
        <v>0</v>
      </c>
      <c r="G303" s="1699">
        <f t="shared" si="23"/>
        <v>43418</v>
      </c>
      <c r="H303" s="1699">
        <f t="shared" si="23"/>
        <v>0</v>
      </c>
      <c r="I303" s="1699">
        <f t="shared" si="23"/>
        <v>0</v>
      </c>
      <c r="J303" s="1699">
        <f t="shared" si="23"/>
        <v>0</v>
      </c>
      <c r="K303" s="1699">
        <f t="shared" si="23"/>
        <v>51254</v>
      </c>
      <c r="L303" s="1699">
        <f t="shared" si="23"/>
        <v>18000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0" t="s">
        <v>295</v>
      </c>
      <c r="B312" s="2191"/>
      <c r="C312" s="1692">
        <f>SUM(C303)</f>
        <v>0</v>
      </c>
      <c r="D312" s="1692">
        <f>SUM(D303)</f>
        <v>0</v>
      </c>
      <c r="E312" s="1692">
        <f>SUM(E303,E310)</f>
        <v>7836</v>
      </c>
      <c r="F312" s="1692">
        <f>SUM(F303)</f>
        <v>0</v>
      </c>
      <c r="G312" s="1692">
        <f>SUM(G303)</f>
        <v>43418</v>
      </c>
      <c r="H312" s="1692">
        <f>SUM(H303,H310)</f>
        <v>0</v>
      </c>
      <c r="I312" s="1692">
        <f>SUM(I303)</f>
        <v>0</v>
      </c>
      <c r="J312" s="1692">
        <f>SUM(J303)</f>
        <v>0</v>
      </c>
      <c r="K312" s="1692">
        <f>SUM(K303,K310,K311)</f>
        <v>51254</v>
      </c>
      <c r="L312" s="1692">
        <f>SUM(L303,L310,L311)</f>
        <v>18000</v>
      </c>
      <c r="M312" s="666"/>
      <c r="N312" s="666"/>
    </row>
    <row r="313" spans="1:14" ht="13.5" thickTop="1" x14ac:dyDescent="0.2">
      <c r="A313" s="2186" t="s">
        <v>1053</v>
      </c>
      <c r="B313" s="2187"/>
      <c r="C313" s="627"/>
      <c r="D313" s="627"/>
      <c r="E313" s="627"/>
      <c r="F313" s="627"/>
      <c r="G313" s="627"/>
      <c r="H313" s="627"/>
      <c r="I313" s="627"/>
      <c r="J313" s="627"/>
      <c r="K313" s="1707">
        <f>'Revenues 9-14'!H275-'Expenditures 15-22'!K312</f>
        <v>-11688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9" t="s">
        <v>151</v>
      </c>
      <c r="B315" s="2200"/>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1" t="s">
        <v>954</v>
      </c>
      <c r="B317" s="2200"/>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13461</v>
      </c>
      <c r="F320" s="467"/>
      <c r="G320" s="467"/>
      <c r="H320" s="467"/>
      <c r="I320" s="467"/>
      <c r="J320" s="467"/>
      <c r="K320" s="1693">
        <f t="shared" ref="K320:K327" si="24">SUM(C320:J320)</f>
        <v>13461</v>
      </c>
      <c r="L320" s="467">
        <v>13386</v>
      </c>
      <c r="M320" s="666"/>
      <c r="N320" s="666"/>
    </row>
    <row r="321" spans="1:14" s="675" customFormat="1" x14ac:dyDescent="0.2">
      <c r="A321" s="1541" t="s">
        <v>318</v>
      </c>
      <c r="B321" s="698" t="s">
        <v>301</v>
      </c>
      <c r="C321" s="467"/>
      <c r="D321" s="467"/>
      <c r="E321" s="467">
        <v>84</v>
      </c>
      <c r="F321" s="467"/>
      <c r="G321" s="467"/>
      <c r="H321" s="467"/>
      <c r="I321" s="467"/>
      <c r="J321" s="467"/>
      <c r="K321" s="1693">
        <f t="shared" si="24"/>
        <v>84</v>
      </c>
      <c r="L321" s="467">
        <v>81</v>
      </c>
      <c r="M321" s="666"/>
      <c r="N321" s="666"/>
    </row>
    <row r="322" spans="1:14" s="675" customFormat="1" x14ac:dyDescent="0.2">
      <c r="A322" s="1541" t="s">
        <v>256</v>
      </c>
      <c r="B322" s="698" t="s">
        <v>302</v>
      </c>
      <c r="C322" s="467"/>
      <c r="D322" s="467"/>
      <c r="E322" s="467">
        <v>11358</v>
      </c>
      <c r="F322" s="467"/>
      <c r="G322" s="467"/>
      <c r="H322" s="467"/>
      <c r="I322" s="467"/>
      <c r="J322" s="467"/>
      <c r="K322" s="1693">
        <f t="shared" si="24"/>
        <v>11358</v>
      </c>
      <c r="L322" s="467">
        <v>11731</v>
      </c>
      <c r="M322" s="666"/>
      <c r="N322" s="666"/>
    </row>
    <row r="323" spans="1:14" s="675" customFormat="1" x14ac:dyDescent="0.2">
      <c r="A323" s="1541" t="s">
        <v>726</v>
      </c>
      <c r="B323" s="698" t="s">
        <v>303</v>
      </c>
      <c r="C323" s="467"/>
      <c r="D323" s="467"/>
      <c r="E323" s="467">
        <v>12996</v>
      </c>
      <c r="F323" s="467"/>
      <c r="G323" s="467">
        <v>2177</v>
      </c>
      <c r="H323" s="467"/>
      <c r="I323" s="467"/>
      <c r="J323" s="467"/>
      <c r="K323" s="1693">
        <f t="shared" si="24"/>
        <v>15173</v>
      </c>
      <c r="L323" s="467">
        <v>9000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v>196770</v>
      </c>
      <c r="F325" s="467"/>
      <c r="G325" s="467"/>
      <c r="H325" s="467"/>
      <c r="I325" s="467"/>
      <c r="J325" s="467"/>
      <c r="K325" s="1693">
        <f t="shared" si="24"/>
        <v>196770</v>
      </c>
      <c r="L325" s="467">
        <v>208000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2127</v>
      </c>
      <c r="F327" s="467"/>
      <c r="G327" s="467"/>
      <c r="H327" s="467"/>
      <c r="I327" s="467"/>
      <c r="J327" s="467"/>
      <c r="K327" s="1693">
        <f t="shared" si="24"/>
        <v>2127</v>
      </c>
      <c r="L327" s="467">
        <v>2233</v>
      </c>
      <c r="M327" s="666"/>
      <c r="N327" s="666"/>
    </row>
    <row r="328" spans="1:14" s="675" customFormat="1" x14ac:dyDescent="0.2">
      <c r="A328" s="1542" t="s">
        <v>492</v>
      </c>
      <c r="B328" s="691" t="s">
        <v>1194</v>
      </c>
      <c r="C328" s="474"/>
      <c r="D328" s="474"/>
      <c r="E328" s="474">
        <v>11731</v>
      </c>
      <c r="F328" s="474"/>
      <c r="G328" s="474"/>
      <c r="H328" s="474"/>
      <c r="I328" s="474"/>
      <c r="J328" s="474"/>
      <c r="K328" s="1721">
        <f>SUM(C328:J328)</f>
        <v>11731</v>
      </c>
      <c r="L328" s="474">
        <v>12000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248527</v>
      </c>
      <c r="F330" s="1692">
        <f t="shared" si="25"/>
        <v>0</v>
      </c>
      <c r="G330" s="1692">
        <f t="shared" si="25"/>
        <v>2177</v>
      </c>
      <c r="H330" s="1692">
        <f t="shared" si="25"/>
        <v>0</v>
      </c>
      <c r="I330" s="1692">
        <f t="shared" si="25"/>
        <v>0</v>
      </c>
      <c r="J330" s="1692">
        <f t="shared" si="25"/>
        <v>0</v>
      </c>
      <c r="K330" s="1692">
        <f>SUM(K319:K329)</f>
        <v>250704</v>
      </c>
      <c r="L330" s="1692">
        <f>SUM(L319:L329)</f>
        <v>256431</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248527</v>
      </c>
      <c r="F342" s="1692">
        <f>SUM(F330)</f>
        <v>0</v>
      </c>
      <c r="G342" s="1692">
        <f>SUM(G330)</f>
        <v>2177</v>
      </c>
      <c r="H342" s="1692">
        <f>SUM(H330,H334,H340)</f>
        <v>0</v>
      </c>
      <c r="I342" s="1692">
        <f>SUM(I330)</f>
        <v>0</v>
      </c>
      <c r="J342" s="1692">
        <f>SUM(J330)</f>
        <v>0</v>
      </c>
      <c r="K342" s="1692">
        <f>SUM(K330,K334,K340)</f>
        <v>250704</v>
      </c>
      <c r="L342" s="1699">
        <f>SUM(L330,L340,L341)</f>
        <v>256431</v>
      </c>
    </row>
    <row r="343" spans="1:14" ht="12.75" customHeight="1" thickTop="1" x14ac:dyDescent="0.2">
      <c r="A343" s="2188" t="s">
        <v>1053</v>
      </c>
      <c r="B343" s="2189"/>
      <c r="C343" s="617"/>
      <c r="D343" s="617"/>
      <c r="E343" s="617"/>
      <c r="F343" s="617"/>
      <c r="G343" s="617"/>
      <c r="H343" s="617"/>
      <c r="I343" s="617"/>
      <c r="J343" s="617"/>
      <c r="K343" s="1706">
        <f>'Revenues 9-14'!J275-'Expenditures 15-22'!K342</f>
        <v>-1696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8" t="s">
        <v>1023</v>
      </c>
      <c r="B345" s="2179"/>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18918</v>
      </c>
      <c r="F349" s="466"/>
      <c r="G349" s="466"/>
      <c r="H349" s="466"/>
      <c r="I349" s="467"/>
      <c r="J349" s="467"/>
      <c r="K349" s="1693">
        <f>SUM(C349:J349)</f>
        <v>18918</v>
      </c>
      <c r="L349" s="466">
        <v>23000</v>
      </c>
    </row>
    <row r="350" spans="1:14" ht="12.75" customHeight="1" thickBot="1" x14ac:dyDescent="0.25">
      <c r="A350" s="1690" t="s">
        <v>743</v>
      </c>
      <c r="B350" s="1691" t="s">
        <v>35</v>
      </c>
      <c r="C350" s="1692">
        <f>SUM(C348:C349)</f>
        <v>0</v>
      </c>
      <c r="D350" s="1692">
        <f t="shared" ref="D350:L350" si="26">SUM(D348:D349)</f>
        <v>0</v>
      </c>
      <c r="E350" s="1692">
        <f t="shared" si="26"/>
        <v>18918</v>
      </c>
      <c r="F350" s="1692">
        <f t="shared" si="26"/>
        <v>0</v>
      </c>
      <c r="G350" s="1692">
        <f t="shared" si="26"/>
        <v>0</v>
      </c>
      <c r="H350" s="1692">
        <f t="shared" si="26"/>
        <v>0</v>
      </c>
      <c r="I350" s="1692">
        <f t="shared" si="26"/>
        <v>0</v>
      </c>
      <c r="J350" s="1692">
        <f t="shared" si="26"/>
        <v>0</v>
      </c>
      <c r="K350" s="1692">
        <f t="shared" si="26"/>
        <v>18918</v>
      </c>
      <c r="L350" s="1692">
        <f t="shared" si="26"/>
        <v>23000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18918</v>
      </c>
      <c r="F352" s="1692">
        <f t="shared" si="27"/>
        <v>0</v>
      </c>
      <c r="G352" s="1692">
        <f t="shared" si="27"/>
        <v>0</v>
      </c>
      <c r="H352" s="1692">
        <f t="shared" si="27"/>
        <v>0</v>
      </c>
      <c r="I352" s="1692">
        <f t="shared" si="27"/>
        <v>0</v>
      </c>
      <c r="J352" s="1692">
        <f t="shared" si="27"/>
        <v>0</v>
      </c>
      <c r="K352" s="1692">
        <f t="shared" si="27"/>
        <v>18918</v>
      </c>
      <c r="L352" s="1692">
        <f t="shared" si="27"/>
        <v>23000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18918</v>
      </c>
      <c r="F367" s="1692">
        <f t="shared" si="28"/>
        <v>0</v>
      </c>
      <c r="G367" s="1692">
        <f t="shared" si="28"/>
        <v>0</v>
      </c>
      <c r="H367" s="1692">
        <f t="shared" si="28"/>
        <v>0</v>
      </c>
      <c r="I367" s="1692">
        <f t="shared" si="28"/>
        <v>0</v>
      </c>
      <c r="J367" s="1692">
        <f t="shared" si="28"/>
        <v>0</v>
      </c>
      <c r="K367" s="1692">
        <f t="shared" si="28"/>
        <v>18918</v>
      </c>
      <c r="L367" s="1692">
        <f t="shared" si="28"/>
        <v>23000</v>
      </c>
    </row>
    <row r="368" spans="1:14" ht="13.5" thickTop="1" x14ac:dyDescent="0.2">
      <c r="A368" s="2175" t="s">
        <v>1053</v>
      </c>
      <c r="B368" s="2176"/>
      <c r="C368" s="655"/>
      <c r="D368" s="655"/>
      <c r="E368" s="627"/>
      <c r="F368" s="627"/>
      <c r="G368" s="627"/>
      <c r="H368" s="627"/>
      <c r="I368" s="627"/>
      <c r="J368" s="624"/>
      <c r="K368" s="1693">
        <f>'Revenues 9-14'!K275-'Expenditures 15-22'!K367</f>
        <v>6475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notes are an intergral part of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purl.org/dc/elements/1.1/"/>
    <ds:schemaRef ds:uri="4d435f69-8686-490b-bd6d-b153bf22ab50"/>
    <ds:schemaRef ds:uri="http://purl.org/dc/terms/"/>
    <ds:schemaRef ds:uri="http://schemas.microsoft.com/sharepoint/v3"/>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2018-09-27T17:18:15Z</cp:lastPrinted>
  <dcterms:created xsi:type="dcterms:W3CDTF">2003-10-29T19:06:34Z</dcterms:created>
  <dcterms:modified xsi:type="dcterms:W3CDTF">2018-10-02T14:24:44Z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