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L39"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1" i="183" s="1"/>
  <c r="B4" i="177"/>
  <c r="B4" i="176"/>
  <c r="B4" i="175"/>
  <c r="G43" i="174"/>
  <c r="D47" i="174" s="1"/>
  <c r="B4"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A2" i="170"/>
  <c r="B2" i="179" l="1"/>
  <c r="B2" i="18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B5246" i="106" s="1"/>
  <c r="D5246" i="106" s="1"/>
  <c r="C211" i="5"/>
  <c r="C216" i="5"/>
  <c r="C224" i="5"/>
  <c r="B5286" i="106" s="1"/>
  <c r="D5286" i="106" s="1"/>
  <c r="C228" i="5"/>
  <c r="F136" i="34" s="1"/>
  <c r="C259" i="5"/>
  <c r="B7761" i="106"/>
  <c r="L127" i="29"/>
  <c r="L129" i="29" s="1"/>
  <c r="L139" i="29"/>
  <c r="L149" i="29"/>
  <c r="I7" i="145"/>
  <c r="I6" i="145"/>
  <c r="D78" i="36"/>
  <c r="K75" i="29"/>
  <c r="K130" i="29"/>
  <c r="K185" i="29"/>
  <c r="K122" i="29"/>
  <c r="G26" i="108" s="1"/>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s="1"/>
  <c r="B5115" i="106"/>
  <c r="D5115" i="106" s="1"/>
  <c r="B5116" i="106"/>
  <c r="D5116" i="106"/>
  <c r="B5117" i="106"/>
  <c r="D5117" i="106" s="1"/>
  <c r="B5118" i="106"/>
  <c r="D5118" i="106"/>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c r="B6302" i="106"/>
  <c r="D6302" i="106" s="1"/>
  <c r="B6303" i="106"/>
  <c r="D6303" i="106"/>
  <c r="B6304" i="106"/>
  <c r="D6304" i="106" s="1"/>
  <c r="B6305" i="106"/>
  <c r="D6305" i="106"/>
  <c r="B6307" i="106"/>
  <c r="D6307" i="106" s="1"/>
  <c r="B6308" i="106"/>
  <c r="D6308" i="106" s="1"/>
  <c r="B6309" i="106"/>
  <c r="D6309" i="106" s="1"/>
  <c r="B6310" i="106"/>
  <c r="D6310" i="106"/>
  <c r="B6311" i="106"/>
  <c r="D6311" i="106" s="1"/>
  <c r="B6312" i="106"/>
  <c r="D6312" i="106"/>
  <c r="B6313" i="106"/>
  <c r="D6313" i="106" s="1"/>
  <c r="B6314" i="106"/>
  <c r="D6314" i="106"/>
  <c r="B6315" i="106"/>
  <c r="D6315" i="106" s="1"/>
  <c r="B6316" i="106"/>
  <c r="D6316" i="106" s="1"/>
  <c r="B6317" i="106"/>
  <c r="D6317" i="106" s="1"/>
  <c r="B6319" i="106"/>
  <c r="D6319" i="106"/>
  <c r="B6320" i="106"/>
  <c r="D6320" i="106" s="1"/>
  <c r="B6321" i="106"/>
  <c r="D6321" i="106"/>
  <c r="B6322" i="106"/>
  <c r="D6322" i="106" s="1"/>
  <c r="B6323" i="106"/>
  <c r="D6323" i="106"/>
  <c r="B6324" i="106"/>
  <c r="D6324" i="106" s="1"/>
  <c r="B6325" i="106"/>
  <c r="D6325" i="106" s="1"/>
  <c r="B6326" i="106"/>
  <c r="D6326" i="106" s="1"/>
  <c r="B6327" i="106"/>
  <c r="D6327" i="106"/>
  <c r="B6328" i="106"/>
  <c r="D6328" i="106" s="1"/>
  <c r="B6329" i="106"/>
  <c r="D6329" i="106"/>
  <c r="B6330" i="106"/>
  <c r="D6330" i="106" s="1"/>
  <c r="B6331" i="106"/>
  <c r="D6331" i="106"/>
  <c r="B6332" i="106"/>
  <c r="D6332" i="106" s="1"/>
  <c r="B6333" i="106"/>
  <c r="D6333" i="106" s="1"/>
  <c r="B6334" i="106"/>
  <c r="D6334" i="106" s="1"/>
  <c r="B6335" i="106"/>
  <c r="D6335" i="106"/>
  <c r="B6336" i="106"/>
  <c r="D6336" i="106" s="1"/>
  <c r="B6337" i="106"/>
  <c r="D6337" i="106"/>
  <c r="B6338" i="106"/>
  <c r="D6338" i="106" s="1"/>
  <c r="B6339" i="106"/>
  <c r="D6339" i="106"/>
  <c r="B6340" i="106"/>
  <c r="D6340" i="106" s="1"/>
  <c r="B6341" i="106"/>
  <c r="D6341" i="106" s="1"/>
  <c r="B6342" i="106"/>
  <c r="D6342" i="106" s="1"/>
  <c r="B6343" i="106"/>
  <c r="D6343" i="106"/>
  <c r="B6344" i="106"/>
  <c r="D6344" i="106" s="1"/>
  <c r="B6345" i="106"/>
  <c r="D6345" i="106"/>
  <c r="B6346" i="106"/>
  <c r="D6346" i="106" s="1"/>
  <c r="B6347" i="106"/>
  <c r="D6347" i="106"/>
  <c r="B6348" i="106"/>
  <c r="D6348" i="106" s="1"/>
  <c r="B6349" i="106"/>
  <c r="D6349" i="106" s="1"/>
  <c r="B6350" i="106"/>
  <c r="D6350" i="106" s="1"/>
  <c r="B6353" i="106"/>
  <c r="D6353" i="106"/>
  <c r="B6354" i="106"/>
  <c r="D6354" i="106" s="1"/>
  <c r="B6355" i="106"/>
  <c r="D6355" i="106"/>
  <c r="B6356" i="106"/>
  <c r="D6356" i="106" s="1"/>
  <c r="B6358" i="106"/>
  <c r="D6358" i="106"/>
  <c r="B6359" i="106"/>
  <c r="D6359" i="106" s="1"/>
  <c r="B6360" i="106"/>
  <c r="D6360" i="106" s="1"/>
  <c r="B6361" i="106"/>
  <c r="D6361" i="106" s="1"/>
  <c r="B6362" i="106"/>
  <c r="D6362" i="106"/>
  <c r="B6363" i="106"/>
  <c r="D6363" i="106" s="1"/>
  <c r="B6364" i="106"/>
  <c r="D6364" i="106"/>
  <c r="B6365" i="106"/>
  <c r="D6365" i="106" s="1"/>
  <c r="B6366" i="106"/>
  <c r="D6366" i="106"/>
  <c r="B6367" i="106"/>
  <c r="D6367" i="106" s="1"/>
  <c r="B6368" i="106"/>
  <c r="D6368" i="106" s="1"/>
  <c r="B6369" i="106"/>
  <c r="D6369" i="106" s="1"/>
  <c r="B6370" i="106"/>
  <c r="D6370" i="106"/>
  <c r="B6371" i="106"/>
  <c r="D6371" i="106" s="1"/>
  <c r="B6372" i="106"/>
  <c r="D6372" i="106"/>
  <c r="B6373" i="106"/>
  <c r="D6373" i="106" s="1"/>
  <c r="B6374" i="106"/>
  <c r="D6374" i="106"/>
  <c r="B6375" i="106"/>
  <c r="D6375" i="106" s="1"/>
  <c r="B6376" i="106"/>
  <c r="D6376" i="106" s="1"/>
  <c r="B6377" i="106"/>
  <c r="D6377" i="106" s="1"/>
  <c r="B6378" i="106"/>
  <c r="D6378" i="106"/>
  <c r="B6379" i="106"/>
  <c r="D6379" i="106" s="1"/>
  <c r="B6380" i="106"/>
  <c r="D6380" i="106"/>
  <c r="B6381" i="106"/>
  <c r="D6381" i="106" s="1"/>
  <c r="B6382" i="106"/>
  <c r="D6382" i="106"/>
  <c r="B6383" i="106"/>
  <c r="D6383" i="106" s="1"/>
  <c r="B6384" i="106"/>
  <c r="D6384" i="106" s="1"/>
  <c r="B6385" i="106"/>
  <c r="D6385" i="106" s="1"/>
  <c r="B6386" i="106"/>
  <c r="D6386" i="106"/>
  <c r="B6387" i="106"/>
  <c r="D6387" i="106" s="1"/>
  <c r="B6388" i="106"/>
  <c r="D6388" i="106"/>
  <c r="B6389" i="106"/>
  <c r="D6389" i="106" s="1"/>
  <c r="B6390" i="106"/>
  <c r="D6390" i="106"/>
  <c r="B6391" i="106"/>
  <c r="D6391" i="106" s="1"/>
  <c r="B6392" i="106"/>
  <c r="D6392" i="106" s="1"/>
  <c r="B6393" i="106"/>
  <c r="D6393" i="106" s="1"/>
  <c r="B6394" i="106"/>
  <c r="D6394" i="106"/>
  <c r="B6395" i="106"/>
  <c r="D6395" i="106" s="1"/>
  <c r="B6398" i="106"/>
  <c r="D6398" i="106"/>
  <c r="B6399" i="106"/>
  <c r="D6399" i="106" s="1"/>
  <c r="B6401" i="106"/>
  <c r="D6401" i="106"/>
  <c r="B6402" i="106"/>
  <c r="D6402" i="106" s="1"/>
  <c r="B6403" i="106"/>
  <c r="D6403" i="106" s="1"/>
  <c r="B6404" i="106"/>
  <c r="D6404" i="106" s="1"/>
  <c r="B6405" i="106"/>
  <c r="D6405" i="106"/>
  <c r="B6406" i="106"/>
  <c r="D6406" i="106" s="1"/>
  <c r="B6407" i="106"/>
  <c r="D6407" i="106"/>
  <c r="B6408" i="106"/>
  <c r="D6408" i="106" s="1"/>
  <c r="B6410" i="106"/>
  <c r="D6410" i="106"/>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c r="B6620" i="106"/>
  <c r="D6620" i="106" s="1"/>
  <c r="B6621" i="106"/>
  <c r="D6621" i="106"/>
  <c r="B6622" i="106"/>
  <c r="D6622" i="106" s="1"/>
  <c r="B6623" i="106"/>
  <c r="D6623" i="106"/>
  <c r="B6624" i="106"/>
  <c r="D6624" i="106" s="1"/>
  <c r="B6625" i="106"/>
  <c r="D6625" i="106" s="1"/>
  <c r="B6626" i="106"/>
  <c r="D6626" i="106" s="1"/>
  <c r="B6627" i="106"/>
  <c r="D6627" i="106"/>
  <c r="B6628" i="106"/>
  <c r="D6628" i="106" s="1"/>
  <c r="B6629" i="106"/>
  <c r="D6629" i="106"/>
  <c r="B6630" i="106"/>
  <c r="D6630" i="106" s="1"/>
  <c r="B6631" i="106"/>
  <c r="D6631" i="106"/>
  <c r="B6632" i="106"/>
  <c r="D6632" i="106" s="1"/>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F26" i="108"/>
  <c r="D27" i="108"/>
  <c r="E27" i="108"/>
  <c r="F27" i="108"/>
  <c r="G27" i="108"/>
  <c r="F31" i="108"/>
  <c r="F36" i="108"/>
  <c r="F37" i="108"/>
  <c r="G28" i="108"/>
  <c r="E29" i="108"/>
  <c r="E30" i="108"/>
  <c r="G30"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9" i="118"/>
  <c r="H33" i="118"/>
  <c r="D11" i="37"/>
  <c r="J22" i="37"/>
  <c r="L22" i="37"/>
  <c r="D24" i="37"/>
  <c r="B4270" i="106" s="1"/>
  <c r="D4270" i="106" s="1"/>
  <c r="D5" i="7"/>
  <c r="B1761" i="106" s="1"/>
  <c r="D1761" i="106" s="1"/>
  <c r="D13" i="7"/>
  <c r="B3726" i="106" s="1"/>
  <c r="D3726" i="106" s="1"/>
  <c r="D9" i="7"/>
  <c r="B1767" i="106" s="1"/>
  <c r="D1767" i="106" s="1"/>
  <c r="F131" i="34"/>
  <c r="F128" i="34"/>
  <c r="F127" i="34"/>
  <c r="F111" i="34"/>
  <c r="B5752" i="106"/>
  <c r="D5752" i="106" s="1"/>
  <c r="K274" i="5"/>
  <c r="H173" i="5"/>
  <c r="B5906" i="106" s="1"/>
  <c r="D5906" i="106" s="1"/>
  <c r="F106" i="34"/>
  <c r="D7" i="7"/>
  <c r="B1763" i="106" s="1"/>
  <c r="D1763" i="106" s="1"/>
  <c r="H6" i="4"/>
  <c r="B2656" i="106" s="1"/>
  <c r="D2656" i="106" s="1"/>
  <c r="D17" i="7"/>
  <c r="B4104" i="106" s="1"/>
  <c r="D4104" i="106" s="1"/>
  <c r="D15" i="7"/>
  <c r="B1772" i="106" s="1"/>
  <c r="D1772" i="106" s="1"/>
  <c r="H28" i="118" l="1"/>
  <c r="B5304" i="106"/>
  <c r="D5304" i="106" s="1"/>
  <c r="K173" i="5"/>
  <c r="K6" i="4" s="1"/>
  <c r="B3570" i="106" s="1"/>
  <c r="D3570" i="106" s="1"/>
  <c r="G172" i="5"/>
  <c r="F130" i="34"/>
  <c r="B7041" i="106"/>
  <c r="D7041" i="106" s="1"/>
  <c r="I173" i="5"/>
  <c r="B4216" i="106" s="1"/>
  <c r="D4216" i="106" s="1"/>
  <c r="L312" i="29"/>
  <c r="E38" i="108"/>
  <c r="J77" i="4"/>
  <c r="B6262" i="106" s="1"/>
  <c r="D6262" i="106" s="1"/>
  <c r="B6238" i="106"/>
  <c r="D6238" i="106" s="1"/>
  <c r="B3621" i="106"/>
  <c r="D3621" i="106" s="1"/>
  <c r="C367" i="29"/>
  <c r="F77" i="4"/>
  <c r="B3255" i="106" s="1"/>
  <c r="D3255" i="106" s="1"/>
  <c r="B3254" i="106"/>
  <c r="D3254" i="106" s="1"/>
  <c r="F15" i="145"/>
  <c r="F19" i="145" s="1"/>
  <c r="B1274" i="106"/>
  <c r="D1274" i="106" s="1"/>
  <c r="K28" i="118"/>
  <c r="O27" i="118" s="1"/>
  <c r="O29" i="118" s="1"/>
  <c r="D5" i="4"/>
  <c r="B3406" i="106" s="1"/>
  <c r="D3406" i="106" s="1"/>
  <c r="F42" i="34"/>
  <c r="E26" i="108"/>
  <c r="D7245" i="106"/>
  <c r="I342" i="29"/>
  <c r="B7222" i="106" s="1"/>
  <c r="D7222" i="106" s="1"/>
  <c r="B3649" i="106"/>
  <c r="D3649" i="106" s="1"/>
  <c r="G367" i="29"/>
  <c r="B1364" i="106"/>
  <c r="D1364" i="106" s="1"/>
  <c r="G210" i="29"/>
  <c r="D22" i="37"/>
  <c r="F46" i="34"/>
  <c r="G38" i="108"/>
  <c r="E28" i="108"/>
  <c r="C342" i="29"/>
  <c r="B7216" i="106" s="1"/>
  <c r="D7216" i="106" s="1"/>
  <c r="K352" i="29"/>
  <c r="K13" i="4" s="1"/>
  <c r="B3572" i="106" s="1"/>
  <c r="D3572" i="106" s="1"/>
  <c r="H365" i="29"/>
  <c r="K76" i="4"/>
  <c r="B3586" i="106" s="1"/>
  <c r="D3586" i="106" s="1"/>
  <c r="K24" i="12"/>
  <c r="F21" i="8"/>
  <c r="B279" i="106"/>
  <c r="D279" i="106" s="1"/>
  <c r="M40" i="3"/>
  <c r="L13" i="11"/>
  <c r="B2060" i="106" s="1"/>
  <c r="D2060" i="106" s="1"/>
  <c r="L5" i="11"/>
  <c r="B2056" i="106" s="1"/>
  <c r="D2056" i="106" s="1"/>
  <c r="N22" i="3"/>
  <c r="B283" i="106" s="1"/>
  <c r="D283" i="106" s="1"/>
  <c r="D68" i="36"/>
  <c r="F19" i="7"/>
  <c r="B1807" i="106" s="1"/>
  <c r="D1807" i="106" s="1"/>
  <c r="D12" i="7"/>
  <c r="B1769" i="106" s="1"/>
  <c r="D1769" i="106" s="1"/>
  <c r="D11" i="7"/>
  <c r="B1768" i="106" s="1"/>
  <c r="D1768" i="106" s="1"/>
  <c r="H109" i="5"/>
  <c r="B1410" i="106"/>
  <c r="D1410" i="106" s="1"/>
  <c r="G4" i="4"/>
  <c r="B2603" i="106" s="1"/>
  <c r="D2603" i="106" s="1"/>
  <c r="G29" i="108"/>
  <c r="K184" i="29"/>
  <c r="F13" i="4" s="1"/>
  <c r="B2596" i="106" s="1"/>
  <c r="D2596" i="106" s="1"/>
  <c r="B1329" i="106"/>
  <c r="D1329" i="106" s="1"/>
  <c r="F61" i="34"/>
  <c r="B1746" i="106"/>
  <c r="D1746" i="106" s="1"/>
  <c r="E109" i="5"/>
  <c r="E4" i="4" s="1"/>
  <c r="B2630" i="106" s="1"/>
  <c r="D2630" i="106" s="1"/>
  <c r="F28" i="108"/>
  <c r="F41" i="108" s="1"/>
  <c r="G43" i="108" s="1"/>
  <c r="D109" i="5"/>
  <c r="B5356" i="106" s="1"/>
  <c r="D5356" i="106" s="1"/>
  <c r="C172" i="5"/>
  <c r="B5214" i="106" s="1"/>
  <c r="D5214" i="106" s="1"/>
  <c r="B5096" i="106"/>
  <c r="D5096" i="106" s="1"/>
  <c r="C109" i="5"/>
  <c r="B5121" i="106" s="1"/>
  <c r="D5121" i="106" s="1"/>
  <c r="D4" i="7"/>
  <c r="B1760" i="106" s="1"/>
  <c r="D1760" i="106" s="1"/>
  <c r="L342" i="29"/>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J7" i="4"/>
  <c r="B2657" i="106"/>
  <c r="D2657" i="106" s="1"/>
  <c r="D274" i="5"/>
  <c r="D19" i="7"/>
  <c r="B1775" i="106" s="1"/>
  <c r="D1775" i="106" s="1"/>
  <c r="B7270" i="106"/>
  <c r="D7251" i="106" l="1"/>
  <c r="L114" i="29"/>
  <c r="B280" i="106"/>
  <c r="D280" i="106" s="1"/>
  <c r="M41" i="3"/>
  <c r="B1365" i="106"/>
  <c r="D1365" i="106" s="1"/>
  <c r="F65" i="34"/>
  <c r="G15" i="145"/>
  <c r="G173" i="5"/>
  <c r="B5770" i="106"/>
  <c r="D5770" i="106" s="1"/>
  <c r="H367" i="29"/>
  <c r="B3660" i="106" s="1"/>
  <c r="D3660" i="106" s="1"/>
  <c r="B7242" i="106"/>
  <c r="D7242" i="106" s="1"/>
  <c r="F274" i="5"/>
  <c r="B5719" i="106" s="1"/>
  <c r="D5719" i="106" s="1"/>
  <c r="B1879" i="106"/>
  <c r="D1879" i="106" s="1"/>
  <c r="H22" i="37"/>
  <c r="B7733" i="106"/>
  <c r="D7733" i="106" s="1"/>
  <c r="K26" i="12"/>
  <c r="B7743" i="106" s="1"/>
  <c r="D7743" i="106" s="1"/>
  <c r="L16" i="11"/>
  <c r="B2061" i="106" s="1"/>
  <c r="D2061" i="106" s="1"/>
  <c r="K342" i="29"/>
  <c r="F13" i="34" s="1"/>
  <c r="B6025" i="106"/>
  <c r="D6025" i="106" s="1"/>
  <c r="H4" i="4"/>
  <c r="F6" i="4"/>
  <c r="B2593" i="106" s="1"/>
  <c r="D2593" i="106" s="1"/>
  <c r="B1317" i="106"/>
  <c r="D1317" i="106" s="1"/>
  <c r="D4" i="4"/>
  <c r="B2564" i="106" s="1"/>
  <c r="D2564" i="106" s="1"/>
  <c r="C114" i="29"/>
  <c r="B757" i="106" s="1"/>
  <c r="D757" i="106" s="1"/>
  <c r="C173" i="5"/>
  <c r="B5223" i="106" s="1"/>
  <c r="D5223" i="106" s="1"/>
  <c r="C4" i="4"/>
  <c r="B2551" i="106" s="1"/>
  <c r="D2551"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D275" i="5"/>
  <c r="B5507" i="106"/>
  <c r="D5507" i="106" s="1"/>
  <c r="B7298" i="106"/>
  <c r="B7299" i="106"/>
  <c r="F275" i="5" l="1"/>
  <c r="B5720" i="106" s="1"/>
  <c r="D5720" i="106" s="1"/>
  <c r="B5778" i="106"/>
  <c r="D5778" i="106" s="1"/>
  <c r="G6" i="4"/>
  <c r="B2604" i="106" s="1"/>
  <c r="D2604" i="106" s="1"/>
  <c r="B281" i="106"/>
  <c r="D281" i="106" s="1"/>
  <c r="D54" i="36"/>
  <c r="F7" i="4"/>
  <c r="B2594" i="106" s="1"/>
  <c r="D2594" i="106" s="1"/>
  <c r="B7224" i="106"/>
  <c r="D7224" i="106" s="1"/>
  <c r="J17" i="4"/>
  <c r="J19" i="4" s="1"/>
  <c r="B6229" i="106" s="1"/>
  <c r="D6229" i="106" s="1"/>
  <c r="J8" i="4"/>
  <c r="B2655" i="106"/>
  <c r="D2655" i="106" s="1"/>
  <c r="H8" i="4"/>
  <c r="F8" i="4"/>
  <c r="D8" i="146" s="1"/>
  <c r="E41" i="108"/>
  <c r="E44" i="108" s="1"/>
  <c r="E45" i="108" s="1"/>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10" i="4" l="1"/>
  <c r="B4125" i="106" s="1"/>
  <c r="D4125" i="106" s="1"/>
  <c r="B6227" i="106"/>
  <c r="D6227" i="106" s="1"/>
  <c r="J20" i="4"/>
  <c r="J78" i="4" s="1"/>
  <c r="H10" i="4"/>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c r="F179" i="34" l="1"/>
  <c r="F79" i="34"/>
  <c r="B6215" i="106"/>
  <c r="D6215" i="106" s="1"/>
  <c r="J41" i="3"/>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B6216" i="106"/>
  <c r="D6216" i="106" s="1"/>
  <c r="D51" i="36"/>
  <c r="B2912" i="106"/>
  <c r="D2912" i="106" s="1"/>
  <c r="I41" i="3"/>
  <c r="B212" i="106"/>
  <c r="D212" i="106" s="1"/>
  <c r="H41" i="3"/>
  <c r="B123" i="106"/>
  <c r="D123" i="106" s="1"/>
  <c r="D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913" i="106"/>
  <c r="D2913" i="106" s="1"/>
  <c r="D50" i="36"/>
  <c r="D49" i="36"/>
  <c r="B213" i="106"/>
  <c r="D213" i="106" s="1"/>
  <c r="B189" i="106"/>
  <c r="D189" i="106" s="1"/>
  <c r="G41" i="3"/>
  <c r="B170" i="106"/>
  <c r="D170" i="106" s="1"/>
  <c r="F41" i="3"/>
  <c r="B140" i="106"/>
  <c r="D140" i="106" s="1"/>
  <c r="E41" i="3"/>
  <c r="D45" i="36"/>
  <c r="B124" i="106"/>
  <c r="D124" i="106"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D48" i="36"/>
  <c r="B190" i="106"/>
  <c r="D190" i="106" s="1"/>
  <c r="B171" i="106"/>
  <c r="D171" i="106" s="1"/>
  <c r="D47" i="36"/>
  <c r="B141" i="106"/>
  <c r="D141" i="106" s="1"/>
  <c r="D46"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<sst xmlns="http://schemas.openxmlformats.org/spreadsheetml/2006/main" count="5098" uniqueCount="2125">
  <si>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</si>
  <si>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</si>
  <si>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</si>
  <si>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</si>
  <si>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</si>
  <si>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</si>
  <si>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</si>
  <si>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</si>
  <si>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</si>
  <si>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</si>
  <si>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</si>
  <si>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</si>
  <si>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</si>
  <si>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</si>
  <si>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</si>
  <si>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</si>
  <si>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</si>
  <si>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</si>
  <si>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</si>
  <si>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</si>
  <si>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</si>
  <si>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</si>
  <si>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</si>
  <si>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</si>
  <si>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</si>
  <si>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</si>
  <si>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</si>
  <si>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</si>
  <si>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</si>
  <si>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</si>
  <si>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</si>
  <si>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</si>
  <si>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</si>
  <si>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</si>
  <si>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</si>
  <si>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</si>
  <si>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</si>
  <si>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</si>
  <si>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</si>
  <si>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</si>
  <si>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</si>
  <si>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</si>
  <si>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</si>
  <si>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</si>
  <si>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</si>
  <si>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</si>
  <si>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</si>
  <si>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</si>
  <si>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</si>
  <si>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</si>
  <si>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</si>
  <si>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</si>
  <si>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</si>
  <si>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</si>
  <si>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</si>
  <si>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</si>
  <si>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</si>
  <si>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</si>
  <si>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</si>
  <si>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</si>
  <si>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</si>
  <si>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</si>
  <si>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</si>
  <si>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</si>
  <si>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</si>
  <si>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</si>
  <si>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</si>
  <si>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</si>
  <si>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</si>
  <si>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</si>
  <si>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</si>
  <si>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</si>
  <si>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</si>
  <si>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</si>
  <si>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</si>
  <si>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</si>
  <si>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</si>
  <si>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</si>
  <si>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</si>
  <si>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</si>
  <si>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</si>
  <si>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</si>
  <si>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</si>
  <si>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</si>
  <si>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</si>
  <si>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</si>
  <si>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</si>
  <si>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</si>
  <si>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</si>
  <si>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</si>
  <si>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</si>
  <si>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</si>
  <si>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</si>
  <si>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</si>
  <si>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</si>
  <si>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</si>
  <si>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</si>
  <si>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</si>
  <si>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</si>
  <si>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</si>
  <si>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</si>
  <si>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</si>
  <si>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</si>
  <si>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</si>
  <si>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</si>
  <si>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</si>
  <si>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</si>
  <si>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</si>
  <si>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</si>
  <si>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</si>
  <si>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</si>
  <si>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</si>
  <si>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</si>
  <si>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</si>
  <si>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</si>
  <si>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</si>
  <si>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</si>
  <si>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</si>
  <si>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</si>
  <si>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</si>
  <si>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</si>
  <si>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</si>
  <si>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</si>
  <si>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</si>
  <si>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</si>
  <si>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</si>
  <si>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</si>
  <si>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</si>
  <si>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</si>
  <si>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</si>
  <si>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</si>
  <si>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</si>
  <si>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</si>
  <si>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</si>
  <si>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</si>
  <si>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</si>
  <si>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</si>
  <si>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</si>
  <si>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</si>
  <si>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</si>
  <si>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</si>
  <si>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</si>
  <si>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</si>
  <si>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</si>
  <si>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</si>
  <si>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</si>
  <si>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</si>
  <si>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</si>
  <si>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</si>
  <si>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</si>
  <si>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</si>
  <si>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</si>
  <si>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</si>
  <si>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</si>
  <si>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</si>
  <si>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</si>
  <si>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</si>
  <si>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</si>
  <si>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</si>
  <si>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</si>
  <si>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</si>
  <si>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</si>
  <si>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</si>
  <si>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</si>
  <si>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</si>
  <si>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</si>
  <si>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</si>
  <si>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</si>
  <si>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</si>
  <si>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</si>
  <si>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</si>
  <si>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</si>
  <si>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</si>
  <si>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</si>
  <si>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</si>
  <si>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</si>
  <si>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</si>
  <si>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</si>
  <si>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</si>
  <si>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</si>
  <si>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</si>
  <si>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</si>
  <si>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</si>
  <si>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</si>
  <si>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</si>
  <si>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</si>
  <si>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</si>
  <si>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</si>
  <si>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</si>
  <si>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</si>
  <si>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</si>
  <si>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</si>
  <si>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</si>
  <si>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</si>
  <si>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</si>
  <si>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</si>
  <si>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</si>
  <si>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</si>
  <si>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</si>
  <si>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</si>
  <si>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</si>
  <si>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</si>
  <si>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</si>
  <si>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</si>
  <si>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</si>
  <si>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</si>
  <si>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</si>
  <si>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</si>
  <si>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</si>
  <si>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</si>
  <si>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</si>
  <si>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</si>
  <si>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</si>
  <si>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</si>
  <si>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</si>
  <si>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</si>
  <si>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</si>
  <si>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</si>
  <si>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</si>
  <si>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</si>
  <si>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</si>
  <si>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</si>
  <si>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</si>
  <si>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</si>
  <si>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</si>
  <si>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</si>
  <si>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</si>
  <si>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</si>
  <si>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</si>
  <si>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</si>
  <si>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</si>
  <si>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</si>
  <si>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</si>
  <si>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</si>
  <si>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</si>
  <si>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</si>
  <si>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</si>
  <si>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</si>
  <si>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</si>
  <si>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</si>
  <si>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</si>
  <si>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</si>
  <si>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</si>
  <si>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</si>
  <si>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</si>
  <si>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</si>
  <si>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</si>
  <si>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</si>
  <si>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</si>
  <si>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</si>
  <si>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</si>
  <si>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</si>
  <si>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</si>
  <si>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</si>
  <si>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</si>
  <si>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</si>
  <si>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</si>
  <si>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</si>
  <si>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</si>
  <si>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</si>
  <si>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</si>
  <si>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</si>
  <si>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</si>
  <si>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</si>
  <si>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</si>
  <si>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</si>
  <si>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</si>
  <si>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</si>
  <si>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</si>
  <si>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</si>
  <si>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</si>
  <si>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</si>
  <si>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</si>
  <si>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</si>
  <si>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</si>
  <si>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</si>
  <si>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</si>
  <si>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</si>
  <si>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</si>
  <si>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</si>
  <si>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</si>
  <si>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</si>
  <si>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</si>
  <si>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</si>
  <si>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</si>
  <si>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</si>
  <si>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</si>
  <si>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</si>
  <si>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</si>
  <si>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</si>
  <si>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</si>
  <si>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</si>
  <si>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</si>
  <si>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</si>
  <si>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</si>
  <si>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</si>
  <si>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</si>
  <si>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</si>
  <si>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</si>
  <si>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</si>
  <si>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</si>
  <si>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</si>
  <si>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</si>
  <si>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</si>
  <si>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</si>
  <si>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</si>
  <si>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</si>
  <si>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</si>
  <si>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</si>
  <si>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</si>
  <si>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</si>
  <si>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</si>
  <si>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</si>
  <si>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</si>
  <si>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</si>
  <si>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</si>
  <si>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</si>
  <si>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</si>
  <si>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</si>
  <si>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</si>
  <si>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</si>
  <si>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</si>
  <si>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</si>
  <si>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</si>
  <si>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</si>
  <si>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</si>
  <si>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</si>
  <si>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</si>
  <si>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</si>
  <si>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</si>
  <si>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</si>
  <si>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</si>
  <si>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</si>
  <si>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</si>
  <si>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</si>
  <si>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</si>
  <si>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</si>
  <si>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</si>
  <si>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</si>
  <si>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</si>
  <si>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</si>
  <si>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</si>
  <si>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</si>
  <si>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</si>
  <si>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</si>
  <si>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</si>
  <si>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</si>
  <si>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</si>
  <si>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</si>
  <si>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</si>
  <si>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</si>
  <si>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</si>
  <si>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</si>
  <si>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</si>
  <si>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</si>
  <si>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</si>
  <si>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</si>
  <si>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</si>
  <si>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</si>
  <si>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</si>
  <si>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</si>
  <si>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</si>
  <si>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</si>
  <si>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</si>
  <si>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</si>
  <si>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</si>
  <si>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</si>
  <si>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</si>
  <si>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</si>
  <si>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</si>
  <si>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</si>
  <si>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</si>
  <si>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</si>
  <si>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</si>
  <si>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</si>
  <si>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</si>
  <si>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</si>
  <si>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</si>
  <si>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</si>
  <si>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</si>
  <si>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</si>
  <si>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</si>
  <si>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</si>
  <si>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</si>
  <si>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</si>
  <si>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</si>
  <si>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</si>
  <si>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</si>
  <si>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</si>
  <si>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</si>
  <si>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</si>
  <si>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</si>
  <si>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</si>
  <si>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</si>
  <si>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</si>
  <si>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</si>
  <si>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</si>
  <si>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</si>
  <si>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</si>
  <si>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</si>
  <si>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</si>
  <si>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</si>
  <si>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</si>
  <si>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</si>
  <si>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</si>
  <si>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</si>
  <si>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</si>
  <si>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</si>
  <si>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</si>
  <si>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</si>
  <si>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</si>
  <si>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</si>
  <si>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</si>
  <si>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</si>
  <si>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</si>
  <si>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</si>
  <si>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</si>
  <si>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</si>
  <si>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</si>
  <si>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</si>
  <si>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</si>
  <si>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</si>
  <si>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</si>
  <si>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</si>
  <si>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</si>
  <si>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</si>
  <si>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</si>
  <si>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</si>
  <si>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</si>
  <si>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</si>
  <si>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</si>
  <si>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</si>
  <si>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</si>
  <si>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</si>
  <si>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</si>
  <si>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</si>
  <si>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</si>
  <si>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</si>
  <si>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</si>
  <si>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</si>
  <si>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</si>
  <si>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</si>
  <si>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</si>
  <si>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</si>
  <si>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</si>
  <si>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</si>
  <si>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</si>
  <si>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</si>
  <si>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</si>
  <si>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</si>
  <si>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</si>
  <si>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</si>
  <si>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</si>
  <si>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</si>
  <si>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</si>
  <si>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</si>
  <si>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</si>
  <si>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</si>
  <si>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</si>
  <si>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</si>
  <si>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</si>
  <si>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</si>
  <si>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</si>
  <si>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</si>
  <si>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</si>
  <si>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</si>
  <si>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</si>
  <si>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</si>
  <si>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</si>
  <si>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</si>
  <si>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</si>
  <si>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</si>
  <si>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</si>
  <si>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</si>
  <si>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</si>
  <si>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</si>
  <si>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</si>
  <si>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</si>
  <si>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</si>
  <si>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</si>
  <si>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</si>
  <si>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</si>
  <si>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</si>
  <si>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</si>
  <si>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</si>
  <si>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</si>
  <si>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</si>
  <si>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</si>
  <si>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</si>
  <si>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</si>
  <si>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</si>
  <si>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</si>
  <si>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</si>
  <si>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</si>
  <si>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</si>
  <si>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</si>
  <si>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</si>
  <si>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</si>
  <si>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</si>
  <si>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</si>
  <si>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</si>
  <si>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</si>
  <si>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</si>
  <si>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</si>
  <si>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</si>
  <si>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</si>
  <si>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</si>
  <si>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</si>
  <si>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</si>
  <si>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</si>
  <si>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</si>
  <si>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</si>
  <si>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</si>
  <si>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</si>
  <si>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</si>
  <si>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</si>
  <si>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</si>
  <si>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</si>
  <si>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</si>
  <si>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</si>
  <si>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</si>
  <si>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</si>
  <si>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</si>
  <si>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</si>
  <si>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</si>
  <si>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</si>
  <si>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</si>
  <si>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</si>
  <si>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</si>
  <si>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</si>
  <si>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</si>
  <si>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</si>
  <si>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</si>
  <si>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</si>
  <si>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</si>
  <si>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</si>
  <si>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</si>
  <si>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</si>
  <si>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</si>
  <si>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</si>
  <si>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</si>
  <si>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</si>
  <si>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</si>
  <si>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</si>
  <si>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</si>
  <si>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</si>
  <si>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</si>
  <si>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</si>
  <si>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</si>
  <si>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</si>
  <si>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</si>
  <si>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</si>
  <si>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</si>
  <si>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</si>
  <si>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</si>
  <si>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</si>
  <si>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</si>
  <si>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</si>
  <si>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</si>
  <si>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</si>
  <si>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</si>
  <si>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</si>
  <si>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</si>
  <si>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</si>
  <si>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</si>
  <si>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</si>
  <si>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</si>
  <si>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</si>
  <si>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</si>
  <si>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</si>
  <si>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</si>
  <si>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</si>
  <si>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</si>
  <si>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</si>
  <si>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</si>
  <si>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</si>
  <si>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</si>
  <si>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</si>
  <si>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</si>
  <si>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</si>
  <si>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</si>
  <si>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</si>
  <si>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</si>
  <si>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</si>
  <si>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</si>
  <si>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</si>
  <si>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</si>
  <si>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</si>
  <si>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</si>
  <si>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</si>
  <si>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</si>
  <si>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</si>
  <si>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</si>
  <si>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</si>
  <si>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</si>
  <si>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</si>
  <si>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</si>
  <si>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</si>
  <si>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</si>
  <si>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</si>
  <si>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</si>
  <si>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</si>
  <si>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</si>
  <si>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</si>
  <si>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</si>
  <si>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</si>
  <si>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</si>
  <si>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</si>
  <si>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</si>
  <si>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</si>
  <si>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</si>
  <si>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</si>
  <si>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</si>
  <si>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</si>
  <si>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</si>
  <si>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</si>
  <si>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</si>
  <si>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</si>
  <si>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</si>
  <si>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</si>
  <si>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</si>
  <si>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</si>
  <si>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</si>
  <si>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</si>
  <si>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</si>
  <si>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</si>
  <si>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</si>
  <si>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</si>
  <si>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</si>
  <si>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</si>
  <si>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</si>
  <si>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</si>
  <si>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</si>
  <si>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</si>
  <si>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</si>
  <si>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</si>
  <si>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</si>
  <si>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</si>
  <si>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</si>
  <si>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</si>
  <si>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</si>
  <si>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</si>
  <si>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</si>
  <si>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</si>
  <si>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</si>
  <si>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</si>
  <si>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</si>
  <si>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</si>
  <si>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</si>
  <si>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</si>
  <si>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</si>
  <si>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</si>
  <si>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</si>
  <si>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</si>
  <si>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</si>
  <si>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</si>
  <si>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</si>
  <si>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</si>
  <si>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</si>
  <si>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</si>
  <si>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</si>
  <si>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</si>
  <si>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</si>
  <si>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</si>
  <si>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</si>
  <si>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</si>
  <si>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</si>
  <si>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</si>
  <si>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</si>
  <si>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</si>
  <si>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</si>
  <si>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</si>
  <si>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</si>
  <si>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</si>
  <si>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</si>
  <si>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</si>
  <si>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</si>
  <si>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</si>
  <si>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</si>
  <si>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</si>
  <si>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</si>
  <si>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</si>
  <si>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</si>
  <si>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</si>
  <si>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</si>
  <si>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</si>
  <si>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</si>
  <si>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</si>
  <si>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</si>
  <si>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</si>
  <si>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</si>
  <si>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</si>
  <si>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</si>
  <si>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</si>
  <si>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</si>
  <si>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</si>
  <si>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</si>
  <si>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</si>
  <si>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</si>
  <si>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</si>
  <si>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</si>
  <si>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</si>
  <si>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</si>
  <si>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</si>
  <si>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</si>
  <si>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</si>
  <si>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</si>
  <si>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</si>
  <si>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</si>
  <si>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</si>
  <si>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</si>
  <si>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</si>
  <si>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</si>
  <si>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</si>
  <si>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</si>
  <si>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</si>
  <si>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</si>
  <si>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</si>
  <si>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</si>
  <si>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</si>
  <si>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</si>
  <si>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</si>
  <si>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</si>
  <si>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</si>
  <si>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</si>
  <si>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</si>
  <si>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</si>
  <si>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</si>
  <si>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</si>
  <si>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</si>
  <si>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</si>
  <si>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</si>
  <si>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</si>
  <si>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</si>
  <si>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</si>
  <si>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</si>
  <si>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</si>
  <si>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</si>
  <si>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</si>
  <si>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</si>
  <si>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</si>
  <si>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</si>
  <si>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</si>
  <si>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</si>
  <si>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</si>
  <si>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</si>
  <si>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</si>
  <si>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</si>
  <si>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</si>
  <si>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</si>
  <si>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</si>
  <si>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</si>
  <si>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</si>
  <si>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</si>
  <si>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</si>
  <si>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</si>
  <si>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</si>
  <si>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</si>
  <si>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</si>
  <si>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</si>
  <si>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</si>
  <si>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</si>
  <si>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</si>
  <si>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</si>
  <si>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</si>
  <si>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</si>
  <si>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</si>
  <si>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</si>
  <si>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</si>
  <si>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</si>
  <si>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</si>
  <si>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</si>
  <si>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</si>
  <si>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</si>
  <si>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</si>
  <si>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</si>
  <si>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</si>
  <si>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</si>
  <si>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</si>
  <si>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</si>
  <si>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</si>
  <si>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</si>
  <si>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</si>
  <si>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</si>
  <si>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</si>
  <si>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</si>
  <si>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</si>
  <si>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</si>
  <si>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</si>
  <si>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</si>
  <si>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</si>
  <si>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</si>
  <si>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</si>
  <si>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</si>
  <si>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</si>
  <si>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</si>
  <si>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</si>
  <si>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</si>
  <si>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</si>
  <si>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</si>
  <si>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</si>
  <si>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</si>
  <si>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</si>
  <si>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</si>
  <si>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</si>
  <si>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</si>
  <si>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</si>
  <si>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</si>
  <si>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</si>
  <si>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</si>
  <si>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</si>
  <si>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</si>
  <si>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</si>
  <si>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</si>
  <si>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</si>
  <si>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</si>
  <si>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</si>
  <si>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</si>
  <si>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</si>
  <si>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</si>
  <si>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</si>
  <si>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</si>
  <si>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</si>
  <si>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</si>
  <si>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</si>
  <si>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</si>
  <si>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</si>
  <si>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</si>
  <si>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</si>
  <si>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</si>
  <si>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</si>
  <si>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</si>
  <si>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</si>
  <si>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</si>
  <si>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</si>
  <si>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</si>
  <si>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</si>
  <si>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</si>
  <si>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</si>
  <si>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</si>
  <si>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</si>
  <si>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</si>
  <si>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</si>
  <si>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</si>
  <si>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</si>
  <si>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</si>
  <si>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</si>
  <si>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</si>
  <si>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</si>
  <si>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</si>
  <si>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</si>
  <si>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</si>
  <si>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</si>
  <si>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</si>
  <si>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</si>
  <si>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</si>
  <si>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</si>
  <si>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</si>
  <si>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</si>
  <si>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</si>
  <si>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</si>
  <si>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</si>
  <si>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</si>
  <si>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</si>
  <si>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</si>
  <si>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</si>
  <si>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</si>
  <si>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</si>
  <si>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</si>
  <si>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</si>
  <si>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</si>
  <si>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</si>
  <si>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</si>
  <si>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</si>
  <si>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</si>
  <si>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</si>
  <si>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</si>
  <si>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</si>
  <si>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</si>
  <si>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</si>
  <si>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</si>
  <si>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</si>
  <si>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</si>
  <si>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</si>
  <si>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</si>
  <si>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</si>
  <si>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</si>
  <si>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</si>
  <si>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</si>
  <si>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</si>
  <si>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</si>
  <si>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</si>
  <si>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</si>
  <si>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</si>
  <si>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</si>
  <si>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</si>
  <si>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</si>
  <si>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</si>
  <si>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</si>
  <si>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</si>
  <si>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</si>
  <si>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</si>
  <si>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</si>
  <si>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</si>
  <si>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</si>
  <si>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</si>
  <si>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</si>
  <si>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</si>
  <si>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</si>
  <si>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</si>
  <si>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</si>
  <si>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</si>
  <si>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</si>
  <si>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</si>
  <si>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</si>
  <si>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</si>
  <si>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</si>
  <si>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</si>
  <si>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</si>
  <si>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</si>
  <si>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</si>
  <si>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</si>
  <si>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</si>
  <si>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</si>
  <si>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</si>
  <si>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</si>
  <si>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</si>
  <si>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</si>
  <si>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</si>
  <si>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</si>
  <si>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</si>
  <si>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</si>
  <si>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</si>
  <si>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</si>
  <si>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</si>
  <si>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</si>
  <si>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</si>
  <si>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</si>
  <si>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</si>
  <si>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</si>
  <si>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</si>
  <si>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</si>
  <si>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</si>
  <si>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</si>
  <si>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</si>
  <si>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</si>
  <si>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</si>
  <si>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</si>
  <si>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</si>
  <si>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</si>
  <si>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</si>
  <si>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</si>
  <si>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</si>
  <si>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</si>
  <si>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</si>
  <si>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</si>
  <si>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</si>
  <si>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</si>
  <si>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</si>
  <si>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</si>
  <si>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</si>
  <si>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</si>
  <si>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</si>
  <si>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</si>
  <si>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</si>
  <si>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</si>
  <si>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</si>
  <si>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</si>
  <si>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</si>
  <si>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</si>
  <si>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</si>
  <si>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</si>
  <si>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</si>
  <si>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</si>
  <si>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</si>
  <si>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</si>
  <si>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</si>
  <si>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</si>
  <si>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</si>
  <si>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</si>
  <si>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</si>
  <si>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</si>
  <si>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</si>
  <si>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</si>
  <si>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</si>
  <si>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</si>
  <si>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</si>
  <si>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</si>
  <si>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</si>
  <si>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</si>
  <si>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</si>
  <si>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</si>
  <si>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</si>
  <si>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</si>
  <si>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</si>
  <si>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</si>
  <si>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</si>
  <si>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</si>
  <si>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</si>
  <si>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</si>
  <si>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</si>
  <si>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</si>
  <si>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</si>
  <si>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</si>
  <si>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</si>
  <si>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</si>
  <si>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</si>
  <si>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</si>
  <si>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</si>
  <si>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</si>
  <si>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</si>
  <si>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</si>
  <si>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</si>
  <si>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</si>
  <si>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</si>
  <si>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</si>
  <si>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</si>
  <si>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</si>
  <si>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</si>
  <si>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</si>
  <si>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</si>
  <si>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</si>
  <si>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</si>
  <si>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</si>
  <si>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</si>
  <si>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</si>
  <si>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</si>
  <si>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</si>
  <si>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</si>
  <si>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</si>
  <si>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</si>
  <si>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</si>
  <si>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</si>
  <si>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</si>
  <si>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</si>
  <si>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</si>
  <si>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</si>
  <si>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</si>
  <si>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</si>
  <si>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</si>
  <si>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</si>
  <si>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</si>
  <si>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</si>
  <si>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</si>
  <si>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</si>
  <si>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</si>
  <si>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</si>
  <si>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</si>
  <si>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</si>
  <si>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</si>
  <si>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</si>
  <si>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</si>
  <si>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</si>
  <si>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</si>
  <si>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</si>
  <si>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</si>
  <si>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</si>
  <si>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</si>
  <si>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</si>
  <si>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</si>
  <si>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</si>
  <si>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</si>
  <si>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</si>
  <si>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</si>
  <si>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</si>
  <si>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</si>
  <si>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</si>
  <si>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</si>
  <si>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</si>
  <si>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</si>
  <si>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</si>
  <si>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</si>
  <si>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</si>
  <si>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</si>
  <si>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</si>
  <si>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</si>
  <si>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</si>
  <si>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</si>
  <si>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</si>
  <si>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</si>
  <si>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</si>
  <si>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</si>
  <si>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</si>
  <si>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</si>
  <si>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</si>
  <si>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</si>
  <si>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</si>
  <si>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</si>
  <si>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</si>
  <si>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</si>
  <si>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</si>
  <si>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</si>
  <si>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</si>
  <si>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</si>
  <si>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</si>
  <si>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</si>
  <si>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</si>
  <si>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</si>
  <si>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</si>
  <si>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</si>
  <si>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</si>
  <si>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</si>
  <si>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</si>
  <si>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</si>
  <si>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</si>
  <si>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</si>
  <si>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</si>
  <si>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</si>
  <si>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</si>
  <si>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</si>
  <si>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</si>
  <si>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</si>
  <si>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</si>
  <si>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</si>
  <si>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</si>
  <si>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</si>
  <si>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</si>
  <si>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</si>
  <si>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</si>
  <si>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</si>
  <si>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</si>
  <si>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</si>
  <si>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</si>
  <si>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</si>
  <si>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</si>
  <si>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</si>
  <si>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</si>
  <si>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</si>
  <si>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</si>
  <si>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</si>
  <si>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</si>
  <si>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</si>
  <si>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</si>
  <si>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</si>
  <si>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</si>
  <si>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</si>
  <si>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</si>
  <si>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</si>
  <si>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</si>
  <si>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</si>
  <si>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</si>
  <si>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</si>
  <si>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</si>
  <si>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</si>
  <si>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</si>
  <si>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</si>
  <si>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</si>
  <si>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</si>
  <si>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</si>
  <si>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</si>
  <si>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</si>
  <si>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</si>
  <si>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</si>
  <si>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</si>
  <si>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</si>
  <si>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</si>
  <si>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</si>
  <si>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</si>
  <si>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</si>
  <si>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</si>
  <si>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</si>
  <si>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</si>
  <si>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</si>
  <si>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</si>
  <si>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</si>
  <si>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</si>
  <si>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</si>
  <si>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</si>
  <si>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</si>
  <si>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</si>
  <si>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</si>
  <si>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</si>
  <si>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</si>
  <si>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</si>
  <si>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</si>
  <si>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</si>
  <si>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</si>
  <si>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</si>
  <si>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</si>
  <si>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</si>
  <si>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</si>
  <si>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</si>
  <si>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</si>
  <si>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</si>
  <si>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</si>
  <si>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</si>
  <si>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</si>
  <si>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</si>
  <si>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</si>
  <si>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</si>
  <si>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</si>
  <si>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</si>
  <si>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</si>
  <si>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</si>
  <si>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</si>
  <si>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</si>
  <si>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</si>
  <si>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</si>
  <si>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</si>
  <si>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</si>
  <si>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</si>
  <si>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</si>
  <si>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</si>
  <si>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</si>
  <si>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</si>
  <si>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</si>
  <si>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</si>
  <si>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</si>
  <si>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</si>
  <si>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</si>
  <si>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</si>
  <si>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</si>
  <si>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</si>
  <si>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</si>
  <si>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</si>
  <si>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</si>
  <si>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</si>
  <si>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</si>
  <si>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</si>
  <si>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</si>
  <si>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</si>
  <si>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</si>
  <si>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</si>
  <si>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</si>
  <si>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</si>
  <si>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</si>
  <si>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</si>
  <si>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</si>
  <si>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</si>
  <si>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</si>
  <si>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</si>
  <si>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</si>
  <si>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</si>
  <si>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</si>
  <si>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</si>
  <si>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</si>
  <si>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</si>
  <si>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</si>
  <si>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</si>
  <si>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</si>
  <si>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</si>
  <si>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</si>
  <si>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</si>
  <si>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</si>
  <si>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</si>
  <si>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</si>
  <si>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</si>
  <si>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</si>
  <si>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</si>
  <si>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</si>
  <si>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</si>
  <si>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</si>
  <si>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</si>
  <si>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</si>
  <si>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</si>
  <si>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</si>
  <si>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</si>
  <si>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</si>
  <si>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</si>
  <si>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</si>
  <si>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</si>
  <si>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</si>
  <si>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</si>
  <si>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</si>
  <si>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</si>
  <si>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</si>
  <si>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</si>
  <si>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</si>
  <si>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</si>
  <si>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</si>
  <si>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</si>
  <si>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</si>
  <si>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</si>
  <si>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</si>
  <si>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</si>
  <si>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</si>
  <si>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</si>
  <si>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</si>
  <si>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</si>
  <si>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</si>
  <si>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</si>
  <si>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</si>
  <si>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</si>
  <si>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</si>
  <si>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</si>
  <si>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</si>
  <si>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</si>
  <si>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</si>
  <si>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</si>
  <si>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</si>
  <si>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</si>
  <si>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</si>
  <si>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</si>
  <si>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</si>
  <si>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</si>
  <si>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</si>
  <si>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</si>
  <si>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</si>
  <si>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</si>
  <si>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</si>
  <si>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</si>
  <si>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</si>
  <si>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</si>
  <si>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</si>
  <si>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</si>
  <si>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</si>
  <si>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</si>
  <si>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</si>
  <si>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</si>
  <si>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</si>
  <si>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</si>
  <si>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</si>
  <si>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</si>
  <si>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</si>
  <si>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</si>
  <si>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</si>
  <si>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</si>
  <si>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</si>
  <si>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</si>
  <si>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</si>
  <si>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</si>
  <si>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</si>
  <si>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</si>
  <si>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</si>
  <si>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</si>
  <si>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</si>
  <si>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</si>
  <si>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</si>
  <si>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</si>
  <si>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</si>
  <si>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</si>
  <si>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</si>
  <si>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</si>
  <si>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</si>
  <si>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</si>
  <si>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</si>
  <si>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</si>
  <si>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</si>
  <si>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</si>
  <si>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</si>
  <si>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</si>
  <si>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</si>
  <si>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</si>
  <si>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</si>
  <si>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</si>
  <si>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</si>
  <si>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</si>
  <si>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</si>
  <si>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</si>
  <si>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</si>
  <si>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</si>
  <si>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</si>
  <si>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</si>
  <si>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</si>
  <si>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</si>
  <si>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</si>
  <si>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</si>
  <si>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</si>
  <si>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</si>
  <si>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</si>
  <si>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</si>
  <si>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</si>
  <si>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</si>
  <si>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</si>
  <si>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</si>
  <si>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</si>
  <si>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</si>
  <si>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</si>
  <si>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</si>
  <si>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</si>
  <si>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</si>
  <si>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</si>
  <si>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</si>
  <si>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</si>
  <si>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</si>
  <si>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</si>
  <si>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</si>
  <si>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</si>
  <si>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</si>
  <si>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</si>
  <si>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</si>
  <si>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</si>
  <si>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</si>
  <si>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</si>
  <si>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</si>
  <si>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</si>
  <si>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</si>
  <si>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</si>
  <si>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</si>
  <si>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</si>
  <si>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</si>
  <si>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</si>
  <si>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</si>
  <si>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</si>
  <si>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</si>
  <si>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</si>
  <si>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</si>
  <si>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</si>
  <si>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</si>
  <si>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</si>
  <si>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</si>
  <si>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</si>
  <si>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</si>
  <si>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</si>
  <si>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</si>
  <si>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</si>
  <si>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</si>
  <si>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</si>
  <si>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</si>
  <si>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</si>
  <si>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</si>
  <si>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</si>
  <si>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</si>
  <si>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</si>
  <si>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</si>
  <si>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</si>
  <si>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</si>
  <si>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</si>
  <si>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</si>
  <si>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</si>
  <si>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</si>
  <si>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</si>
  <si>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</si>
  <si>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</si>
  <si>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</si>
  <si>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</si>
  <si>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</si>
  <si>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</si>
  <si>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</si>
  <si>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</si>
  <si>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</si>
  <si>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</si>
  <si>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</si>
  <si>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</si>
  <si>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</si>
  <si>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</si>
  <si>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</si>
  <si>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</si>
  <si>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</si>
  <si>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</si>
  <si>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</si>
  <si>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</si>
  <si>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</si>
  <si>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</si>
  <si>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</si>
  <si>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</si>
  <si>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</si>
  <si>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</si>
  <si>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</si>
  <si>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</si>
  <si>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</si>
  <si>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</si>
  <si>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</si>
  <si>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</si>
  <si>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</si>
  <si>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</si>
  <si>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</si>
  <si>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</si>
  <si>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</si>
  <si>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</si>
  <si>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</si>
  <si>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</si>
  <si>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</si>
  <si>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</si>
  <si>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</si>
  <si>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</si>
  <si>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</si>
  <si>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</si>
  <si>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</si>
  <si>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</si>
  <si>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</si>
  <si>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</si>
  <si>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</si>
  <si>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</si>
  <si>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</si>
  <si>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</si>
  <si>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</si>
  <si>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</si>
  <si>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</si>
  <si>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</si>
  <si>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</si>
  <si>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</si>
  <si>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</si>
  <si>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</si>
  <si>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</si>
  <si>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</si>
  <si>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</si>
  <si>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</si>
  <si>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</si>
  <si>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</si>
  <si>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</si>
  <si>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</si>
  <si>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</si>
  <si>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</si>
  <si>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</si>
  <si>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</si>
  <si>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</si>
  <si>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</si>
  <si>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</si>
  <si>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</si>
  <si>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</si>
  <si>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</si>
  <si>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</si>
  <si>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</si>
  <si>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</si>
  <si>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</si>
  <si>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</si>
  <si>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</si>
  <si>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</si>
  <si>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</si>
  <si>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</si>
  <si>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</si>
  <si>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</si>
  <si>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</si>
  <si>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</si>
  <si>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</si>
  <si>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</si>
  <si>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</si>
  <si>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</si>
  <si>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</si>
  <si>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</si>
  <si>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</si>
  <si>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</si>
  <si>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</si>
  <si>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</si>
  <si>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</si>
  <si>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</si>
  <si>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</si>
  <si>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</si>
  <si>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</si>
  <si>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</si>
  <si>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</si>
  <si>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</si>
  <si>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</si>
  <si>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</si>
  <si>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</si>
  <si>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</si>
  <si>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</si>
  <si>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</si>
  <si>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</si>
  <si>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</si>
  <si>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</si>
  <si>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</si>
  <si>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</si>
  <si>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</si>
  <si>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</si>
  <si>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</si>
  <si>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</si>
  <si>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</si>
  <si>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</si>
  <si>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</si>
  <si>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</si>
  <si>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</si>
  <si>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</si>
  <si>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</si>
  <si>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</si>
  <si>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</si>
  <si>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</si>
  <si>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</si>
  <si>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</si>
  <si>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</si>
  <si>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</si>
  <si>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</si>
  <si>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</si>
  <si>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</si>
  <si>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</si>
  <si>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</si>
  <si>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</si>
  <si>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</si>
  <si>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</si>
  <si>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</si>
  <si>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</si>
  <si>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</si>
  <si>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</si>
  <si>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</si>
  <si>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</si>
  <si>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</si>
  <si>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</si>
  <si>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</si>
  <si>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</si>
  <si>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</si>
  <si>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</si>
  <si>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</si>
  <si>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</si>
  <si>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</si>
  <si>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</si>
  <si>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</si>
  <si>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</si>
  <si>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</si>
  <si>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</si>
  <si>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</si>
  <si>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</si>
  <si>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</si>
  <si>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</si>
  <si>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</si>
  <si>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</si>
  <si>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</si>
  <si>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</si>
  <si>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</si>
  <si>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</si>
  <si>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</si>
  <si>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</si>
  <si>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</si>
  <si>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</si>
  <si>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</si>
  <si>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</si>
  <si>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</si>
  <si>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</si>
  <si>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</si>
  <si>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</si>
  <si>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</si>
  <si>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</si>
  <si>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</si>
  <si>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</si>
  <si>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</si>
  <si>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</si>
  <si>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</si>
  <si>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</si>
  <si>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</si>
  <si>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</si>
  <si>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</si>
  <si>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</si>
  <si>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</si>
  <si>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</si>
  <si>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</si>
  <si>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</si>
  <si>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</si>
  <si>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</si>
  <si>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</si>
  <si>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</si>
  <si>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</si>
  <si>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</si>
  <si>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</si>
  <si>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</si>
  <si>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</si>
  <si>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</si>
  <si>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</si>
  <si>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</si>
  <si>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</si>
  <si>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</si>
  <si>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</si>
  <si>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</si>
  <si>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</si>
  <si>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</si>
  <si>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</si>
  <si>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</si>
  <si>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</si>
  <si>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</si>
  <si>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</si>
  <si>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</si>
  <si>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</si>
  <si>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</si>
  <si>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</si>
  <si>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</si>
  <si>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</si>
  <si>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</si>
  <si>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</si>
  <si>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</si>
  <si>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</si>
  <si>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</si>
  <si>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</si>
  <si>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</si>
  <si>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</si>
  <si>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</si>
  <si>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</si>
  <si>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</si>
  <si>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</si>
  <si>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</si>
  <si>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</si>
  <si>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</si>
  <si>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</si>
  <si>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</si>
  <si>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</si>
  <si>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</si>
  <si>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</si>
  <si>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</si>
  <si>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</si>
  <si>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</si>
  <si>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</si>
  <si>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</si>
  <si>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</si>
  <si>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</si>
  <si>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</si>
  <si>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</si>
  <si>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</si>
  <si>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</si>
  <si>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</si>
  <si>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</si>
  <si>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</si>
  <si>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</si>
  <si>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</si>
  <si>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</si>
  <si>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</si>
  <si>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</si>
  <si>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</si>
  <si>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</si>
  <si>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</si>
  <si>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</si>
  <si>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</si>
  <si>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</si>
  <si>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</si>
  <si>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</si>
  <si>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</si>
  <si>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</si>
  <si>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</si>
  <si>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</si>
  <si>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</si>
  <si>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</si>
  <si>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</si>
  <si>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</si>
  <si>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</si>
  <si>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</si>
  <si>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</si>
  <si>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</si>
  <si>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</si>
  <si>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</si>
  <si>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</si>
  <si>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</si>
  <si>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</si>
  <si>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</si>
  <si>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</si>
  <si>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</si>
  <si>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</si>
  <si>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</si>
  <si>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</si>
  <si>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</si>
  <si>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</si>
  <si>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</si>
  <si>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</si>
  <si>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</si>
  <si>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</si>
  <si>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</si>
  <si>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</si>
  <si>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</si>
  <si>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</si>
  <si>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</si>
  <si>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</si>
  <si>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</si>
  <si>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</si>
  <si>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</si>
  <si>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</si>
  <si>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</si>
  <si>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</si>
  <si>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</si>
  <si>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</si>
  <si>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</si>
  <si>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</si>
  <si>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</si>
  <si>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</si>
  <si>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</si>
  <si>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</si>
  <si>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</si>
  <si>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</si>
  <si>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</si>
  <si>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</si>
  <si>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</si>
  <si>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</si>
  <si>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</si>
  <si>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</si>
  <si>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</si>
  <si>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</si>
  <si>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</si>
  <si>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</si>
  <si>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</si>
  <si>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</si>
  <si>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</si>
  <si>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</si>
  <si>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</si>
  <si>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</si>
  <si>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</si>
  <si>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</si>
  <si>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</si>
  <si>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</si>
  <si>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</si>
  <si>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</si>
  <si>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</si>
  <si>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</si>
  <si>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</si>
  <si>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</si>
  <si>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</si>
  <si>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</si>
  <si>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</si>
  <si>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</si>
  <si>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</si>
  <si>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</si>
  <si>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</si>
  <si>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</si>
  <si>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</si>
  <si>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</si>
  <si>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</si>
  <si>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</si>
  <si>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</si>
  <si>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</si>
  <si>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</si>
  <si>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</si>
  <si>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</si>
  <si>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</si>
  <si>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</si>
  <si>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</si>
  <si>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</si>
  <si>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</si>
  <si>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</si>
  <si>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</si>
  <si>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</si>
  <si>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</si>
  <si>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</si>
  <si>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</si>
  <si>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</si>
  <si>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</si>
  <si>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</si>
  <si>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</si>
  <si>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</si>
  <si>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</si>
  <si>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</si>
  <si>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</si>
  <si>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</si>
  <si>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</si>
  <si>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</si>
  <si>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</si>
  <si>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</si>
  <si>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</si>
  <si>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</si>
  <si>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</si>
  <si>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</si>
  <si>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</si>
  <si>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</si>
  <si>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</si>
  <si>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</si>
  <si>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</si>
  <si>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</si>
  <si>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</si>
  <si>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</si>
  <si>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</si>
  <si>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</si>
  <si>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</si>
  <si>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</si>
  <si>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</si>
  <si>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</si>
  <si>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</si>
  <si>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</si>
  <si>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</si>
  <si>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</si>
  <si>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</si>
  <si>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</si>
  <si>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</si>
  <si>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</si>
  <si>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</si>
  <si>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</si>
  <si>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</si>
  <si>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</si>
  <si>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</si>
  <si>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</si>
  <si>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</si>
  <si>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</si>
  <si>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</si>
  <si>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</si>
  <si>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</si>
  <si>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</si>
  <si>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</si>
  <si>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</si>
  <si>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</si>
  <si>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</si>
  <si>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</si>
  <si>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</si>
  <si>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</si>
  <si>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</si>
  <si>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</si>
  <si>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</si>
  <si>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</si>
  <si>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</si>
  <si>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</si>
  <si>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</si>
  <si>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</si>
  <si>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</si>
  <si>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</si>
  <si>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</si>
  <si>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</si>
  <si>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</si>
  <si>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</si>
  <si>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</si>
  <si>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</si>
  <si>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</si>
  <si>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</si>
  <si>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</si>
  <si>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</si>
  <si>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</si>
  <si>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</si>
  <si>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</si>
  <si>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</si>
  <si>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</si>
  <si>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</si>
  <si>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</si>
  <si>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</si>
  <si>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</si>
  <si>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</si>
  <si>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</si>
  <si>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</si>
  <si>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</si>
  <si>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</si>
  <si>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</si>
  <si>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</si>
  <si>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</si>
  <si>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</si>
  <si>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</si>
  <si>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</si>
  <si>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</si>
  <si>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</si>
  <si>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</si>
  <si>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</si>
  <si>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</si>
  <si>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</si>
  <si>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</si>
  <si>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</si>
  <si>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</si>
  <si>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</si>
  <si>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</si>
  <si>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</si>
  <si>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</si>
  <si>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</si>
  <si>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</si>
  <si>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</si>
  <si>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</si>
  <si>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</si>
  <si>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</si>
  <si>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</si>
  <si>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</si>
  <si>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</si>
  <si>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</si>
  <si>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</si>
  <si>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</si>
  <si>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</si>
  <si>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</si>
  <si>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</si>
  <si>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</si>
  <si>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</si>
  <si>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</si>
  <si>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</si>
  <si>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</si>
  <si>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</si>
  <si>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</si>
  <si>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</si>
  <si>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</si>
  <si>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</si>
  <si>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</si>
  <si>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</si>
  <si>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</si>
  <si>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</si>
  <si>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</si>
  <si>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</si>
  <si>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</si>
  <si>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</si>
  <si>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</si>
  <si>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</si>
  <si>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</si>
  <si>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</si>
  <si>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</si>
  <si>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</si>
  <si>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</si>
  <si>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</si>
  <si>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</si>
  <si>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</si>
  <si>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</si>
  <si>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</si>
  <si>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</si>
  <si>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</si>
  <si>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</si>
  <si>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</si>
  <si>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</si>
  <si>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</si>
  <si>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</si>
  <si>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</si>
  <si>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</si>
  <si>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</si>
  <si>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</si>
  <si>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</si>
  <si>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</si>
  <si>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</si>
  <si>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</si>
  <si>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</si>
  <si>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</si>
  <si>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</si>
  <si>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</si>
  <si>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</si>
  <si>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</si>
  <si>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</si>
  <si>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</si>
  <si>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</si>
  <si>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</si>
  <si>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</si>
  <si>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</si>
  <si>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</si>
  <si>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</si>
  <si>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</si>
  <si>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</si>
  <si>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</si>
  <si>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</si>
  <si>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</si>
  <si>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</si>
  <si>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</si>
  <si>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</si>
  <si>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</si>
  <si>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</si>
  <si>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</si>
  <si>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</si>
  <si>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</si>
  <si>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</si>
  <si>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</si>
  <si>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</si>
  <si>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</si>
  <si>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</si>
  <si>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</si>
  <si>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</si>
  <si>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</si>
  <si>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</si>
  <si>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</si>
  <si>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</si>
  <si>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</si>
  <si>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</si>
  <si>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</si>
  <si>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</si>
  <si>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</si>
  <si>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</si>
  <si>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</si>
  <si>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</si>
  <si>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</si>
  <si>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</si>
  <si>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</si>
  <si>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</si>
  <si>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</si>
  <si>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</si>
  <si>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</si>
  <si>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</si>
  <si>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</si>
  <si>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</si>
  <si>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</si>
  <si>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</si>
  <si>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</si>
  <si>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</si>
  <si>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</si>
  <si>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</si>
  <si>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</si>
  <si>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</si>
  <si>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</si>
  <si>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</si>
  <si>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</si>
  <si>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</si>
  <si>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</si>
  <si>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</si>
  <si>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</si>
  <si>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</si>
  <si>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</si>
  <si>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</si>
  <si>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</si>
  <si>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</si>
  <si>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</si>
  <si>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</si>
  <si>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</si>
  <si>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</si>
  <si>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</si>
  <si>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</si>
  <si>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</si>
  <si>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</si>
  <si>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</si>
  <si>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</si>
  <si>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</si>
  <si>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</si>
  <si>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</si>
  <si>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</si>
  <si>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</si>
  <si>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</si>
  <si>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</si>
  <si>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</si>
  <si>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</si>
  <si>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</si>
  <si>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</si>
  <si>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</si>
  <si>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</si>
  <si>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Meister, Hilton, Chitwood &amp;  Associates, Inc.</t>
  </si>
  <si>
    <t>Ron Hilton</t>
  </si>
  <si>
    <t>809 W.  Detweiller Drive, Suite 804</t>
  </si>
  <si>
    <t>Peoria</t>
  </si>
  <si>
    <t>IL</t>
  </si>
  <si>
    <t>(309) 683-0441</t>
  </si>
  <si>
    <t>ron.hilton1@comcast.net</t>
  </si>
  <si>
    <t>066-004769</t>
  </si>
  <si>
    <t>x</t>
  </si>
  <si>
    <t>Pleasant Hill Grade School District No. 69</t>
  </si>
  <si>
    <t>Lisa Weaver</t>
  </si>
  <si>
    <t>309-637-6829</t>
  </si>
  <si>
    <t>309-637-8612</t>
  </si>
  <si>
    <t>3717 West Malone Street</t>
  </si>
  <si>
    <t>lweaver@phill69.com</t>
  </si>
  <si>
    <t>23. The District has prepared these financial statements using the regulatory accounting practices prescribed by the Illinois State Board of Education, which differs from accounting principles generally accepted in the United States of America.</t>
  </si>
  <si>
    <t>G.O  School Bonds, series 2015</t>
  </si>
  <si>
    <t>ED-Support Services-Pupils -Purchased Services</t>
  </si>
  <si>
    <t>10-2100-300</t>
  </si>
  <si>
    <t>OSF Healthcare</t>
  </si>
  <si>
    <t>Family Core</t>
  </si>
  <si>
    <t>Transportation-Pupil Transportation Services -Purchased Services</t>
  </si>
  <si>
    <t>40-2550-300</t>
  </si>
  <si>
    <t>First Student</t>
  </si>
  <si>
    <t>Oak Grove,  Limestone Walters</t>
  </si>
  <si>
    <t>B</t>
  </si>
  <si>
    <t>A</t>
  </si>
  <si>
    <t>Special  Education Association of Peoria County (SEAPCO)</t>
  </si>
  <si>
    <t>A. Oak Grove, Monroe, SEAPCO, Brimfield, Norwood, Bartonville, Hollis, Dunlap, Elmwood, Limestone Walters, Robein, Delavan, ROE 48, Area 111 Tech Center</t>
  </si>
  <si>
    <t>B. Oak Grove, Monroe, Norwood, Bartonville Grade, Hollis, Limestone Walters, Pleasant Valley, Limestone High School</t>
  </si>
  <si>
    <t>Page 11, Line 1999 - Other Local Revenues:  Local Grants - United Way, Supporting Student Success $17,800,</t>
  </si>
  <si>
    <t>Page 12, Line 3999 - Other Restricted Revenue from State Sources: Healthy Schools grant $26,757.</t>
  </si>
  <si>
    <t xml:space="preserve"> e-rate reimbursement $8,410.</t>
  </si>
  <si>
    <t>Page 18, Line 5400 - Debt Servicee - Other: Bond agent fees $500.</t>
  </si>
  <si>
    <t>Effective internal controls should be implemented to ensure that an adequate segregation of duties over the accounting function exists.  Responsibilities for authorizing, approving, executing and recording transactions in the general ledger should be segregated between two or more individuals.</t>
  </si>
  <si>
    <t>The District has one employee that is involved in the accounting function.  The District does not have an adequate segregation of duties over accounting transactions as the employee is responsible for initiating and recording transactions in the general ledger as well as performing reconciliations.</t>
  </si>
  <si>
    <t>One employee is responsible for all aspects of the cash receipts, cash disbursements  and payroll functions and also responsible for recording these transactions in the general ledger.</t>
  </si>
  <si>
    <t>This condition increases the possibility that errors or fraud may occur and not be detected on a timely basis.</t>
  </si>
  <si>
    <t>Due to the small size of the District, duties have been assigned based on the experience, abilities and schedules of office personnel.</t>
  </si>
  <si>
    <t>When this condition exists, the Superintendent’s and Board of Education's close oversight and review of accounting information on a regular basis is the best means of preventing or detecting errors or fraud.</t>
  </si>
  <si>
    <t xml:space="preserve">Due to the small size of the District, it is not practical to hire additional personnel solely for the purpose of achieving an ideal segregation of duties over the accounting function.  </t>
  </si>
  <si>
    <t>In an ideal control setting, the District would have personnel possessing a thorough understanding of applicable generally accepted accounting principles and staying abreast of recent accounting developments.  Such personnel would perform a comprehensive review procedure to ensure that in the preparation of its annual financial statements that such statements, including disclosures, are complete and accurate.</t>
  </si>
  <si>
    <t>The Board of Education and management share the ultimate responsibility for the District's internal control system.  While it is acceptable to outsource various accounting functions, the responsibility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t>
  </si>
  <si>
    <t>The District prepares accurate non-full disclosure financial reports (i.e. without note disclosure) on a monthly basis.  Changes in accounting standards may not be identified and implemented by the Board of Education and management.</t>
  </si>
  <si>
    <t>It is possible that a misstatement of the District's financial statements could occur and not be prevented or detected by the District's internal control over financial reporting.</t>
  </si>
  <si>
    <t>Due to the small size of the District, the District has not made it a practice to send District officials or other personnel to training classes to update them on the on-going changes and complexities of generally accepted accounting principles.</t>
  </si>
  <si>
    <t>We make no recommendation as to whether management should or should not invest in additional personnel or additional training for existing personnel to acquire the capacity to maintain the level of expertise necessary to prepare financial statements in accordance with generally accepted accounting principles including all disclosures.</t>
  </si>
  <si>
    <t>The District does not currently have qualified personnel to perform a complete review of the District's drafted financial statements.  In addition, it is not economically practical to hire an outside consultant to conduct this review.  The District believes that management's review of the balances and amounts are adequate in the circumstances and no additional procedures are considered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</si>
</sst>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2085</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2085</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48072069002</v>
      </c>
      <c r="B13" s="2038"/>
      <c r="C13" s="2038"/>
      <c r="D13" s="2038"/>
      <c r="E13" s="2038"/>
      <c r="F13" s="2038"/>
      <c r="G13" s="2038"/>
      <c r="H13" s="2039"/>
      <c r="I13" s="31"/>
      <c r="J13" s="30"/>
      <c r="K13" s="28"/>
      <c r="L13" s="30"/>
      <c r="M13" s="30"/>
      <c r="N13" s="30"/>
      <c r="O13" s="30"/>
      <c r="P13" s="30"/>
      <c r="Q13" s="30"/>
      <c r="R13" s="30"/>
      <c r="S13" s="30"/>
      <c r="T13" s="2042" t="s">
        <v>2077</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2080</v>
      </c>
      <c r="B15" s="2040"/>
      <c r="C15" s="2040"/>
      <c r="D15" s="2040"/>
      <c r="E15" s="2040"/>
      <c r="F15" s="2040"/>
      <c r="G15" s="2040"/>
      <c r="H15" s="2041"/>
      <c r="T15" s="2046" t="s">
        <v>2078</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2086</v>
      </c>
      <c r="B17" s="1997"/>
      <c r="C17" s="1997"/>
      <c r="D17" s="1997"/>
      <c r="E17" s="1997"/>
      <c r="F17" s="1997"/>
      <c r="G17" s="1997"/>
      <c r="H17" s="2022"/>
      <c r="T17" s="2053" t="s">
        <v>2079</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2090</v>
      </c>
      <c r="B19" s="1982"/>
      <c r="C19" s="1982"/>
      <c r="D19" s="1982"/>
      <c r="E19" s="1982"/>
      <c r="F19" s="1982"/>
      <c r="G19" s="1982"/>
      <c r="H19" s="1962"/>
      <c r="I19" s="30"/>
      <c r="J19" s="99"/>
      <c r="K19" s="40"/>
      <c r="L19" s="38"/>
      <c r="M19" s="112" t="s">
        <v>333</v>
      </c>
      <c r="P19" s="27"/>
      <c r="Q19" s="27"/>
      <c r="R19" s="27"/>
      <c r="S19" s="31"/>
      <c r="T19" s="2036" t="s">
        <v>2080</v>
      </c>
      <c r="U19" s="1961"/>
      <c r="V19" s="1961"/>
      <c r="W19" s="1962"/>
      <c r="X19" s="2051" t="s">
        <v>2081</v>
      </c>
      <c r="Y19" s="2052"/>
      <c r="Z19" s="2049">
        <v>61615</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2080</v>
      </c>
      <c r="B21" s="1961"/>
      <c r="C21" s="1961"/>
      <c r="D21" s="1961"/>
      <c r="E21" s="1961"/>
      <c r="F21" s="1961"/>
      <c r="G21" s="1961"/>
      <c r="H21" s="1962"/>
      <c r="I21" s="2016" t="s">
        <v>699</v>
      </c>
      <c r="J21" s="2011"/>
      <c r="K21" s="2011"/>
      <c r="L21" s="2011"/>
      <c r="M21" s="2011"/>
      <c r="N21" s="2011"/>
      <c r="O21" s="2011"/>
      <c r="P21" s="2011"/>
      <c r="Q21" s="2011"/>
      <c r="R21" s="2011"/>
      <c r="S21" s="2017"/>
      <c r="T21" s="2060" t="s">
        <v>2082</v>
      </c>
      <c r="U21" s="2061"/>
      <c r="V21" s="2061"/>
      <c r="W21" s="2061"/>
      <c r="X21" s="2066" t="s">
        <v>2082</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2091</v>
      </c>
      <c r="B23" s="2014"/>
      <c r="C23" s="2014"/>
      <c r="D23" s="2014"/>
      <c r="E23" s="2014"/>
      <c r="F23" s="2014"/>
      <c r="G23" s="2014"/>
      <c r="H23" s="2015"/>
      <c r="T23" s="1996" t="s">
        <v>2084</v>
      </c>
      <c r="U23" s="2059"/>
      <c r="V23" s="2059"/>
      <c r="W23" s="2059"/>
      <c r="X23" s="2063">
        <v>43434</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61605</v>
      </c>
      <c r="B25" s="1961"/>
      <c r="C25" s="1961"/>
      <c r="D25" s="1961"/>
      <c r="E25" s="1961"/>
      <c r="F25" s="1961"/>
      <c r="G25" s="1961"/>
      <c r="H25" s="1962"/>
      <c r="I25" s="113"/>
      <c r="J25" s="1985"/>
      <c r="K25" s="1985"/>
      <c r="L25" s="1985"/>
      <c r="M25" s="1985"/>
      <c r="N25" s="1985"/>
      <c r="O25" s="1985"/>
      <c r="P25" s="1985"/>
      <c r="Q25" s="1985"/>
      <c r="R25" s="1985"/>
      <c r="S25" s="1986"/>
      <c r="T25" s="2056" t="s">
        <v>2083</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2085</v>
      </c>
      <c r="M29" s="40" t="s">
        <v>101</v>
      </c>
      <c r="N29" s="32" t="s">
        <v>1604</v>
      </c>
      <c r="O29" s="32"/>
      <c r="P29" s="32"/>
      <c r="Q29" s="32"/>
      <c r="R29" s="32"/>
      <c r="S29" s="123"/>
      <c r="T29" s="6"/>
      <c r="U29" s="6"/>
      <c r="V29" s="6"/>
      <c r="W29" s="6"/>
      <c r="X29" s="6"/>
      <c r="Y29" s="6"/>
      <c r="Z29" s="6"/>
      <c r="AA29" s="132"/>
    </row>
    <row r="30" spans="1:27" ht="13.5" customHeight="1" x14ac:dyDescent="0.2">
      <c r="A30" s="153"/>
      <c r="B30" s="136" t="s">
        <v>2085</v>
      </c>
      <c r="C30" s="124" t="s">
        <v>1226</v>
      </c>
      <c r="D30" s="28"/>
      <c r="E30" s="28"/>
      <c r="F30" s="140"/>
      <c r="G30" s="114"/>
      <c r="H30" s="114"/>
      <c r="I30" s="54"/>
      <c r="J30" s="102"/>
      <c r="K30" s="28" t="s">
        <v>597</v>
      </c>
      <c r="L30" s="148" t="s">
        <v>2085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2085</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2085</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2087</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2091</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2088</v>
      </c>
      <c r="B42" s="1980"/>
      <c r="C42" s="1981"/>
      <c r="D42" s="1979" t="s">
        <v>2089</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9" colorId="8" zoomScale="110" zoomScaleNormal="110" workbookViewId="0">
      <selection activeCell="B54" sqref="B5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2085</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2092</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2077</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K38" sqref="K3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16150012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1.1639500000000001E-2</v>
      </c>
      <c r="E10" s="356" t="s">
        <v>1062</v>
      </c>
      <c r="F10" s="355">
        <v>2.5000000000000001E-3</v>
      </c>
      <c r="G10" s="356" t="s">
        <v>1062</v>
      </c>
      <c r="H10" s="355">
        <v>1.1999999999999999E-3</v>
      </c>
      <c r="I10" s="356" t="s">
        <v>1063</v>
      </c>
      <c r="J10" s="1754">
        <f>ROUND(D10+F10+H10,5)</f>
        <v>1.5339999999999999E-2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2429457</v>
      </c>
      <c r="E16" s="356"/>
      <c r="F16" s="1755">
        <f>SUM('Acct Summary 7-8'!C17,'Acct Summary 7-8'!D17,'Acct Summary 7-8'!F17)</f>
        <v>2476309</v>
      </c>
      <c r="G16" s="356"/>
      <c r="H16" s="1755">
        <f>SUM(D16-F16)</f>
        <v>-46852</v>
      </c>
      <c r="I16" s="222"/>
      <c r="J16" s="1755">
        <f>SUM('Acct Summary 7-8'!C81,'Acct Summary 7-8'!D81,'Acct Summary 7-8'!F81,'Acct Summary 7-8'!I81)</f>
        <v>1476462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2085</v>
      </c>
      <c r="C31" s="367" t="s">
        <v>607</v>
      </c>
      <c r="D31" s="237" t="s">
        <v>1132</v>
      </c>
      <c r="E31" s="222"/>
      <c r="F31" s="222"/>
      <c r="G31" s="363"/>
      <c r="H31" s="1757">
        <f>IF(B31="X",(J7*0.069),IF(B32="X",(J7*0.138),"Enter x in a.or b."))</f>
        <v>1114350.828</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Pleasant Hill Grade School District No. 69</v>
      </c>
      <c r="E7" s="391"/>
      <c r="G7" s="252"/>
      <c r="H7" s="387"/>
      <c r="I7" s="387"/>
      <c r="J7" s="387"/>
      <c r="K7" s="387"/>
      <c r="L7" s="329"/>
      <c r="M7" s="329"/>
      <c r="N7" s="329"/>
      <c r="O7" s="329"/>
      <c r="P7" s="329"/>
    </row>
    <row r="8" spans="1:18" ht="12.75" x14ac:dyDescent="0.2">
      <c r="A8" s="329"/>
      <c r="B8" s="329"/>
      <c r="C8" s="389" t="s">
        <v>1187</v>
      </c>
      <c r="D8" s="392">
        <f>COVER!A13</f>
        <v>48072069002</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1476462</v>
      </c>
      <c r="I12" s="404"/>
      <c r="J12" s="404"/>
      <c r="K12" s="405">
        <f>TRUNC((H12/H13*100000),5)/100000</f>
        <v>0.60773333299999999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2429457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2476309</v>
      </c>
      <c r="I17" s="404"/>
      <c r="J17" s="416"/>
      <c r="K17" s="405">
        <f>TRUNC((H17/H18*100000),5)/100000</f>
        <v>1.0192849677</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2429457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26.327932700000002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1476516</v>
      </c>
      <c r="I24" s="422"/>
      <c r="J24" s="422"/>
      <c r="K24" s="423">
        <f>TRUNC(((H24/H25*100000)/100000),2)</f>
        <v>214.65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6878.6361100000004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210580.00646999999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60000</v>
      </c>
      <c r="I32" s="420"/>
      <c r="J32" s="420"/>
      <c r="K32" s="423">
        <f>TRUNC(100-((((H32/H33*100))*100)/100),2)</f>
        <v>94.61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1114350.828</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8" zoomScaleNormal="98" workbookViewId="0">
      <pane ySplit="2" topLeftCell="A27" activePane="bottomLeft" state="frozen"/>
      <selection activeCell="A47" sqref="A47"/>
      <selection pane="bottomLeft" activeCell="D39" sqref="D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463318</v>
      </c>
      <c r="D4" s="466">
        <v>106891</v>
      </c>
      <c r="E4" s="466">
        <v>5331</v>
      </c>
      <c r="F4" s="466">
        <v>37842</v>
      </c>
      <c r="G4" s="466">
        <v>19535</v>
      </c>
      <c r="H4" s="466">
        <v>42603</v>
      </c>
      <c r="I4" s="466">
        <v>184</v>
      </c>
      <c r="J4" s="467">
        <v>20177</v>
      </c>
      <c r="K4" s="466">
        <v>18442</v>
      </c>
      <c r="L4" s="466">
        <v>16011</v>
      </c>
      <c r="M4" s="468"/>
      <c r="N4" s="469"/>
    </row>
    <row r="5" spans="1:14" x14ac:dyDescent="0.2">
      <c r="A5" s="463" t="s">
        <v>1049</v>
      </c>
      <c r="B5" s="470">
        <v>120</v>
      </c>
      <c r="C5" s="465">
        <v>789818</v>
      </c>
      <c r="D5" s="466">
        <v>19052</v>
      </c>
      <c r="E5" s="466">
        <v>353</v>
      </c>
      <c r="F5" s="466">
        <v>15885</v>
      </c>
      <c r="G5" s="466">
        <v>2197</v>
      </c>
      <c r="H5" s="466"/>
      <c r="I5" s="466">
        <v>43526</v>
      </c>
      <c r="J5" s="467">
        <v>34591</v>
      </c>
      <c r="K5" s="471">
        <v>4201</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1253136</v>
      </c>
      <c r="D13" s="1759">
        <f t="shared" ref="D13:L13" si="0">SUM(D4:D12)</f>
        <v>125943</v>
      </c>
      <c r="E13" s="1759">
        <f t="shared" si="0"/>
        <v>5684</v>
      </c>
      <c r="F13" s="1759">
        <f t="shared" si="0"/>
        <v>53727</v>
      </c>
      <c r="G13" s="1759">
        <f t="shared" si="0"/>
        <v>21732</v>
      </c>
      <c r="H13" s="1759">
        <f t="shared" si="0"/>
        <v>42603</v>
      </c>
      <c r="I13" s="1759">
        <f t="shared" si="0"/>
        <v>43710</v>
      </c>
      <c r="J13" s="1759">
        <f t="shared" si="0"/>
        <v>54768</v>
      </c>
      <c r="K13" s="1759">
        <f t="shared" si="0"/>
        <v>22643</v>
      </c>
      <c r="L13" s="1759">
        <f t="shared" si="0"/>
        <v>16011</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22962</v>
      </c>
      <c r="N16" s="484"/>
    </row>
    <row r="17" spans="1:14" s="485" customFormat="1" ht="12.75" customHeight="1" x14ac:dyDescent="0.2">
      <c r="A17" s="482" t="s">
        <v>1470</v>
      </c>
      <c r="B17" s="483">
        <v>230</v>
      </c>
      <c r="C17" s="477"/>
      <c r="D17" s="477"/>
      <c r="E17" s="477"/>
      <c r="F17" s="477"/>
      <c r="G17" s="477"/>
      <c r="H17" s="477"/>
      <c r="I17" s="477"/>
      <c r="J17" s="477"/>
      <c r="K17" s="477"/>
      <c r="L17" s="477"/>
      <c r="M17" s="467">
        <v>2182092</v>
      </c>
      <c r="N17" s="484"/>
    </row>
    <row r="18" spans="1:14" s="485" customFormat="1" ht="12.75" customHeight="1" x14ac:dyDescent="0.2">
      <c r="A18" s="482" t="s">
        <v>1471</v>
      </c>
      <c r="B18" s="483">
        <v>240</v>
      </c>
      <c r="C18" s="477"/>
      <c r="D18" s="477"/>
      <c r="E18" s="477"/>
      <c r="F18" s="477"/>
      <c r="G18" s="477"/>
      <c r="H18" s="477"/>
      <c r="I18" s="477"/>
      <c r="J18" s="477"/>
      <c r="K18" s="477"/>
      <c r="L18" s="477"/>
      <c r="M18" s="467">
        <v>173622</v>
      </c>
      <c r="N18" s="484"/>
    </row>
    <row r="19" spans="1:14" s="485" customFormat="1" ht="12.75" customHeight="1" x14ac:dyDescent="0.2">
      <c r="A19" s="482" t="s">
        <v>1472</v>
      </c>
      <c r="B19" s="483">
        <v>250</v>
      </c>
      <c r="C19" s="477"/>
      <c r="D19" s="477"/>
      <c r="E19" s="477"/>
      <c r="F19" s="477"/>
      <c r="G19" s="477"/>
      <c r="H19" s="477"/>
      <c r="I19" s="477"/>
      <c r="J19" s="477"/>
      <c r="K19" s="477"/>
      <c r="L19" s="477"/>
      <c r="M19" s="467">
        <v>160421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5684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54316</v>
      </c>
    </row>
    <row r="23" spans="1:14" ht="13.5" customHeight="1" thickBot="1" x14ac:dyDescent="0.25">
      <c r="A23" s="1758" t="s">
        <v>664</v>
      </c>
      <c r="B23" s="1763"/>
      <c r="C23" s="468"/>
      <c r="D23" s="468"/>
      <c r="E23" s="468"/>
      <c r="F23" s="468"/>
      <c r="G23" s="468"/>
      <c r="H23" s="468"/>
      <c r="I23" s="468"/>
      <c r="J23" s="468"/>
      <c r="K23" s="468"/>
      <c r="L23" s="468"/>
      <c r="M23" s="1710">
        <f>SUM(M15:M22)</f>
        <v>2539097</v>
      </c>
      <c r="N23" s="1710">
        <f>SUM(N21:N22)</f>
        <v>60000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54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16011</v>
      </c>
      <c r="M33" s="468"/>
      <c r="N33" s="469"/>
    </row>
    <row r="34" spans="1:14" ht="13.5" customHeight="1" thickBot="1" x14ac:dyDescent="0.25">
      <c r="A34" s="1760" t="s">
        <v>675</v>
      </c>
      <c r="B34" s="1761"/>
      <c r="C34" s="1762">
        <f>SUM(C25:C33)</f>
        <v>54</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16011</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60000</v>
      </c>
    </row>
    <row r="37" spans="1:14" ht="13.5" thickBot="1" x14ac:dyDescent="0.25">
      <c r="A37" s="1758" t="s">
        <v>674</v>
      </c>
      <c r="B37" s="1763"/>
      <c r="C37" s="477"/>
      <c r="D37" s="477"/>
      <c r="E37" s="477"/>
      <c r="F37" s="477"/>
      <c r="G37" s="477"/>
      <c r="H37" s="477"/>
      <c r="I37" s="477"/>
      <c r="J37" s="477"/>
      <c r="K37" s="477"/>
      <c r="L37" s="480"/>
      <c r="M37" s="468"/>
      <c r="N37" s="1710">
        <f>SUM(N36:N36)</f>
        <v>60000</v>
      </c>
    </row>
    <row r="38" spans="1:14" s="329" customFormat="1" ht="13.5" customHeight="1" thickTop="1" x14ac:dyDescent="0.2">
      <c r="A38" s="496" t="s">
        <v>440</v>
      </c>
      <c r="B38" s="483">
        <v>714</v>
      </c>
      <c r="C38" s="466">
        <v>8744</v>
      </c>
      <c r="D38" s="466">
        <v>0</v>
      </c>
      <c r="E38" s="466">
        <v>0</v>
      </c>
      <c r="F38" s="466">
        <v>0</v>
      </c>
      <c r="G38" s="466">
        <v>0</v>
      </c>
      <c r="H38" s="466">
        <v>42603</v>
      </c>
      <c r="I38" s="466">
        <v>0</v>
      </c>
      <c r="J38" s="466">
        <v>0</v>
      </c>
      <c r="K38" s="466">
        <v>0</v>
      </c>
      <c r="L38" s="466">
        <v>0</v>
      </c>
      <c r="M38" s="497"/>
      <c r="N38" s="497"/>
    </row>
    <row r="39" spans="1:14" s="329" customFormat="1" ht="13.5" customHeight="1" x14ac:dyDescent="0.2">
      <c r="A39" s="496" t="s">
        <v>360</v>
      </c>
      <c r="B39" s="483">
        <v>730</v>
      </c>
      <c r="C39" s="466">
        <f>'Acct Summary 7-8'!C81-C38</f>
        <v>1244338</v>
      </c>
      <c r="D39" s="466">
        <f>'Acct Summary 7-8'!D81-D38</f>
        <v>125943</v>
      </c>
      <c r="E39" s="466">
        <f>'Acct Summary 7-8'!E81-E38</f>
        <v>5684</v>
      </c>
      <c r="F39" s="466">
        <f>'Acct Summary 7-8'!F81-F38</f>
        <v>53727</v>
      </c>
      <c r="G39" s="466">
        <f>'Acct Summary 7-8'!G81-G38</f>
        <v>21732</v>
      </c>
      <c r="H39" s="466">
        <f>'Acct Summary 7-8'!H81-H38</f>
        <v>0</v>
      </c>
      <c r="I39" s="466">
        <f>'Acct Summary 7-8'!I81-I38</f>
        <v>43710</v>
      </c>
      <c r="J39" s="466">
        <f>'Acct Summary 7-8'!J81-J38</f>
        <v>54768</v>
      </c>
      <c r="K39" s="466">
        <f>'Acct Summary 7-8'!K81-K38</f>
        <v>22643</v>
      </c>
      <c r="L39" s="466">
        <f>'Acct Summary 7-8'!L81-L38</f>
        <v>0</v>
      </c>
      <c r="M39" s="497"/>
      <c r="N39" s="497"/>
    </row>
    <row r="40" spans="1:14" s="329" customFormat="1" ht="13.5" customHeight="1" x14ac:dyDescent="0.2">
      <c r="A40" s="498" t="s">
        <v>150</v>
      </c>
      <c r="B40" s="499"/>
      <c r="C40" s="500"/>
      <c r="D40" s="500"/>
      <c r="E40" s="500"/>
      <c r="F40" s="500"/>
      <c r="G40" s="500"/>
      <c r="H40" s="500"/>
      <c r="I40" s="500"/>
      <c r="J40" s="500"/>
      <c r="K40" s="500"/>
      <c r="L40" s="500"/>
      <c r="M40" s="467">
        <f>M23</f>
        <v>2539097</v>
      </c>
      <c r="N40" s="497"/>
    </row>
    <row r="41" spans="1:14" ht="13.5" customHeight="1" thickBot="1" x14ac:dyDescent="0.25">
      <c r="A41" s="1758" t="s">
        <v>676</v>
      </c>
      <c r="B41" s="1728"/>
      <c r="C41" s="1710">
        <f>(SUM(C34,C37,C38,C39))</f>
        <v>1253136</v>
      </c>
      <c r="D41" s="1710">
        <f t="shared" ref="D41:L41" si="2">SUM(D34,D37,D38:D39)</f>
        <v>125943</v>
      </c>
      <c r="E41" s="1710">
        <f t="shared" si="2"/>
        <v>5684</v>
      </c>
      <c r="F41" s="1710">
        <f t="shared" si="2"/>
        <v>53727</v>
      </c>
      <c r="G41" s="1710">
        <f t="shared" si="2"/>
        <v>21732</v>
      </c>
      <c r="H41" s="1710">
        <f t="shared" si="2"/>
        <v>42603</v>
      </c>
      <c r="I41" s="1710">
        <f t="shared" si="2"/>
        <v>43710</v>
      </c>
      <c r="J41" s="1710">
        <f t="shared" si="2"/>
        <v>54768</v>
      </c>
      <c r="K41" s="1710">
        <f t="shared" si="2"/>
        <v>22643</v>
      </c>
      <c r="L41" s="1710">
        <f t="shared" si="2"/>
        <v>16011</v>
      </c>
      <c r="M41" s="1710">
        <f>SUM(M40)</f>
        <v>2539097</v>
      </c>
      <c r="N41" s="1710">
        <f>SUM(N37)</f>
        <v>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notes are an intergral part of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8" zoomScaleNormal="98" zoomScaleSheetLayoutView="100" workbookViewId="0">
      <pane ySplit="2" topLeftCell="A69" activePane="bottomLeft" state="frozenSplit"/>
      <selection activeCell="A47" sqref="A47"/>
      <selection pane="bottomLeft" activeCell="D81" sqref="D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239279</v>
      </c>
      <c r="D4" s="1764">
        <f>'Revenues 9-14'!D109</f>
        <v>99610</v>
      </c>
      <c r="E4" s="1764">
        <f>'Revenues 9-14'!E109</f>
        <v>63165</v>
      </c>
      <c r="F4" s="1764">
        <f>'Revenues 9-14'!F109</f>
        <v>19538</v>
      </c>
      <c r="G4" s="1764">
        <f>'Revenues 9-14'!G109</f>
        <v>79674</v>
      </c>
      <c r="H4" s="1764">
        <f>'Revenues 9-14'!H109</f>
        <v>52999</v>
      </c>
      <c r="I4" s="1764">
        <f>'Revenues 9-14'!I109</f>
        <v>8387</v>
      </c>
      <c r="J4" s="1764">
        <f>'Revenues 9-14'!J109</f>
        <v>48455</v>
      </c>
      <c r="K4" s="1764">
        <f>'Revenues 9-14'!K109</f>
        <v>8017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1604154</v>
      </c>
      <c r="D6" s="1765">
        <f>'Revenues 9-14'!D173</f>
        <v>0</v>
      </c>
      <c r="E6" s="1765">
        <f>'Revenues 9-14'!E173</f>
        <v>0</v>
      </c>
      <c r="F6" s="1765">
        <f>'Revenues 9-14'!F173</f>
        <v>118865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339624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2183057</v>
      </c>
      <c r="D8" s="1710">
        <f t="shared" ref="D8:K8" si="0">SUM(D4:D7)</f>
        <v>99610</v>
      </c>
      <c r="E8" s="1710">
        <f t="shared" si="0"/>
        <v>63165</v>
      </c>
      <c r="F8" s="1710">
        <f t="shared" si="0"/>
        <v>138403</v>
      </c>
      <c r="G8" s="1710">
        <f t="shared" si="0"/>
        <v>79674</v>
      </c>
      <c r="H8" s="1710">
        <f t="shared" si="0"/>
        <v>52999</v>
      </c>
      <c r="I8" s="1710">
        <f t="shared" si="0"/>
        <v>8387</v>
      </c>
      <c r="J8" s="1710">
        <f t="shared" si="0"/>
        <v>48455</v>
      </c>
      <c r="K8" s="1710">
        <f t="shared" si="0"/>
        <v>8017</v>
      </c>
      <c r="L8" s="347"/>
    </row>
    <row r="9" spans="1:13" ht="15.75" thickTop="1" x14ac:dyDescent="0.2">
      <c r="A9" s="514" t="s">
        <v>1752</v>
      </c>
      <c r="B9" s="515">
        <v>3998</v>
      </c>
      <c r="C9" s="481">
        <v>102066</v>
      </c>
      <c r="D9" s="516"/>
      <c r="E9" s="481"/>
      <c r="F9" s="481"/>
      <c r="G9" s="517"/>
      <c r="H9" s="481"/>
      <c r="I9" s="509" t="s">
        <v>1231</v>
      </c>
      <c r="J9" s="478"/>
      <c r="K9" s="481"/>
      <c r="L9" s="347"/>
    </row>
    <row r="10" spans="1:13" s="519" customFormat="1" ht="13.5" thickBot="1" x14ac:dyDescent="0.25">
      <c r="A10" s="1758" t="s">
        <v>1235</v>
      </c>
      <c r="B10" s="1731"/>
      <c r="C10" s="1710">
        <f>SUM(C8:C9)</f>
        <v>2285123</v>
      </c>
      <c r="D10" s="1710">
        <f t="shared" ref="D10:K10" si="1">SUM(D8:D9)</f>
        <v>99610</v>
      </c>
      <c r="E10" s="1710">
        <f t="shared" si="1"/>
        <v>63165</v>
      </c>
      <c r="F10" s="1710">
        <f t="shared" si="1"/>
        <v>138403</v>
      </c>
      <c r="G10" s="1710">
        <f t="shared" si="1"/>
        <v>79674</v>
      </c>
      <c r="H10" s="1710">
        <f t="shared" si="1"/>
        <v>52999</v>
      </c>
      <c r="I10" s="1710">
        <f t="shared" si="1"/>
        <v>8387</v>
      </c>
      <c r="J10" s="1710">
        <f t="shared" si="1"/>
        <v>48455</v>
      </c>
      <c r="K10" s="1710">
        <f t="shared" si="1"/>
        <v>8017</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1245623</v>
      </c>
      <c r="D12" s="520" t="s">
        <v>1231</v>
      </c>
      <c r="E12" s="468" t="s">
        <v>1231</v>
      </c>
      <c r="F12" s="468" t="s">
        <v>1231</v>
      </c>
      <c r="G12" s="1764">
        <f>'Expenditures 15-22'!K229</f>
        <v>31973</v>
      </c>
      <c r="H12" s="521"/>
      <c r="I12" s="468" t="s">
        <v>1231</v>
      </c>
      <c r="J12" s="468" t="s">
        <v>1231</v>
      </c>
      <c r="K12" s="521" t="s">
        <v>1231</v>
      </c>
      <c r="L12" s="347"/>
    </row>
    <row r="13" spans="1:13" ht="15.75" customHeight="1" x14ac:dyDescent="0.2">
      <c r="A13" s="1598" t="s">
        <v>477</v>
      </c>
      <c r="B13" s="1600">
        <v>2000</v>
      </c>
      <c r="C13" s="1765">
        <f>'Expenditures 15-22'!K74</f>
        <v>603227</v>
      </c>
      <c r="D13" s="1765">
        <f>'Expenditures 15-22'!K129</f>
        <v>96518</v>
      </c>
      <c r="E13" s="469" t="s">
        <v>1231</v>
      </c>
      <c r="F13" s="1765">
        <f>'Expenditures 15-22'!K184</f>
        <v>204623</v>
      </c>
      <c r="G13" s="1765">
        <f>'Expenditures 15-22'!K279</f>
        <v>41513</v>
      </c>
      <c r="H13" s="1765">
        <f>'Expenditures 15-22'!K303</f>
        <v>10396</v>
      </c>
      <c r="I13" s="468" t="s">
        <v>1231</v>
      </c>
      <c r="J13" s="1765">
        <f>'Expenditures 15-22'!K330</f>
        <v>35864</v>
      </c>
      <c r="K13" s="1769">
        <f>'Expenditures 15-22'!K352</f>
        <v>0</v>
      </c>
      <c r="L13" s="347"/>
    </row>
    <row r="14" spans="1:13" ht="15.75" customHeight="1" x14ac:dyDescent="0.2">
      <c r="A14" s="1598" t="s">
        <v>469</v>
      </c>
      <c r="B14" s="1600">
        <v>3000</v>
      </c>
      <c r="C14" s="1765">
        <f>'Expenditures 15-22'!K75</f>
        <v>972</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294326</v>
      </c>
      <c r="D15" s="1765">
        <f>'Expenditures 15-22'!K139</f>
        <v>29670</v>
      </c>
      <c r="E15" s="1765">
        <f>'Expenditures 15-22'!K160</f>
        <v>0</v>
      </c>
      <c r="F15" s="1765">
        <f>'Expenditures 15-22'!K196</f>
        <v>0</v>
      </c>
      <c r="G15" s="1765">
        <f>'Expenditures 15-22'!K285</f>
        <v>3190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1350</v>
      </c>
      <c r="D16" s="1765">
        <f>'Expenditures 15-22'!K149</f>
        <v>0</v>
      </c>
      <c r="E16" s="1765">
        <f>'Expenditures 15-22'!K172</f>
        <v>63200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2145498</v>
      </c>
      <c r="D17" s="1710">
        <f t="shared" si="2"/>
        <v>126188</v>
      </c>
      <c r="E17" s="1710">
        <f t="shared" si="2"/>
        <v>63200</v>
      </c>
      <c r="F17" s="1710">
        <f t="shared" si="2"/>
        <v>204623</v>
      </c>
      <c r="G17" s="1710">
        <f t="shared" si="2"/>
        <v>76676</v>
      </c>
      <c r="H17" s="1710">
        <f t="shared" si="2"/>
        <v>10396</v>
      </c>
      <c r="I17" s="468"/>
      <c r="J17" s="1710">
        <f>SUM(J12:J16)</f>
        <v>35864</v>
      </c>
      <c r="K17" s="1710">
        <f>SUM(K12:K16)</f>
        <v>0</v>
      </c>
      <c r="L17" s="347"/>
    </row>
    <row r="18" spans="1:12" ht="15" customHeight="1" thickTop="1" x14ac:dyDescent="0.2">
      <c r="A18" s="1766" t="s">
        <v>1753</v>
      </c>
      <c r="B18" s="1767">
        <v>4180</v>
      </c>
      <c r="C18" s="1764">
        <f t="shared" ref="C18:H18" si="3">C9</f>
        <v>102066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2247564</v>
      </c>
      <c r="D19" s="1710">
        <f t="shared" si="4"/>
        <v>126188</v>
      </c>
      <c r="E19" s="1710">
        <f t="shared" si="4"/>
        <v>63200</v>
      </c>
      <c r="F19" s="1710">
        <f t="shared" si="4"/>
        <v>204623</v>
      </c>
      <c r="G19" s="1710">
        <f t="shared" si="4"/>
        <v>76676</v>
      </c>
      <c r="H19" s="1710">
        <f t="shared" si="4"/>
        <v>10396</v>
      </c>
      <c r="I19" s="468"/>
      <c r="J19" s="1710">
        <f>SUM(J17:J18)</f>
        <v>35864</v>
      </c>
      <c r="K19" s="1710">
        <f>SUM(K17:K18)</f>
        <v>0</v>
      </c>
      <c r="L19" s="347"/>
    </row>
    <row r="20" spans="1:12" ht="16.5" thickTop="1" thickBot="1" x14ac:dyDescent="0.25">
      <c r="A20" s="2145" t="s">
        <v>1754</v>
      </c>
      <c r="B20" s="2146"/>
      <c r="C20" s="1768">
        <f>C8-C17</f>
        <v>37559</v>
      </c>
      <c r="D20" s="1768">
        <f t="shared" ref="D20:K20" si="5">D8-D17</f>
        <v>-26578</v>
      </c>
      <c r="E20" s="1768">
        <f t="shared" si="5"/>
        <v>-35</v>
      </c>
      <c r="F20" s="1768">
        <f t="shared" si="5"/>
        <v>-66220</v>
      </c>
      <c r="G20" s="1768">
        <f t="shared" si="5"/>
        <v>2998</v>
      </c>
      <c r="H20" s="1768">
        <f t="shared" si="5"/>
        <v>42603</v>
      </c>
      <c r="I20" s="1768">
        <f t="shared" si="5"/>
        <v>8387</v>
      </c>
      <c r="J20" s="1768">
        <f t="shared" si="5"/>
        <v>12591</v>
      </c>
      <c r="K20" s="1768">
        <f t="shared" si="5"/>
        <v>8017</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15000</v>
      </c>
      <c r="D25" s="467">
        <v>88000</v>
      </c>
      <c r="E25" s="467"/>
      <c r="F25" s="467">
        <v>60000</v>
      </c>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15000</v>
      </c>
      <c r="D44" s="1725">
        <f t="shared" ref="D44:K44" si="6">SUM(D24:D43)</f>
        <v>88000</v>
      </c>
      <c r="E44" s="1725">
        <f t="shared" si="6"/>
        <v>0</v>
      </c>
      <c r="F44" s="1725">
        <f t="shared" si="6"/>
        <v>60000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163000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163000</v>
      </c>
      <c r="J76" s="1725">
        <f t="shared" si="7"/>
        <v>0</v>
      </c>
      <c r="K76" s="1725">
        <f t="shared" si="7"/>
        <v>0</v>
      </c>
      <c r="L76" s="524"/>
    </row>
    <row r="77" spans="1:12" ht="14.25" thickTop="1" thickBot="1" x14ac:dyDescent="0.25">
      <c r="A77" s="2137" t="s">
        <v>1239</v>
      </c>
      <c r="B77" s="2138"/>
      <c r="C77" s="1725">
        <f t="shared" ref="C77:K77" si="8">C44-C76</f>
        <v>15000</v>
      </c>
      <c r="D77" s="1725">
        <f t="shared" si="8"/>
        <v>88000</v>
      </c>
      <c r="E77" s="1725">
        <f t="shared" si="8"/>
        <v>0</v>
      </c>
      <c r="F77" s="1725">
        <f t="shared" si="8"/>
        <v>60000</v>
      </c>
      <c r="G77" s="1725">
        <f t="shared" si="8"/>
        <v>0</v>
      </c>
      <c r="H77" s="1725">
        <f t="shared" si="8"/>
        <v>0</v>
      </c>
      <c r="I77" s="1725">
        <f t="shared" si="8"/>
        <v>-163000</v>
      </c>
      <c r="J77" s="1725">
        <f t="shared" si="8"/>
        <v>0</v>
      </c>
      <c r="K77" s="1725">
        <f t="shared" si="8"/>
        <v>0</v>
      </c>
      <c r="L77" s="347"/>
    </row>
    <row r="78" spans="1:12" ht="21.75" customHeight="1" thickTop="1" thickBot="1" x14ac:dyDescent="0.25">
      <c r="A78" s="2141" t="s">
        <v>618</v>
      </c>
      <c r="B78" s="2142"/>
      <c r="C78" s="1724">
        <f t="shared" ref="C78:K78" si="9">C20+C77</f>
        <v>52559</v>
      </c>
      <c r="D78" s="1724">
        <f t="shared" si="9"/>
        <v>61422</v>
      </c>
      <c r="E78" s="1724">
        <f t="shared" si="9"/>
        <v>-35</v>
      </c>
      <c r="F78" s="1724">
        <f t="shared" si="9"/>
        <v>-6220</v>
      </c>
      <c r="G78" s="1724">
        <f t="shared" si="9"/>
        <v>2998</v>
      </c>
      <c r="H78" s="1724">
        <f t="shared" si="9"/>
        <v>42603</v>
      </c>
      <c r="I78" s="1724">
        <f t="shared" si="9"/>
        <v>-154613</v>
      </c>
      <c r="J78" s="1724">
        <f t="shared" si="9"/>
        <v>12591</v>
      </c>
      <c r="K78" s="1724">
        <f t="shared" si="9"/>
        <v>8017</v>
      </c>
      <c r="L78" s="533"/>
    </row>
    <row r="79" spans="1:12" ht="13.5" thickTop="1" x14ac:dyDescent="0.2">
      <c r="A79" s="1516" t="s">
        <v>2073</v>
      </c>
      <c r="B79" s="534"/>
      <c r="C79" s="478">
        <v>1200523</v>
      </c>
      <c r="D79" s="535">
        <v>64521</v>
      </c>
      <c r="E79" s="535">
        <v>5719</v>
      </c>
      <c r="F79" s="535">
        <v>59947</v>
      </c>
      <c r="G79" s="535">
        <v>18734</v>
      </c>
      <c r="H79" s="535">
        <v>0</v>
      </c>
      <c r="I79" s="535">
        <v>198323</v>
      </c>
      <c r="J79" s="535">
        <v>42177</v>
      </c>
      <c r="K79" s="535">
        <v>14626</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1253082</v>
      </c>
      <c r="D81" s="1710">
        <f>SUM(D78:D80)</f>
        <v>125943</v>
      </c>
      <c r="E81" s="1710">
        <f t="shared" ref="E81:K81" si="10">SUM(E78:E80)</f>
        <v>5684</v>
      </c>
      <c r="F81" s="1710">
        <f t="shared" si="10"/>
        <v>53727</v>
      </c>
      <c r="G81" s="1710">
        <f t="shared" si="10"/>
        <v>21732</v>
      </c>
      <c r="H81" s="1710">
        <f t="shared" si="10"/>
        <v>42603</v>
      </c>
      <c r="I81" s="1710">
        <f t="shared" si="10"/>
        <v>43710</v>
      </c>
      <c r="J81" s="1710">
        <f t="shared" si="10"/>
        <v>54768</v>
      </c>
      <c r="K81" s="1710">
        <f t="shared" si="10"/>
        <v>22643</v>
      </c>
      <c r="L81" s="347"/>
    </row>
    <row r="82" spans="1:12" ht="0.75" customHeight="1" thickTop="1" thickBot="1" x14ac:dyDescent="0.25">
      <c r="A82" s="536" t="s">
        <v>361</v>
      </c>
      <c r="B82" s="537"/>
      <c r="C82" s="538">
        <f>(C81-C79)</f>
        <v>52559</v>
      </c>
      <c r="D82" s="538">
        <f t="shared" ref="D82:K82" si="11">(D81-D79)</f>
        <v>61422</v>
      </c>
      <c r="E82" s="538">
        <f t="shared" si="11"/>
        <v>-35</v>
      </c>
      <c r="F82" s="538">
        <f t="shared" si="11"/>
        <v>-6220</v>
      </c>
      <c r="G82" s="538">
        <f t="shared" si="11"/>
        <v>2998</v>
      </c>
      <c r="H82" s="538">
        <f t="shared" si="11"/>
        <v>42603</v>
      </c>
      <c r="I82" s="538">
        <f t="shared" si="11"/>
        <v>-154613</v>
      </c>
      <c r="J82" s="538">
        <f t="shared" si="11"/>
        <v>12591</v>
      </c>
      <c r="K82" s="538">
        <f t="shared" si="11"/>
        <v>8017</v>
      </c>
    </row>
    <row r="83" spans="1:12" ht="14.25" hidden="1" thickTop="1" thickBot="1" x14ac:dyDescent="0.25">
      <c r="A83" s="539" t="s">
        <v>362</v>
      </c>
      <c r="B83" s="464"/>
      <c r="C83" s="540">
        <f>C82/C81</f>
        <v>4.194378340763015E-2</v>
      </c>
      <c r="D83" s="540">
        <f t="shared" ref="D83:K83" si="12">D82/D81</f>
        <v>0.48769681522593555</v>
      </c>
      <c r="E83" s="540">
        <f t="shared" si="12"/>
        <v>-6.1576354679802959E-3</v>
      </c>
      <c r="F83" s="540">
        <f t="shared" si="12"/>
        <v>-0.11577046922404005</v>
      </c>
      <c r="G83" s="540">
        <f t="shared" si="12"/>
        <v>0.1379532486655623</v>
      </c>
      <c r="H83" s="540">
        <f t="shared" si="12"/>
        <v>1</v>
      </c>
      <c r="I83" s="540">
        <f t="shared" si="12"/>
        <v>-3.5372454815831618</v>
      </c>
      <c r="J83" s="540">
        <f t="shared" si="12"/>
        <v>0.22989702015775634</v>
      </c>
      <c r="K83" s="540">
        <f t="shared" si="12"/>
        <v>0.35406085766020401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notes are an intergral part of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8" zoomScaleNormal="98"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187373</v>
      </c>
      <c r="D5" s="481">
        <v>40484</v>
      </c>
      <c r="E5" s="466">
        <v>63165</v>
      </c>
      <c r="F5" s="548">
        <v>19432</v>
      </c>
      <c r="G5" s="466">
        <v>43491</v>
      </c>
      <c r="H5" s="466"/>
      <c r="I5" s="466">
        <v>8097</v>
      </c>
      <c r="J5" s="467">
        <v>48224</v>
      </c>
      <c r="K5" s="466">
        <v>7989</v>
      </c>
    </row>
    <row r="6" spans="1:12" ht="15" x14ac:dyDescent="0.2">
      <c r="A6" s="463" t="s">
        <v>1761</v>
      </c>
      <c r="B6" s="470">
        <v>1130</v>
      </c>
      <c r="C6" s="466">
        <v>7988</v>
      </c>
      <c r="D6" s="466"/>
      <c r="E6" s="475"/>
      <c r="F6" s="475"/>
      <c r="G6" s="468"/>
      <c r="H6" s="468"/>
      <c r="I6" s="468"/>
      <c r="J6" s="468"/>
      <c r="K6" s="468"/>
    </row>
    <row r="7" spans="1:12" x14ac:dyDescent="0.2">
      <c r="A7" s="463" t="s">
        <v>112</v>
      </c>
      <c r="B7" s="549">
        <v>1140</v>
      </c>
      <c r="C7" s="466">
        <v>3239</v>
      </c>
      <c r="D7" s="466"/>
      <c r="E7" s="468"/>
      <c r="F7" s="467"/>
      <c r="G7" s="467"/>
      <c r="H7" s="467"/>
      <c r="I7" s="468"/>
      <c r="J7" s="468"/>
      <c r="K7" s="468"/>
    </row>
    <row r="8" spans="1:12" x14ac:dyDescent="0.2">
      <c r="A8" s="463" t="s">
        <v>433</v>
      </c>
      <c r="B8" s="470">
        <v>1150</v>
      </c>
      <c r="C8" s="475"/>
      <c r="D8" s="475"/>
      <c r="E8" s="477"/>
      <c r="F8" s="477"/>
      <c r="G8" s="481">
        <v>35503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198600</v>
      </c>
      <c r="D12" s="1729">
        <f t="shared" si="0"/>
        <v>40484</v>
      </c>
      <c r="E12" s="1729">
        <f t="shared" si="0"/>
        <v>63165</v>
      </c>
      <c r="F12" s="1729">
        <f t="shared" si="0"/>
        <v>19432</v>
      </c>
      <c r="G12" s="1729">
        <f t="shared" si="0"/>
        <v>78994</v>
      </c>
      <c r="H12" s="1729">
        <f t="shared" si="0"/>
        <v>0</v>
      </c>
      <c r="I12" s="1729">
        <f t="shared" si="0"/>
        <v>8097</v>
      </c>
      <c r="J12" s="1729">
        <f t="shared" si="0"/>
        <v>48224</v>
      </c>
      <c r="K12" s="1710">
        <f t="shared" si="0"/>
        <v>7989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44655</v>
      </c>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44655</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10989</v>
      </c>
      <c r="D65" s="466">
        <v>127</v>
      </c>
      <c r="E65" s="466"/>
      <c r="F65" s="467">
        <v>106</v>
      </c>
      <c r="G65" s="466">
        <v>680</v>
      </c>
      <c r="H65" s="466"/>
      <c r="I65" s="466">
        <v>290</v>
      </c>
      <c r="J65" s="467">
        <v>231</v>
      </c>
      <c r="K65" s="466">
        <v>28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10989</v>
      </c>
      <c r="D67" s="1710">
        <f t="shared" ref="D67:K67" si="2">SUM(D65:D66)</f>
        <v>127</v>
      </c>
      <c r="E67" s="1710">
        <f t="shared" si="2"/>
        <v>0</v>
      </c>
      <c r="F67" s="1710">
        <f t="shared" si="2"/>
        <v>106</v>
      </c>
      <c r="G67" s="1710">
        <f t="shared" si="2"/>
        <v>680</v>
      </c>
      <c r="H67" s="1710">
        <f t="shared" si="2"/>
        <v>0</v>
      </c>
      <c r="I67" s="1710">
        <f t="shared" si="2"/>
        <v>290</v>
      </c>
      <c r="J67" s="1710">
        <f t="shared" si="2"/>
        <v>231</v>
      </c>
      <c r="K67" s="1710">
        <f t="shared" si="2"/>
        <v>28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247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537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784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114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114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234</v>
      </c>
      <c r="D95" s="551">
        <v>14344</v>
      </c>
      <c r="E95" s="521"/>
      <c r="F95" s="521"/>
      <c r="G95" s="521"/>
      <c r="H95" s="521"/>
      <c r="I95" s="521"/>
      <c r="J95" s="521"/>
      <c r="K95" s="521"/>
    </row>
    <row r="96" spans="1:11" ht="12.75" customHeight="1" x14ac:dyDescent="0.2">
      <c r="A96" s="463" t="s">
        <v>409</v>
      </c>
      <c r="B96" s="470">
        <v>1920</v>
      </c>
      <c r="C96" s="551">
        <v>249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2099</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52999</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26210</v>
      </c>
      <c r="D107" s="466"/>
      <c r="E107" s="466"/>
      <c r="F107" s="466"/>
      <c r="G107" s="466"/>
      <c r="H107" s="466"/>
      <c r="I107" s="466"/>
      <c r="J107" s="467"/>
      <c r="K107" s="466"/>
    </row>
    <row r="108" spans="1:12" ht="12.75" customHeight="1" thickBot="1" x14ac:dyDescent="0.25">
      <c r="A108" s="1730" t="s">
        <v>508</v>
      </c>
      <c r="B108" s="1734"/>
      <c r="C108" s="1729">
        <f>SUM(C95:C107)</f>
        <v>28792</v>
      </c>
      <c r="D108" s="1729">
        <f t="shared" ref="D108:K108" si="3">SUM(D95:D107)</f>
        <v>14344</v>
      </c>
      <c r="E108" s="1729">
        <f t="shared" si="3"/>
        <v>0</v>
      </c>
      <c r="F108" s="1729">
        <f t="shared" si="3"/>
        <v>0</v>
      </c>
      <c r="G108" s="1729">
        <f t="shared" si="3"/>
        <v>0</v>
      </c>
      <c r="H108" s="1729">
        <f t="shared" si="3"/>
        <v>52999</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239279</v>
      </c>
      <c r="D109" s="1737">
        <f t="shared" si="4"/>
        <v>99610</v>
      </c>
      <c r="E109" s="1737">
        <f t="shared" si="4"/>
        <v>63165</v>
      </c>
      <c r="F109" s="1737">
        <f t="shared" si="4"/>
        <v>19538</v>
      </c>
      <c r="G109" s="1737">
        <f t="shared" si="4"/>
        <v>79674</v>
      </c>
      <c r="H109" s="1737">
        <f t="shared" si="4"/>
        <v>52999</v>
      </c>
      <c r="I109" s="1737">
        <f t="shared" si="4"/>
        <v>8387</v>
      </c>
      <c r="J109" s="1737">
        <f t="shared" si="4"/>
        <v>48455</v>
      </c>
      <c r="K109" s="1724">
        <f t="shared" si="4"/>
        <v>8017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1429411</v>
      </c>
      <c r="D117" s="481"/>
      <c r="E117" s="466"/>
      <c r="F117" s="481">
        <v>25000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1429411</v>
      </c>
      <c r="D121" s="1729">
        <f t="shared" si="5"/>
        <v>0</v>
      </c>
      <c r="E121" s="1729">
        <f t="shared" si="5"/>
        <v>0</v>
      </c>
      <c r="F121" s="1729">
        <f t="shared" si="5"/>
        <v>25000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6574</v>
      </c>
      <c r="D124" s="561"/>
      <c r="E124" s="468"/>
      <c r="F124" s="548"/>
      <c r="G124" s="468"/>
      <c r="H124" s="468"/>
      <c r="I124" s="468"/>
      <c r="J124" s="468"/>
      <c r="K124" s="468"/>
    </row>
    <row r="125" spans="1:11" ht="12.75" customHeight="1" x14ac:dyDescent="0.2">
      <c r="A125" s="463" t="s">
        <v>1521</v>
      </c>
      <c r="B125" s="562">
        <v>3105</v>
      </c>
      <c r="C125" s="466">
        <v>17863</v>
      </c>
      <c r="D125" s="561"/>
      <c r="E125" s="468"/>
      <c r="F125" s="466"/>
      <c r="G125" s="468"/>
      <c r="H125" s="468"/>
      <c r="I125" s="468"/>
      <c r="J125" s="468"/>
      <c r="K125" s="468"/>
    </row>
    <row r="126" spans="1:11" ht="12.75" customHeight="1" x14ac:dyDescent="0.2">
      <c r="A126" s="463" t="s">
        <v>922</v>
      </c>
      <c r="B126" s="562">
        <v>3110</v>
      </c>
      <c r="C126" s="551">
        <v>14370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1079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39886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2694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55910</v>
      </c>
      <c r="G151" s="467"/>
      <c r="H151" s="468"/>
      <c r="I151" s="468"/>
      <c r="J151" s="468"/>
      <c r="K151" s="468"/>
    </row>
    <row r="152" spans="1:11" ht="12.75" customHeight="1" x14ac:dyDescent="0.2">
      <c r="A152" s="463" t="s">
        <v>1117</v>
      </c>
      <c r="B152" s="562">
        <v>3510</v>
      </c>
      <c r="C152" s="551"/>
      <c r="D152" s="466"/>
      <c r="E152" s="561"/>
      <c r="F152" s="466">
        <v>37955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93865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105406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26757</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174743</v>
      </c>
      <c r="D172" s="1744">
        <f t="shared" si="6"/>
        <v>0</v>
      </c>
      <c r="E172" s="1744">
        <f t="shared" si="6"/>
        <v>0</v>
      </c>
      <c r="F172" s="1744">
        <f t="shared" si="6"/>
        <v>93865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1604154</v>
      </c>
      <c r="D173" s="1737">
        <f>SUM(D121,D172)</f>
        <v>0</v>
      </c>
      <c r="E173" s="1737">
        <f>SUM(E121,E172)</f>
        <v>0</v>
      </c>
      <c r="F173" s="1737">
        <f t="shared" ref="F173:K173" si="7">SUM(F121,F172)</f>
        <v>118865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104162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45234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6692</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156088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136557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136557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8195</v>
      </c>
      <c r="D220" s="466"/>
      <c r="E220" s="468"/>
      <c r="F220" s="466"/>
      <c r="G220" s="466"/>
      <c r="H220" s="468"/>
      <c r="I220" s="468"/>
      <c r="J220" s="468"/>
      <c r="K220" s="468"/>
    </row>
    <row r="221" spans="1:11" ht="12.75" customHeight="1" x14ac:dyDescent="0.2">
      <c r="A221" s="463" t="s">
        <v>1114</v>
      </c>
      <c r="B221" s="470">
        <v>4625</v>
      </c>
      <c r="C221" s="551">
        <v>1516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9711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8538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5549</v>
      </c>
      <c r="D270" s="576"/>
      <c r="E270" s="468"/>
      <c r="F270" s="576"/>
      <c r="G270" s="576"/>
      <c r="H270" s="468"/>
      <c r="I270" s="468"/>
      <c r="J270" s="468"/>
      <c r="K270" s="468"/>
    </row>
    <row r="271" spans="1:11" ht="12.75" customHeight="1" thickTop="1" thickBot="1" x14ac:dyDescent="0.25">
      <c r="A271" s="463" t="s">
        <v>395</v>
      </c>
      <c r="B271" s="470">
        <v>4992</v>
      </c>
      <c r="C271" s="575">
        <v>23181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339624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339624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2183057</v>
      </c>
      <c r="D275" s="1737">
        <f t="shared" si="12"/>
        <v>99610</v>
      </c>
      <c r="E275" s="1737">
        <f t="shared" si="12"/>
        <v>63165</v>
      </c>
      <c r="F275" s="1737">
        <f t="shared" si="12"/>
        <v>138403</v>
      </c>
      <c r="G275" s="1737">
        <f t="shared" si="12"/>
        <v>79674</v>
      </c>
      <c r="H275" s="1737">
        <f t="shared" si="12"/>
        <v>52999</v>
      </c>
      <c r="I275" s="1737">
        <f t="shared" si="12"/>
        <v>8387</v>
      </c>
      <c r="J275" s="1737">
        <f t="shared" si="12"/>
        <v>48455</v>
      </c>
      <c r="K275" s="1724">
        <f t="shared" si="12"/>
        <v>8017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notes are an intergral part of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8" zoomScaleNormal="98" workbookViewId="0">
      <pane ySplit="2" topLeftCell="A39" activePane="bottomLeft" state="frozen"/>
      <selection activeCell="A47" sqref="A47"/>
      <selection pane="bottomLeft" activeCell="F50" sqref="F5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710459</v>
      </c>
      <c r="D5" s="466">
        <v>87063</v>
      </c>
      <c r="E5" s="466">
        <v>51430</v>
      </c>
      <c r="F5" s="466">
        <v>30783</v>
      </c>
      <c r="G5" s="466">
        <v>17855</v>
      </c>
      <c r="H5" s="466">
        <v>9800</v>
      </c>
      <c r="I5" s="467">
        <v>1424</v>
      </c>
      <c r="J5" s="467"/>
      <c r="K5" s="1693">
        <f>SUM(C5:J5)</f>
        <v>908814</v>
      </c>
      <c r="L5" s="466">
        <v>1003127</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66635</v>
      </c>
      <c r="D7" s="467">
        <v>13645</v>
      </c>
      <c r="E7" s="467"/>
      <c r="F7" s="467"/>
      <c r="G7" s="467"/>
      <c r="H7" s="467"/>
      <c r="I7" s="467"/>
      <c r="J7" s="467"/>
      <c r="K7" s="1693">
        <f t="shared" ref="K7:K32" si="0">SUM(C7:J7)</f>
        <v>80280</v>
      </c>
      <c r="L7" s="466">
        <v>75143</v>
      </c>
    </row>
    <row r="8" spans="1:14" x14ac:dyDescent="0.2">
      <c r="A8" s="1526" t="s">
        <v>166</v>
      </c>
      <c r="B8" s="615">
        <v>1200</v>
      </c>
      <c r="C8" s="466">
        <v>148815</v>
      </c>
      <c r="D8" s="466">
        <v>26597</v>
      </c>
      <c r="E8" s="466"/>
      <c r="F8" s="466"/>
      <c r="G8" s="466"/>
      <c r="H8" s="466"/>
      <c r="I8" s="467"/>
      <c r="J8" s="467"/>
      <c r="K8" s="1693">
        <f t="shared" si="0"/>
        <v>175412</v>
      </c>
      <c r="L8" s="466">
        <v>184886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39431</v>
      </c>
      <c r="D10" s="466">
        <v>13834</v>
      </c>
      <c r="E10" s="466">
        <v>8745</v>
      </c>
      <c r="F10" s="466">
        <v>1184</v>
      </c>
      <c r="G10" s="466">
        <v>4250</v>
      </c>
      <c r="H10" s="466"/>
      <c r="I10" s="467"/>
      <c r="J10" s="467"/>
      <c r="K10" s="1693">
        <f t="shared" si="0"/>
        <v>67444</v>
      </c>
      <c r="L10" s="466">
        <v>67800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11164</v>
      </c>
      <c r="D14" s="466">
        <v>122</v>
      </c>
      <c r="E14" s="466">
        <v>2020</v>
      </c>
      <c r="F14" s="466">
        <v>312</v>
      </c>
      <c r="G14" s="466"/>
      <c r="H14" s="466">
        <v>55</v>
      </c>
      <c r="I14" s="467"/>
      <c r="J14" s="467"/>
      <c r="K14" s="1693">
        <f t="shared" si="0"/>
        <v>13673</v>
      </c>
      <c r="L14" s="466">
        <v>15690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976504</v>
      </c>
      <c r="D33" s="1692">
        <f t="shared" ref="D33:L33" si="1">SUM(D5:D32)</f>
        <v>141261</v>
      </c>
      <c r="E33" s="1692">
        <f t="shared" si="1"/>
        <v>62195</v>
      </c>
      <c r="F33" s="1692">
        <f t="shared" si="1"/>
        <v>32279</v>
      </c>
      <c r="G33" s="1692">
        <f t="shared" si="1"/>
        <v>22105</v>
      </c>
      <c r="H33" s="1692">
        <f t="shared" si="1"/>
        <v>9855</v>
      </c>
      <c r="I33" s="1692">
        <f t="shared" si="1"/>
        <v>1424</v>
      </c>
      <c r="J33" s="1692">
        <f t="shared" si="1"/>
        <v>0</v>
      </c>
      <c r="K33" s="1692">
        <f t="shared" si="1"/>
        <v>1245623</v>
      </c>
      <c r="L33" s="1692">
        <f t="shared" si="1"/>
        <v>1346646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49904</v>
      </c>
      <c r="D36" s="481">
        <v>5630</v>
      </c>
      <c r="E36" s="481">
        <v>22165</v>
      </c>
      <c r="F36" s="481"/>
      <c r="G36" s="481"/>
      <c r="H36" s="481"/>
      <c r="I36" s="467"/>
      <c r="J36" s="467"/>
      <c r="K36" s="1693">
        <f t="shared" ref="K36:K41" si="2">SUM(C36:J36)</f>
        <v>77699</v>
      </c>
      <c r="L36" s="466">
        <v>60447</v>
      </c>
    </row>
    <row r="37" spans="1:14" x14ac:dyDescent="0.2">
      <c r="A37" s="1526" t="s">
        <v>1151</v>
      </c>
      <c r="B37" s="615">
        <v>2120</v>
      </c>
      <c r="C37" s="466"/>
      <c r="D37" s="466"/>
      <c r="E37" s="466">
        <v>9071</v>
      </c>
      <c r="F37" s="466"/>
      <c r="G37" s="466"/>
      <c r="H37" s="466"/>
      <c r="I37" s="467"/>
      <c r="J37" s="467"/>
      <c r="K37" s="1693">
        <f t="shared" si="2"/>
        <v>9071</v>
      </c>
      <c r="L37" s="466">
        <v>35000</v>
      </c>
    </row>
    <row r="38" spans="1:14" x14ac:dyDescent="0.2">
      <c r="A38" s="1526" t="s">
        <v>207</v>
      </c>
      <c r="B38" s="615">
        <v>2130</v>
      </c>
      <c r="C38" s="466"/>
      <c r="D38" s="466"/>
      <c r="E38" s="466">
        <v>39960</v>
      </c>
      <c r="F38" s="466"/>
      <c r="G38" s="466"/>
      <c r="H38" s="466"/>
      <c r="I38" s="467"/>
      <c r="J38" s="467"/>
      <c r="K38" s="1693">
        <f t="shared" si="2"/>
        <v>39960</v>
      </c>
      <c r="L38" s="466">
        <v>39000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49904</v>
      </c>
      <c r="D42" s="1692">
        <f t="shared" ref="D42:L42" si="3">SUM(D36:D41)</f>
        <v>5630</v>
      </c>
      <c r="E42" s="1692">
        <f t="shared" si="3"/>
        <v>71196</v>
      </c>
      <c r="F42" s="1692">
        <f t="shared" si="3"/>
        <v>0</v>
      </c>
      <c r="G42" s="1692">
        <f t="shared" si="3"/>
        <v>0</v>
      </c>
      <c r="H42" s="1692">
        <f t="shared" si="3"/>
        <v>0</v>
      </c>
      <c r="I42" s="1692">
        <f t="shared" si="3"/>
        <v>0</v>
      </c>
      <c r="J42" s="1692">
        <f t="shared" si="3"/>
        <v>0</v>
      </c>
      <c r="K42" s="1692">
        <f t="shared" si="3"/>
        <v>126730</v>
      </c>
      <c r="L42" s="1692">
        <f t="shared" si="3"/>
        <v>134447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2025</v>
      </c>
      <c r="F44" s="481"/>
      <c r="G44" s="481"/>
      <c r="H44" s="481">
        <v>1398</v>
      </c>
      <c r="I44" s="467"/>
      <c r="J44" s="467"/>
      <c r="K44" s="1694">
        <f>SUM(C44:J44)</f>
        <v>3423</v>
      </c>
      <c r="L44" s="481">
        <v>5424</v>
      </c>
    </row>
    <row r="45" spans="1:14" x14ac:dyDescent="0.2">
      <c r="A45" s="1526" t="s">
        <v>869</v>
      </c>
      <c r="B45" s="615">
        <v>2220</v>
      </c>
      <c r="C45" s="466">
        <v>1469</v>
      </c>
      <c r="D45" s="466">
        <v>514</v>
      </c>
      <c r="E45" s="466">
        <v>2222</v>
      </c>
      <c r="F45" s="466"/>
      <c r="G45" s="466">
        <v>1078</v>
      </c>
      <c r="H45" s="466"/>
      <c r="I45" s="467"/>
      <c r="J45" s="467"/>
      <c r="K45" s="1694">
        <f>SUM(C45:J45)</f>
        <v>5283</v>
      </c>
      <c r="L45" s="466">
        <v>2728</v>
      </c>
    </row>
    <row r="46" spans="1:14" x14ac:dyDescent="0.2">
      <c r="A46" s="1526" t="s">
        <v>870</v>
      </c>
      <c r="B46" s="615">
        <v>2230</v>
      </c>
      <c r="C46" s="466"/>
      <c r="D46" s="466"/>
      <c r="E46" s="466">
        <v>4779</v>
      </c>
      <c r="F46" s="466">
        <v>1708</v>
      </c>
      <c r="G46" s="466"/>
      <c r="H46" s="466"/>
      <c r="I46" s="467"/>
      <c r="J46" s="467"/>
      <c r="K46" s="1694">
        <f>SUM(C46:J46)</f>
        <v>6487</v>
      </c>
      <c r="L46" s="466">
        <v>7403</v>
      </c>
    </row>
    <row r="47" spans="1:14" ht="12.75" customHeight="1" thickBot="1" x14ac:dyDescent="0.25">
      <c r="A47" s="1690" t="s">
        <v>582</v>
      </c>
      <c r="B47" s="1691" t="s">
        <v>32</v>
      </c>
      <c r="C47" s="1692">
        <f>SUM(C44:C46)</f>
        <v>1469</v>
      </c>
      <c r="D47" s="1692">
        <f t="shared" ref="D47:K47" si="4">SUM(D44:D46)</f>
        <v>514</v>
      </c>
      <c r="E47" s="1692">
        <f t="shared" si="4"/>
        <v>9026</v>
      </c>
      <c r="F47" s="1692">
        <f t="shared" si="4"/>
        <v>1708</v>
      </c>
      <c r="G47" s="1692">
        <f t="shared" si="4"/>
        <v>1078</v>
      </c>
      <c r="H47" s="1692">
        <f t="shared" si="4"/>
        <v>1398</v>
      </c>
      <c r="I47" s="1692">
        <f t="shared" si="4"/>
        <v>0</v>
      </c>
      <c r="J47" s="1692">
        <f t="shared" si="4"/>
        <v>0</v>
      </c>
      <c r="K47" s="1692">
        <f t="shared" si="4"/>
        <v>15193</v>
      </c>
      <c r="L47" s="1692">
        <f>SUM(L44:L46)</f>
        <v>15555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2729</v>
      </c>
      <c r="D49" s="481"/>
      <c r="E49" s="481">
        <v>7155</v>
      </c>
      <c r="F49" s="481">
        <v>0</v>
      </c>
      <c r="G49" s="481"/>
      <c r="H49" s="481">
        <v>8316</v>
      </c>
      <c r="I49" s="467"/>
      <c r="J49" s="467"/>
      <c r="K49" s="1694">
        <f>SUM(C49:J49)</f>
        <v>18200</v>
      </c>
      <c r="L49" s="481">
        <v>19494</v>
      </c>
    </row>
    <row r="50" spans="1:14" x14ac:dyDescent="0.2">
      <c r="A50" s="1526" t="s">
        <v>872</v>
      </c>
      <c r="B50" s="615">
        <v>2320</v>
      </c>
      <c r="C50" s="466">
        <v>40500</v>
      </c>
      <c r="D50" s="466"/>
      <c r="E50" s="466"/>
      <c r="F50" s="466">
        <v>968</v>
      </c>
      <c r="G50" s="466"/>
      <c r="H50" s="466"/>
      <c r="I50" s="467"/>
      <c r="J50" s="467"/>
      <c r="K50" s="1694">
        <f>SUM(C50:J50)</f>
        <v>41468</v>
      </c>
      <c r="L50" s="466">
        <v>50600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43229</v>
      </c>
      <c r="D53" s="1692">
        <f t="shared" ref="D53:L53" si="5">SUM(D49:D52)</f>
        <v>0</v>
      </c>
      <c r="E53" s="1692">
        <f t="shared" si="5"/>
        <v>7155</v>
      </c>
      <c r="F53" s="1692">
        <f t="shared" si="5"/>
        <v>968</v>
      </c>
      <c r="G53" s="1692">
        <f t="shared" si="5"/>
        <v>0</v>
      </c>
      <c r="H53" s="1692">
        <f t="shared" si="5"/>
        <v>8316</v>
      </c>
      <c r="I53" s="1692">
        <f t="shared" si="5"/>
        <v>0</v>
      </c>
      <c r="J53" s="1692">
        <f t="shared" si="5"/>
        <v>0</v>
      </c>
      <c r="K53" s="1692">
        <f t="shared" si="5"/>
        <v>59668</v>
      </c>
      <c r="L53" s="1692">
        <f t="shared" si="5"/>
        <v>70094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82654</v>
      </c>
      <c r="D55" s="481">
        <v>15185</v>
      </c>
      <c r="E55" s="481">
        <v>83</v>
      </c>
      <c r="F55" s="481"/>
      <c r="G55" s="481"/>
      <c r="H55" s="481">
        <v>2981</v>
      </c>
      <c r="I55" s="467"/>
      <c r="J55" s="467"/>
      <c r="K55" s="1694">
        <f>SUM(C55:J55)</f>
        <v>100903</v>
      </c>
      <c r="L55" s="481">
        <v>95244</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82654</v>
      </c>
      <c r="D57" s="1696">
        <f t="shared" ref="D57:K57" si="6">SUM(D55:D56)</f>
        <v>15185</v>
      </c>
      <c r="E57" s="1696">
        <f t="shared" si="6"/>
        <v>83</v>
      </c>
      <c r="F57" s="1696">
        <f t="shared" si="6"/>
        <v>0</v>
      </c>
      <c r="G57" s="1696">
        <f t="shared" si="6"/>
        <v>0</v>
      </c>
      <c r="H57" s="1696">
        <f t="shared" si="6"/>
        <v>2981</v>
      </c>
      <c r="I57" s="1696">
        <f t="shared" si="6"/>
        <v>0</v>
      </c>
      <c r="J57" s="1696">
        <f t="shared" si="6"/>
        <v>0</v>
      </c>
      <c r="K57" s="1696">
        <f t="shared" si="6"/>
        <v>100903</v>
      </c>
      <c r="L57" s="1692">
        <f>SUM(L55:L56)</f>
        <v>95244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v>5300</v>
      </c>
      <c r="F59" s="481"/>
      <c r="G59" s="481"/>
      <c r="H59" s="481"/>
      <c r="I59" s="467"/>
      <c r="J59" s="467"/>
      <c r="K59" s="1694">
        <f t="shared" ref="K59:K64" si="7">SUM(C59:J59)</f>
        <v>5300</v>
      </c>
      <c r="L59" s="481">
        <v>6100</v>
      </c>
      <c r="M59" s="610"/>
      <c r="N59" s="610"/>
    </row>
    <row r="60" spans="1:14" s="343" customFormat="1" x14ac:dyDescent="0.2">
      <c r="A60" s="1526" t="s">
        <v>483</v>
      </c>
      <c r="B60" s="615">
        <v>2520</v>
      </c>
      <c r="C60" s="466">
        <v>36334</v>
      </c>
      <c r="D60" s="466">
        <v>5900</v>
      </c>
      <c r="E60" s="466"/>
      <c r="F60" s="466"/>
      <c r="G60" s="466"/>
      <c r="H60" s="466"/>
      <c r="I60" s="467"/>
      <c r="J60" s="467"/>
      <c r="K60" s="1694">
        <f t="shared" si="7"/>
        <v>42234</v>
      </c>
      <c r="L60" s="466">
        <v>43990</v>
      </c>
      <c r="M60" s="610"/>
      <c r="N60" s="610"/>
    </row>
    <row r="61" spans="1:14" s="343" customFormat="1" x14ac:dyDescent="0.2">
      <c r="A61" s="1526" t="s">
        <v>206</v>
      </c>
      <c r="B61" s="615">
        <v>2540</v>
      </c>
      <c r="C61" s="466">
        <v>82476</v>
      </c>
      <c r="D61" s="466">
        <v>12262</v>
      </c>
      <c r="E61" s="466">
        <v>6638</v>
      </c>
      <c r="F61" s="466"/>
      <c r="G61" s="466"/>
      <c r="H61" s="466"/>
      <c r="I61" s="467"/>
      <c r="J61" s="467"/>
      <c r="K61" s="1694">
        <f t="shared" si="7"/>
        <v>101376</v>
      </c>
      <c r="L61" s="466">
        <v>104296</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39395</v>
      </c>
      <c r="D63" s="466">
        <v>5517</v>
      </c>
      <c r="E63" s="466">
        <v>2475</v>
      </c>
      <c r="F63" s="466">
        <v>104436</v>
      </c>
      <c r="G63" s="466"/>
      <c r="H63" s="466"/>
      <c r="I63" s="467"/>
      <c r="J63" s="467"/>
      <c r="K63" s="1694">
        <f t="shared" si="7"/>
        <v>151823</v>
      </c>
      <c r="L63" s="466">
        <v>166923</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158205</v>
      </c>
      <c r="D65" s="1692">
        <f t="shared" ref="D65:L65" si="8">SUM(D59:D64)</f>
        <v>23679</v>
      </c>
      <c r="E65" s="1692">
        <f t="shared" si="8"/>
        <v>14413</v>
      </c>
      <c r="F65" s="1692">
        <f t="shared" si="8"/>
        <v>104436</v>
      </c>
      <c r="G65" s="1692">
        <f t="shared" si="8"/>
        <v>0</v>
      </c>
      <c r="H65" s="1692">
        <f t="shared" si="8"/>
        <v>0</v>
      </c>
      <c r="I65" s="1692">
        <f t="shared" si="8"/>
        <v>0</v>
      </c>
      <c r="J65" s="1692">
        <f t="shared" si="8"/>
        <v>0</v>
      </c>
      <c r="K65" s="1692">
        <f t="shared" si="8"/>
        <v>300733</v>
      </c>
      <c r="L65" s="1692">
        <f t="shared" si="8"/>
        <v>321309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335461</v>
      </c>
      <c r="D74" s="1699">
        <f t="shared" ref="D74:K74" si="10">SUM(D42,D47,D53,D57,D65,D72,D73)</f>
        <v>45008</v>
      </c>
      <c r="E74" s="1699">
        <f t="shared" si="10"/>
        <v>101873</v>
      </c>
      <c r="F74" s="1699">
        <f t="shared" si="10"/>
        <v>107112</v>
      </c>
      <c r="G74" s="1699">
        <f t="shared" si="10"/>
        <v>1078</v>
      </c>
      <c r="H74" s="1699">
        <f t="shared" si="10"/>
        <v>12695</v>
      </c>
      <c r="I74" s="1699">
        <f t="shared" si="10"/>
        <v>0</v>
      </c>
      <c r="J74" s="1699">
        <f t="shared" si="10"/>
        <v>0</v>
      </c>
      <c r="K74" s="1699">
        <f t="shared" si="10"/>
        <v>603227</v>
      </c>
      <c r="L74" s="1699">
        <f>SUM(L42,L47,L53,L57,L65,L72,L73)</f>
        <v>636649</v>
      </c>
    </row>
    <row r="75" spans="1:14" s="259" customFormat="1" ht="15.75" customHeight="1" thickTop="1" thickBot="1" x14ac:dyDescent="0.25">
      <c r="A75" s="1632" t="s">
        <v>49</v>
      </c>
      <c r="B75" s="1633" t="s">
        <v>596</v>
      </c>
      <c r="C75" s="573"/>
      <c r="D75" s="573"/>
      <c r="E75" s="573">
        <v>44</v>
      </c>
      <c r="F75" s="573">
        <v>928</v>
      </c>
      <c r="G75" s="573"/>
      <c r="H75" s="573"/>
      <c r="I75" s="531"/>
      <c r="J75" s="531"/>
      <c r="K75" s="1692">
        <f>SUM(C75:J75)</f>
        <v>972</v>
      </c>
      <c r="L75" s="576">
        <v>1000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294326</v>
      </c>
      <c r="I86" s="477"/>
      <c r="J86" s="477"/>
      <c r="K86" s="1699">
        <f t="shared" ref="K86:K98" si="12">H86</f>
        <v>294326</v>
      </c>
      <c r="L86" s="530">
        <v>200000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294326</v>
      </c>
      <c r="I92" s="477"/>
      <c r="J92" s="477"/>
      <c r="K92" s="1699">
        <f t="shared" si="12"/>
        <v>294326</v>
      </c>
      <c r="L92" s="1692">
        <f>SUM(L85:L91)</f>
        <v>200000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294326</v>
      </c>
      <c r="I102" s="477"/>
      <c r="J102" s="477"/>
      <c r="K102" s="1699">
        <f>SUM(K84,K92,K100,K101)</f>
        <v>294326</v>
      </c>
      <c r="L102" s="1699">
        <f>SUM(L84,L92,L100,L101)</f>
        <v>200000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1350</v>
      </c>
      <c r="I111" s="468"/>
      <c r="J111" s="468"/>
      <c r="K111" s="1705">
        <f>H111</f>
        <v>1350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1350</v>
      </c>
      <c r="I112" s="468"/>
      <c r="J112" s="468"/>
      <c r="K112" s="1692">
        <f>SUM(K110:K111)</f>
        <v>1350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1311965</v>
      </c>
      <c r="D114" s="1692">
        <f t="shared" ref="D114:K114" si="13">SUM(D33,D74,D75,D102,D112,D113)</f>
        <v>186269</v>
      </c>
      <c r="E114" s="1692">
        <f t="shared" si="13"/>
        <v>164112</v>
      </c>
      <c r="F114" s="1692">
        <f t="shared" si="13"/>
        <v>140319</v>
      </c>
      <c r="G114" s="1692">
        <f t="shared" si="13"/>
        <v>23183</v>
      </c>
      <c r="H114" s="1692">
        <f>SUM(H33,H74,H75,H102,H112,H113)</f>
        <v>318226</v>
      </c>
      <c r="I114" s="1692">
        <f t="shared" si="13"/>
        <v>1424</v>
      </c>
      <c r="J114" s="1692">
        <f t="shared" si="13"/>
        <v>0</v>
      </c>
      <c r="K114" s="1692">
        <f t="shared" si="13"/>
        <v>2145498</v>
      </c>
      <c r="L114" s="1692">
        <f>SUM(L33,L74,L75,L102,L112,L113)</f>
        <v>2184295</v>
      </c>
    </row>
    <row r="115" spans="1:14" ht="13.5" thickTop="1" x14ac:dyDescent="0.2">
      <c r="A115" s="2175" t="s">
        <v>1053</v>
      </c>
      <c r="B115" s="2176"/>
      <c r="C115" s="619"/>
      <c r="D115" s="619"/>
      <c r="E115" s="619"/>
      <c r="F115" s="619"/>
      <c r="G115" s="619"/>
      <c r="H115" s="619"/>
      <c r="I115" s="619"/>
      <c r="J115" s="619"/>
      <c r="K115" s="1706">
        <f>'Revenues 9-14'!C275-'Expenditures 15-22'!K114</f>
        <v>37559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v>32771</v>
      </c>
      <c r="F124" s="466">
        <v>34960</v>
      </c>
      <c r="G124" s="466">
        <v>26037</v>
      </c>
      <c r="H124" s="466"/>
      <c r="I124" s="467">
        <v>2750</v>
      </c>
      <c r="J124" s="467"/>
      <c r="K124" s="1692">
        <f>SUM(C124:J124)</f>
        <v>96518</v>
      </c>
      <c r="L124" s="466">
        <v>166500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32771</v>
      </c>
      <c r="F127" s="1692">
        <f t="shared" si="14"/>
        <v>34960</v>
      </c>
      <c r="G127" s="1692">
        <f t="shared" si="14"/>
        <v>26037</v>
      </c>
      <c r="H127" s="1692">
        <f t="shared" si="14"/>
        <v>0</v>
      </c>
      <c r="I127" s="1692">
        <f t="shared" si="14"/>
        <v>2750</v>
      </c>
      <c r="J127" s="1692">
        <f t="shared" si="14"/>
        <v>0</v>
      </c>
      <c r="K127" s="1692">
        <f t="shared" si="14"/>
        <v>96518</v>
      </c>
      <c r="L127" s="1692">
        <f t="shared" si="14"/>
        <v>166500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32771</v>
      </c>
      <c r="F129" s="1699">
        <f t="shared" si="15"/>
        <v>34960</v>
      </c>
      <c r="G129" s="1699">
        <f t="shared" si="15"/>
        <v>26037</v>
      </c>
      <c r="H129" s="1699">
        <f t="shared" si="15"/>
        <v>0</v>
      </c>
      <c r="I129" s="1699">
        <f t="shared" si="15"/>
        <v>2750</v>
      </c>
      <c r="J129" s="1699">
        <f t="shared" si="15"/>
        <v>0</v>
      </c>
      <c r="K129" s="1699">
        <f t="shared" si="15"/>
        <v>96518</v>
      </c>
      <c r="L129" s="1699">
        <f t="shared" si="15"/>
        <v>166500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v>29670</v>
      </c>
      <c r="I134" s="477"/>
      <c r="J134" s="617"/>
      <c r="K134" s="1694">
        <f>SUM(E134,H134)</f>
        <v>29670</v>
      </c>
      <c r="L134" s="481">
        <v>30000</v>
      </c>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29670</v>
      </c>
      <c r="I137" s="477"/>
      <c r="J137" s="617"/>
      <c r="K137" s="1692">
        <f>SUM(K133:K136)</f>
        <v>29670</v>
      </c>
      <c r="L137" s="1692">
        <f>SUM(L133:L136)</f>
        <v>30000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29670</v>
      </c>
      <c r="I139" s="477"/>
      <c r="J139" s="617"/>
      <c r="K139" s="1694">
        <f>SUM(K137,K138)</f>
        <v>29670</v>
      </c>
      <c r="L139" s="1701">
        <f>SUM(L137,L138)</f>
        <v>30000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0</v>
      </c>
      <c r="D151" s="1692">
        <f t="shared" ref="D151:K151" si="16">SUM(D129,D130,D139,D149,D150)</f>
        <v>0</v>
      </c>
      <c r="E151" s="1692">
        <f t="shared" si="16"/>
        <v>32771</v>
      </c>
      <c r="F151" s="1692">
        <f t="shared" si="16"/>
        <v>34960</v>
      </c>
      <c r="G151" s="1692">
        <f t="shared" si="16"/>
        <v>26037</v>
      </c>
      <c r="H151" s="1692">
        <f t="shared" si="16"/>
        <v>29670</v>
      </c>
      <c r="I151" s="1692">
        <f t="shared" si="16"/>
        <v>2750</v>
      </c>
      <c r="J151" s="1692">
        <f t="shared" si="16"/>
        <v>0</v>
      </c>
      <c r="K151" s="1692">
        <f t="shared" si="16"/>
        <v>126188</v>
      </c>
      <c r="L151" s="1692">
        <f>SUM(L129,L130,L139,L149,L150)</f>
        <v>196500</v>
      </c>
    </row>
    <row r="152" spans="1:14" ht="12.75" customHeight="1" thickTop="1" x14ac:dyDescent="0.2">
      <c r="A152" s="2195" t="s">
        <v>1240</v>
      </c>
      <c r="B152" s="2196"/>
      <c r="C152" s="619"/>
      <c r="D152" s="619"/>
      <c r="E152" s="619"/>
      <c r="F152" s="619"/>
      <c r="G152" s="619"/>
      <c r="H152" s="619"/>
      <c r="I152" s="619"/>
      <c r="J152" s="617"/>
      <c r="K152" s="1706">
        <f>'Revenues 9-14'!D275-'Expenditures 15-22'!K151</f>
        <v>-26578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2700</v>
      </c>
      <c r="I169" s="617"/>
      <c r="J169" s="617"/>
      <c r="K169" s="1693">
        <f>SUM(C169:H169)</f>
        <v>2700</v>
      </c>
      <c r="L169" s="657">
        <v>1350</v>
      </c>
    </row>
    <row r="170" spans="1:14" ht="33.75" customHeight="1" x14ac:dyDescent="0.2">
      <c r="A170" s="670" t="s">
        <v>1769</v>
      </c>
      <c r="B170" s="672" t="s">
        <v>31</v>
      </c>
      <c r="C170" s="617"/>
      <c r="D170" s="617"/>
      <c r="E170" s="617"/>
      <c r="F170" s="617"/>
      <c r="G170" s="617"/>
      <c r="H170" s="569">
        <v>60000</v>
      </c>
      <c r="I170" s="617"/>
      <c r="J170" s="617"/>
      <c r="K170" s="1693">
        <f>SUM(C170:J170)</f>
        <v>60000</v>
      </c>
      <c r="L170" s="569">
        <v>60000</v>
      </c>
    </row>
    <row r="171" spans="1:14" ht="15.75" customHeight="1" x14ac:dyDescent="0.2">
      <c r="A171" s="622" t="s">
        <v>790</v>
      </c>
      <c r="B171" s="673" t="s">
        <v>86</v>
      </c>
      <c r="C171" s="617"/>
      <c r="D171" s="617"/>
      <c r="E171" s="466"/>
      <c r="F171" s="617"/>
      <c r="G171" s="617"/>
      <c r="H171" s="569">
        <v>500</v>
      </c>
      <c r="I171" s="477"/>
      <c r="J171" s="617"/>
      <c r="K171" s="1693">
        <f>SUM(C171:J171)</f>
        <v>500</v>
      </c>
      <c r="L171" s="569">
        <v>500</v>
      </c>
    </row>
    <row r="172" spans="1:14" ht="12.75" customHeight="1" thickBot="1" x14ac:dyDescent="0.25">
      <c r="A172" s="1690" t="s">
        <v>659</v>
      </c>
      <c r="B172" s="1691" t="s">
        <v>513</v>
      </c>
      <c r="C172" s="617"/>
      <c r="D172" s="617"/>
      <c r="E172" s="1699">
        <f>SUM(E168,E169,E170,E171)</f>
        <v>0</v>
      </c>
      <c r="F172" s="617"/>
      <c r="G172" s="617"/>
      <c r="H172" s="1699">
        <f>SUM(H168,H169,H170,H171)</f>
        <v>63200</v>
      </c>
      <c r="I172" s="639"/>
      <c r="J172" s="617"/>
      <c r="K172" s="1699">
        <f>SUM(K168,K169,K170,K171)</f>
        <v>63200</v>
      </c>
      <c r="L172" s="1699">
        <f>SUM(L168,L169,L170,L171)</f>
        <v>61850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63200</v>
      </c>
      <c r="I174" s="639"/>
      <c r="J174" s="617"/>
      <c r="K174" s="1699">
        <f>SUM(K160,K172,K173)</f>
        <v>63200</v>
      </c>
      <c r="L174" s="1699">
        <f>SUM(L160,L172,L173)</f>
        <v>61850</v>
      </c>
    </row>
    <row r="175" spans="1:14" ht="13.5" thickTop="1" x14ac:dyDescent="0.2">
      <c r="A175" s="2175" t="s">
        <v>1053</v>
      </c>
      <c r="B175" s="2176"/>
      <c r="C175" s="617"/>
      <c r="D175" s="617"/>
      <c r="E175" s="617"/>
      <c r="F175" s="617"/>
      <c r="G175" s="617"/>
      <c r="H175" s="619"/>
      <c r="I175" s="617"/>
      <c r="J175" s="617"/>
      <c r="K175" s="1706">
        <f>'Revenues 9-14'!E275-'Expenditures 15-22'!K174</f>
        <v>-35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204623</v>
      </c>
      <c r="F182" s="466"/>
      <c r="G182" s="466"/>
      <c r="H182" s="466"/>
      <c r="I182" s="467"/>
      <c r="J182" s="467"/>
      <c r="K182" s="1693">
        <f>SUM(C182:J182)</f>
        <v>204623</v>
      </c>
      <c r="L182" s="466">
        <v>133100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204623</v>
      </c>
      <c r="F184" s="1699">
        <f t="shared" si="17"/>
        <v>0</v>
      </c>
      <c r="G184" s="1699">
        <f t="shared" si="17"/>
        <v>0</v>
      </c>
      <c r="H184" s="1699">
        <f t="shared" si="17"/>
        <v>0</v>
      </c>
      <c r="I184" s="1699">
        <f t="shared" si="17"/>
        <v>0</v>
      </c>
      <c r="J184" s="1699">
        <f t="shared" si="17"/>
        <v>0</v>
      </c>
      <c r="K184" s="1699">
        <f>SUM(K180,K182,K183)</f>
        <v>204623</v>
      </c>
      <c r="L184" s="1699">
        <f>SUM(L180, L182:L183)</f>
        <v>133100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204623</v>
      </c>
      <c r="F210" s="1692">
        <f>SUM(F184,F185)</f>
        <v>0</v>
      </c>
      <c r="G210" s="1692">
        <f>SUM(G184,G185)</f>
        <v>0</v>
      </c>
      <c r="H210" s="1692">
        <f>SUM(H184,H185,H196,H208,H209)</f>
        <v>0</v>
      </c>
      <c r="I210" s="1692">
        <f>SUM(I184,I185)</f>
        <v>0</v>
      </c>
      <c r="J210" s="1692">
        <f>SUM(J184,J185)</f>
        <v>0</v>
      </c>
      <c r="K210" s="1693">
        <f>SUM(K184,K185,K196,K208,K209)</f>
        <v>204623</v>
      </c>
      <c r="L210" s="1692">
        <f>SUM(L184,L185,L196,L208,L209)</f>
        <v>133100</v>
      </c>
    </row>
    <row r="211" spans="1:14" ht="13.5" thickTop="1" x14ac:dyDescent="0.2">
      <c r="A211" s="2175" t="s">
        <v>1053</v>
      </c>
      <c r="B211" s="2176"/>
      <c r="C211" s="619"/>
      <c r="D211" s="619"/>
      <c r="E211" s="619"/>
      <c r="F211" s="619"/>
      <c r="G211" s="619"/>
      <c r="H211" s="619"/>
      <c r="I211" s="617"/>
      <c r="J211" s="617"/>
      <c r="K211" s="1706">
        <f>'Revenues 9-14'!F275-'Expenditures 15-22'!K210</f>
        <v>-66220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12089</v>
      </c>
      <c r="E215" s="617"/>
      <c r="F215" s="617"/>
      <c r="G215" s="617"/>
      <c r="H215" s="617"/>
      <c r="I215" s="617"/>
      <c r="J215" s="617"/>
      <c r="K215" s="1693">
        <f>D215</f>
        <v>12089</v>
      </c>
      <c r="L215" s="466">
        <v>9300</v>
      </c>
    </row>
    <row r="216" spans="1:14" x14ac:dyDescent="0.2">
      <c r="A216" s="1526" t="s">
        <v>165</v>
      </c>
      <c r="B216" s="615" t="s">
        <v>1024</v>
      </c>
      <c r="C216" s="617"/>
      <c r="D216" s="467">
        <v>3958</v>
      </c>
      <c r="E216" s="617"/>
      <c r="F216" s="617"/>
      <c r="G216" s="617"/>
      <c r="H216" s="617"/>
      <c r="I216" s="617"/>
      <c r="J216" s="617"/>
      <c r="K216" s="1693">
        <f t="shared" ref="K216:K228" si="19">D216</f>
        <v>3958</v>
      </c>
      <c r="L216" s="466">
        <v>4830</v>
      </c>
    </row>
    <row r="217" spans="1:14" x14ac:dyDescent="0.2">
      <c r="A217" s="1526" t="s">
        <v>166</v>
      </c>
      <c r="B217" s="615">
        <v>1200</v>
      </c>
      <c r="C217" s="617"/>
      <c r="D217" s="466">
        <v>10413</v>
      </c>
      <c r="E217" s="617"/>
      <c r="F217" s="617"/>
      <c r="G217" s="617"/>
      <c r="H217" s="617"/>
      <c r="I217" s="617"/>
      <c r="J217" s="617"/>
      <c r="K217" s="1693">
        <f t="shared" si="19"/>
        <v>10413</v>
      </c>
      <c r="L217" s="466">
        <v>10940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4949</v>
      </c>
      <c r="E219" s="617"/>
      <c r="F219" s="617"/>
      <c r="G219" s="617"/>
      <c r="H219" s="617"/>
      <c r="I219" s="617"/>
      <c r="J219" s="617"/>
      <c r="K219" s="1693">
        <f t="shared" si="19"/>
        <v>4949</v>
      </c>
      <c r="L219" s="466">
        <v>7662</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564</v>
      </c>
      <c r="E223" s="617"/>
      <c r="F223" s="617"/>
      <c r="G223" s="617"/>
      <c r="H223" s="617"/>
      <c r="I223" s="617"/>
      <c r="J223" s="617"/>
      <c r="K223" s="1693">
        <f t="shared" si="19"/>
        <v>564</v>
      </c>
      <c r="L223" s="466">
        <v>198</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31973</v>
      </c>
      <c r="E229" s="617"/>
      <c r="F229" s="617"/>
      <c r="G229" s="617"/>
      <c r="H229" s="617"/>
      <c r="I229" s="617"/>
      <c r="J229" s="617"/>
      <c r="K229" s="1692">
        <f>SUM(K215:K228)</f>
        <v>31973</v>
      </c>
      <c r="L229" s="1692">
        <f>SUM(L215:L228)</f>
        <v>32930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9498</v>
      </c>
      <c r="E232" s="617"/>
      <c r="F232" s="617"/>
      <c r="G232" s="617"/>
      <c r="H232" s="617"/>
      <c r="I232" s="617"/>
      <c r="J232" s="617"/>
      <c r="K232" s="1693">
        <f t="shared" ref="K232:K237" si="20">D232</f>
        <v>9498</v>
      </c>
      <c r="L232" s="466">
        <v>12072</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9498</v>
      </c>
      <c r="E238" s="617"/>
      <c r="F238" s="617"/>
      <c r="G238" s="617"/>
      <c r="H238" s="617"/>
      <c r="I238" s="617"/>
      <c r="J238" s="617"/>
      <c r="K238" s="1692">
        <f>SUM(K232:K237)</f>
        <v>9498</v>
      </c>
      <c r="L238" s="1692">
        <f>SUM(L232:L237)</f>
        <v>12072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281</v>
      </c>
      <c r="E241" s="617"/>
      <c r="F241" s="617"/>
      <c r="G241" s="617"/>
      <c r="H241" s="617"/>
      <c r="I241" s="617"/>
      <c r="J241" s="617"/>
      <c r="K241" s="1694">
        <f>D241</f>
        <v>281</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281</v>
      </c>
      <c r="E243" s="617"/>
      <c r="F243" s="617"/>
      <c r="G243" s="617"/>
      <c r="H243" s="617"/>
      <c r="I243" s="617"/>
      <c r="J243" s="617"/>
      <c r="K243" s="1692">
        <f>SUM(K240:K242)</f>
        <v>281</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186</v>
      </c>
      <c r="E245" s="617"/>
      <c r="F245" s="617"/>
      <c r="G245" s="617"/>
      <c r="H245" s="617"/>
      <c r="I245" s="617"/>
      <c r="J245" s="617"/>
      <c r="K245" s="1694">
        <f>D245</f>
        <v>186</v>
      </c>
      <c r="L245" s="481">
        <v>150</v>
      </c>
    </row>
    <row r="246" spans="1:12" x14ac:dyDescent="0.2">
      <c r="A246" s="1526" t="s">
        <v>872</v>
      </c>
      <c r="B246" s="615">
        <v>2320</v>
      </c>
      <c r="C246" s="617"/>
      <c r="D246" s="466">
        <v>587</v>
      </c>
      <c r="E246" s="617"/>
      <c r="F246" s="617"/>
      <c r="G246" s="617"/>
      <c r="H246" s="617"/>
      <c r="I246" s="617"/>
      <c r="J246" s="617"/>
      <c r="K246" s="1694">
        <f t="shared" ref="K246:K256" si="21">D246</f>
        <v>587</v>
      </c>
      <c r="L246" s="466">
        <v>725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773</v>
      </c>
      <c r="E257" s="617"/>
      <c r="F257" s="617"/>
      <c r="G257" s="617"/>
      <c r="H257" s="617"/>
      <c r="I257" s="617"/>
      <c r="J257" s="617"/>
      <c r="K257" s="1692">
        <f>SUM(K245:K256)</f>
        <v>773</v>
      </c>
      <c r="L257" s="1692">
        <f>SUM(L245:L256)</f>
        <v>875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1199</v>
      </c>
      <c r="E259" s="617"/>
      <c r="F259" s="617"/>
      <c r="G259" s="617"/>
      <c r="H259" s="617"/>
      <c r="I259" s="617"/>
      <c r="J259" s="617"/>
      <c r="K259" s="1694">
        <f>D259</f>
        <v>1199</v>
      </c>
      <c r="L259" s="481">
        <v>1089</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1199</v>
      </c>
      <c r="E261" s="617"/>
      <c r="F261" s="617"/>
      <c r="G261" s="617"/>
      <c r="H261" s="617"/>
      <c r="I261" s="617"/>
      <c r="J261" s="617"/>
      <c r="K261" s="1692">
        <f>SUM(K259:K260)</f>
        <v>1199</v>
      </c>
      <c r="L261" s="1692">
        <f>SUM(L259:L260)</f>
        <v>1089</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6861</v>
      </c>
      <c r="E264" s="617"/>
      <c r="F264" s="617"/>
      <c r="G264" s="617"/>
      <c r="H264" s="617"/>
      <c r="I264" s="617"/>
      <c r="J264" s="617"/>
      <c r="K264" s="1694">
        <f t="shared" ref="K264:K269" si="22">D264</f>
        <v>6861</v>
      </c>
      <c r="L264" s="466">
        <v>6240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15650</v>
      </c>
      <c r="E266" s="617"/>
      <c r="F266" s="617"/>
      <c r="G266" s="617"/>
      <c r="H266" s="617"/>
      <c r="I266" s="617"/>
      <c r="J266" s="617"/>
      <c r="K266" s="1694">
        <f t="shared" si="22"/>
        <v>15650</v>
      </c>
      <c r="L266" s="466">
        <v>18136</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7251</v>
      </c>
      <c r="E268" s="617"/>
      <c r="F268" s="617"/>
      <c r="G268" s="617"/>
      <c r="H268" s="617"/>
      <c r="I268" s="617"/>
      <c r="J268" s="617"/>
      <c r="K268" s="1694">
        <f t="shared" si="22"/>
        <v>7251</v>
      </c>
      <c r="L268" s="466">
        <v>9151</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29762</v>
      </c>
      <c r="E270" s="617"/>
      <c r="F270" s="617"/>
      <c r="G270" s="617"/>
      <c r="H270" s="617"/>
      <c r="I270" s="617"/>
      <c r="J270" s="617"/>
      <c r="K270" s="1692">
        <f>SUM(K263:K269)</f>
        <v>29762</v>
      </c>
      <c r="L270" s="1692">
        <f>SUM(L263:L269)</f>
        <v>33527</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41513</v>
      </c>
      <c r="E279" s="617"/>
      <c r="F279" s="617"/>
      <c r="G279" s="617"/>
      <c r="H279" s="617"/>
      <c r="I279" s="617"/>
      <c r="J279" s="617"/>
      <c r="K279" s="1699">
        <f>SUM(K238,K243,K257,K261,K270,K277,K278)</f>
        <v>41513</v>
      </c>
      <c r="L279" s="1699">
        <f>SUM(L238,L243,L257,L261,L270,L277,L278)</f>
        <v>47563</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v>3190</v>
      </c>
      <c r="E283" s="617"/>
      <c r="F283" s="617"/>
      <c r="G283" s="617"/>
      <c r="H283" s="617"/>
      <c r="I283" s="617"/>
      <c r="J283" s="617"/>
      <c r="K283" s="1693">
        <f>D283</f>
        <v>3190</v>
      </c>
      <c r="L283" s="466">
        <v>3000</v>
      </c>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3190</v>
      </c>
      <c r="E285" s="617"/>
      <c r="F285" s="617"/>
      <c r="G285" s="617"/>
      <c r="H285" s="617"/>
      <c r="I285" s="617"/>
      <c r="J285" s="617"/>
      <c r="K285" s="1692">
        <f>SUM(K282:K284)</f>
        <v>3190</v>
      </c>
      <c r="L285" s="1692">
        <f>SUM(L282:L284)</f>
        <v>3000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76676</v>
      </c>
      <c r="E295" s="617"/>
      <c r="F295" s="617"/>
      <c r="G295" s="617"/>
      <c r="H295" s="1692">
        <f>H293</f>
        <v>0</v>
      </c>
      <c r="I295" s="617"/>
      <c r="J295" s="617"/>
      <c r="K295" s="1692">
        <f>SUM(K229,K279,K280,K285,K293,K294)</f>
        <v>76676</v>
      </c>
      <c r="L295" s="1692">
        <f>SUM(L229,L279,L280,L285,L293,L294)</f>
        <v>83493</v>
      </c>
    </row>
    <row r="296" spans="1:14" ht="13.5" thickTop="1" x14ac:dyDescent="0.2">
      <c r="A296" s="2175" t="s">
        <v>1053</v>
      </c>
      <c r="B296" s="2176"/>
      <c r="C296" s="617"/>
      <c r="D296" s="619"/>
      <c r="E296" s="617"/>
      <c r="F296" s="617"/>
      <c r="G296" s="617"/>
      <c r="H296" s="688"/>
      <c r="I296" s="617"/>
      <c r="J296" s="617"/>
      <c r="K296" s="1706">
        <f>'Revenues 9-14'!G275-'Expenditures 15-22'!K295</f>
        <v>2998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8370</v>
      </c>
      <c r="F301" s="466"/>
      <c r="G301" s="466">
        <v>2026</v>
      </c>
      <c r="H301" s="466"/>
      <c r="I301" s="467"/>
      <c r="J301" s="467"/>
      <c r="K301" s="1693">
        <f>SUM(C301:J301)</f>
        <v>10396</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8370</v>
      </c>
      <c r="F303" s="1699">
        <f t="shared" si="23"/>
        <v>0</v>
      </c>
      <c r="G303" s="1699">
        <f t="shared" si="23"/>
        <v>2026</v>
      </c>
      <c r="H303" s="1699">
        <f t="shared" si="23"/>
        <v>0</v>
      </c>
      <c r="I303" s="1699">
        <f t="shared" si="23"/>
        <v>0</v>
      </c>
      <c r="J303" s="1699">
        <f t="shared" si="23"/>
        <v>0</v>
      </c>
      <c r="K303" s="1699">
        <f t="shared" si="23"/>
        <v>10396</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8370</v>
      </c>
      <c r="F312" s="1692">
        <f>SUM(F303)</f>
        <v>0</v>
      </c>
      <c r="G312" s="1692">
        <f>SUM(G303)</f>
        <v>2026</v>
      </c>
      <c r="H312" s="1692">
        <f>SUM(H303,H310)</f>
        <v>0</v>
      </c>
      <c r="I312" s="1692">
        <f>SUM(I303)</f>
        <v>0</v>
      </c>
      <c r="J312" s="1692">
        <f>SUM(J303)</f>
        <v>0</v>
      </c>
      <c r="K312" s="1692">
        <f>SUM(K303,K310,K311)</f>
        <v>10396</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42603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8778</v>
      </c>
      <c r="F320" s="467"/>
      <c r="G320" s="467"/>
      <c r="H320" s="467"/>
      <c r="I320" s="467"/>
      <c r="J320" s="467"/>
      <c r="K320" s="1693">
        <f t="shared" ref="K320:K327" si="24">SUM(C320:J320)</f>
        <v>8778</v>
      </c>
      <c r="L320" s="467">
        <v>11000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20000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3581</v>
      </c>
      <c r="F325" s="467"/>
      <c r="G325" s="467"/>
      <c r="H325" s="467"/>
      <c r="I325" s="467"/>
      <c r="J325" s="467"/>
      <c r="K325" s="1693">
        <f t="shared" si="24"/>
        <v>3581</v>
      </c>
      <c r="L325" s="467">
        <v>16000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3180</v>
      </c>
      <c r="F327" s="467"/>
      <c r="G327" s="467"/>
      <c r="H327" s="467"/>
      <c r="I327" s="467"/>
      <c r="J327" s="467"/>
      <c r="K327" s="1693">
        <f t="shared" si="24"/>
        <v>3180</v>
      </c>
      <c r="L327" s="467">
        <v>5500</v>
      </c>
      <c r="M327" s="666"/>
      <c r="N327" s="666"/>
    </row>
    <row r="328" spans="1:14" s="675" customFormat="1" x14ac:dyDescent="0.2">
      <c r="A328" s="1542" t="s">
        <v>492</v>
      </c>
      <c r="B328" s="691" t="s">
        <v>1194</v>
      </c>
      <c r="C328" s="474"/>
      <c r="D328" s="474"/>
      <c r="E328" s="474">
        <v>20325</v>
      </c>
      <c r="F328" s="474"/>
      <c r="G328" s="474"/>
      <c r="H328" s="474"/>
      <c r="I328" s="474"/>
      <c r="J328" s="474"/>
      <c r="K328" s="1721">
        <f>SUM(C328:J328)</f>
        <v>20325</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35864</v>
      </c>
      <c r="F330" s="1692">
        <f t="shared" si="25"/>
        <v>0</v>
      </c>
      <c r="G330" s="1692">
        <f t="shared" si="25"/>
        <v>0</v>
      </c>
      <c r="H330" s="1692">
        <f t="shared" si="25"/>
        <v>0</v>
      </c>
      <c r="I330" s="1692">
        <f t="shared" si="25"/>
        <v>0</v>
      </c>
      <c r="J330" s="1692">
        <f t="shared" si="25"/>
        <v>0</v>
      </c>
      <c r="K330" s="1692">
        <f>SUM(K319:K329)</f>
        <v>35864</v>
      </c>
      <c r="L330" s="1692">
        <f>SUM(L319:L329)</f>
        <v>52500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35864</v>
      </c>
      <c r="F342" s="1692">
        <f>SUM(F330)</f>
        <v>0</v>
      </c>
      <c r="G342" s="1692">
        <f>SUM(G330)</f>
        <v>0</v>
      </c>
      <c r="H342" s="1692">
        <f>SUM(H330,H334,H340)</f>
        <v>0</v>
      </c>
      <c r="I342" s="1692">
        <f>SUM(I330)</f>
        <v>0</v>
      </c>
      <c r="J342" s="1692">
        <f>SUM(J330)</f>
        <v>0</v>
      </c>
      <c r="K342" s="1692">
        <f>SUM(K330,K334,K340)</f>
        <v>35864</v>
      </c>
      <c r="L342" s="1699">
        <f>SUM(L330,L340,L341)</f>
        <v>52500</v>
      </c>
    </row>
    <row r="343" spans="1:14" ht="12.75" customHeight="1" thickTop="1" x14ac:dyDescent="0.2">
      <c r="A343" s="2188" t="s">
        <v>1053</v>
      </c>
      <c r="B343" s="2189"/>
      <c r="C343" s="617"/>
      <c r="D343" s="617"/>
      <c r="E343" s="617"/>
      <c r="F343" s="617"/>
      <c r="G343" s="617"/>
      <c r="H343" s="617"/>
      <c r="I343" s="617"/>
      <c r="J343" s="617"/>
      <c r="K343" s="1706">
        <f>'Revenues 9-14'!J275-'Expenditures 15-22'!K342</f>
        <v>12591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1200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1200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1200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1200</v>
      </c>
    </row>
    <row r="368" spans="1:14" ht="13.5" thickTop="1" x14ac:dyDescent="0.2">
      <c r="A368" s="2175" t="s">
        <v>1053</v>
      </c>
      <c r="B368" s="2176"/>
      <c r="C368" s="655"/>
      <c r="D368" s="655"/>
      <c r="E368" s="627"/>
      <c r="F368" s="627"/>
      <c r="G368" s="627"/>
      <c r="H368" s="627"/>
      <c r="I368" s="627"/>
      <c r="J368" s="624"/>
      <c r="K368" s="1693">
        <f>'Revenues 9-14'!K275-'Expenditures 15-22'!K367</f>
        <v>8017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notes are an intergral part of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14" sqref="D1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187373</v>
      </c>
      <c r="C4" s="1546">
        <v>0</v>
      </c>
      <c r="D4" s="1774">
        <f>B4-C4</f>
        <v>187373</v>
      </c>
      <c r="E4" s="1546">
        <v>187978</v>
      </c>
      <c r="F4" s="1774">
        <f>E4-C4</f>
        <v>187978</v>
      </c>
    </row>
    <row r="5" spans="1:6" ht="13.7" customHeight="1" x14ac:dyDescent="0.2">
      <c r="A5" s="716" t="s">
        <v>925</v>
      </c>
      <c r="B5" s="1772">
        <f>'Revenues 9-14'!D5</f>
        <v>40484</v>
      </c>
      <c r="C5" s="585">
        <v>0</v>
      </c>
      <c r="D5" s="1775">
        <f t="shared" ref="D5:D18" si="0">B5-C5</f>
        <v>40484</v>
      </c>
      <c r="E5" s="585">
        <v>40375</v>
      </c>
      <c r="F5" s="1775">
        <f>E5-C5</f>
        <v>40375</v>
      </c>
    </row>
    <row r="6" spans="1:6" ht="13.7" customHeight="1" x14ac:dyDescent="0.2">
      <c r="A6" s="716" t="s">
        <v>431</v>
      </c>
      <c r="B6" s="1772">
        <f>'Revenues 9-14'!E5</f>
        <v>63165</v>
      </c>
      <c r="C6" s="585">
        <v>0</v>
      </c>
      <c r="D6" s="1775">
        <f t="shared" si="0"/>
        <v>63165</v>
      </c>
      <c r="E6" s="585">
        <v>61351</v>
      </c>
      <c r="F6" s="1775">
        <f t="shared" ref="F6:F18" si="1">E6-C6</f>
        <v>61351</v>
      </c>
    </row>
    <row r="7" spans="1:6" ht="13.7" customHeight="1" x14ac:dyDescent="0.2">
      <c r="A7" s="716" t="s">
        <v>157</v>
      </c>
      <c r="B7" s="1772">
        <f>'Revenues 9-14'!F5</f>
        <v>19432</v>
      </c>
      <c r="C7" s="585">
        <v>0</v>
      </c>
      <c r="D7" s="1775">
        <f t="shared" si="0"/>
        <v>19432</v>
      </c>
      <c r="E7" s="585">
        <v>19380</v>
      </c>
      <c r="F7" s="1775">
        <f t="shared" si="1"/>
        <v>19380</v>
      </c>
    </row>
    <row r="8" spans="1:6" ht="13.7" customHeight="1" x14ac:dyDescent="0.2">
      <c r="A8" s="716" t="s">
        <v>1241</v>
      </c>
      <c r="B8" s="1772">
        <f>'Revenues 9-14'!G5</f>
        <v>43491</v>
      </c>
      <c r="C8" s="585">
        <v>0</v>
      </c>
      <c r="D8" s="1775">
        <f t="shared" si="0"/>
        <v>43491</v>
      </c>
      <c r="E8" s="585">
        <v>48001</v>
      </c>
      <c r="F8" s="1775">
        <f t="shared" si="1"/>
        <v>48001</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8097</v>
      </c>
      <c r="C10" s="585">
        <v>0</v>
      </c>
      <c r="D10" s="1775">
        <f t="shared" si="0"/>
        <v>8097</v>
      </c>
      <c r="E10" s="585">
        <v>8075</v>
      </c>
      <c r="F10" s="1775">
        <f t="shared" si="1"/>
        <v>8075</v>
      </c>
    </row>
    <row r="11" spans="1:6" x14ac:dyDescent="0.2">
      <c r="A11" s="716" t="s">
        <v>429</v>
      </c>
      <c r="B11" s="1772">
        <f>'Revenues 9-14'!J5</f>
        <v>48224</v>
      </c>
      <c r="C11" s="585">
        <v>0</v>
      </c>
      <c r="D11" s="1775">
        <f t="shared" si="0"/>
        <v>48224</v>
      </c>
      <c r="E11" s="585">
        <v>55000</v>
      </c>
      <c r="F11" s="1775">
        <f t="shared" si="1"/>
        <v>55000</v>
      </c>
    </row>
    <row r="12" spans="1:6" ht="13.7" customHeight="1" x14ac:dyDescent="0.2">
      <c r="A12" s="716" t="s">
        <v>159</v>
      </c>
      <c r="B12" s="1772">
        <f>'Revenues 9-14'!K5</f>
        <v>7989</v>
      </c>
      <c r="C12" s="585">
        <v>0</v>
      </c>
      <c r="D12" s="1775">
        <f t="shared" si="0"/>
        <v>7989</v>
      </c>
      <c r="E12" s="585">
        <v>8075</v>
      </c>
      <c r="F12" s="1775">
        <f t="shared" si="1"/>
        <v>8075</v>
      </c>
    </row>
    <row r="13" spans="1:6" ht="13.7" customHeight="1" x14ac:dyDescent="0.2">
      <c r="A13" s="716" t="s">
        <v>993</v>
      </c>
      <c r="B13" s="1772">
        <f>SUM('Revenues 9-14'!C6:D6)</f>
        <v>7988</v>
      </c>
      <c r="C13" s="585">
        <v>0</v>
      </c>
      <c r="D13" s="1775">
        <f t="shared" si="0"/>
        <v>7988</v>
      </c>
      <c r="E13" s="585">
        <v>7901</v>
      </c>
      <c r="F13" s="1775">
        <f t="shared" si="1"/>
        <v>7901</v>
      </c>
    </row>
    <row r="14" spans="1:6" ht="13.7" customHeight="1" x14ac:dyDescent="0.2">
      <c r="A14" s="716" t="s">
        <v>430</v>
      </c>
      <c r="B14" s="1772">
        <f>SUM('Revenues 9-14'!C7:D7,'Revenues 9-14'!F7:H7)</f>
        <v>3239</v>
      </c>
      <c r="C14" s="585">
        <v>0</v>
      </c>
      <c r="D14" s="1775">
        <f t="shared" si="0"/>
        <v>3239</v>
      </c>
      <c r="E14" s="585">
        <v>3230</v>
      </c>
      <c r="F14" s="1775">
        <f t="shared" si="1"/>
        <v>3230</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35503</v>
      </c>
      <c r="C16" s="585">
        <v>0</v>
      </c>
      <c r="D16" s="1775">
        <f t="shared" si="0"/>
        <v>35503</v>
      </c>
      <c r="E16" s="585">
        <v>40000</v>
      </c>
      <c r="F16" s="1775">
        <f t="shared" si="1"/>
        <v>40000</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464985</v>
      </c>
      <c r="C19" s="1773">
        <f>SUM(C4:C18)</f>
        <v>0</v>
      </c>
      <c r="D19" s="1773">
        <f>SUM(D4:D18)</f>
        <v>464985</v>
      </c>
      <c r="E19" s="1773">
        <f>SUM(E4:E18)</f>
        <v>479366</v>
      </c>
      <c r="F19" s="1773">
        <f>SUM(F4:F18)</f>
        <v>479366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9"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2038</v>
      </c>
      <c r="D2" s="724" t="s">
        <v>2045</v>
      </c>
      <c r="E2" s="724" t="s">
        <v>2046</v>
      </c>
      <c r="F2" s="1909"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t="s">
        <v>2093</v>
      </c>
      <c r="B32" s="734">
        <v>42074</v>
      </c>
      <c r="C32" s="735">
        <v>185000</v>
      </c>
      <c r="D32" s="736">
        <v>1</v>
      </c>
      <c r="E32" s="735">
        <v>120000</v>
      </c>
      <c r="F32" s="735">
        <v>0</v>
      </c>
      <c r="G32" s="735">
        <v>0</v>
      </c>
      <c r="H32" s="735">
        <v>60000</v>
      </c>
      <c r="I32" s="1778">
        <f>((E32+F32)-H32)+G32</f>
        <v>60000</v>
      </c>
      <c r="J32" s="735">
        <v>54316</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185000</v>
      </c>
      <c r="D49" s="746"/>
      <c r="E49" s="1778">
        <f t="shared" ref="E49:J49" si="2">SUM(E31:E48)</f>
        <v>120000</v>
      </c>
      <c r="F49" s="1778">
        <f t="shared" si="2"/>
        <v>0</v>
      </c>
      <c r="G49" s="1778">
        <f t="shared" si="2"/>
        <v>0</v>
      </c>
      <c r="H49" s="1778">
        <f t="shared" si="2"/>
        <v>60000</v>
      </c>
      <c r="I49" s="1778">
        <f t="shared" si="2"/>
        <v>60000</v>
      </c>
      <c r="J49" s="1778">
        <f t="shared" si="2"/>
        <v>54316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v>0</v>
      </c>
      <c r="I3" s="765"/>
      <c r="J3" s="766">
        <v>0</v>
      </c>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3239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52999</v>
      </c>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3239</v>
      </c>
      <c r="I12" s="1780">
        <f>SUM(I5:I11)</f>
        <v>0</v>
      </c>
      <c r="J12" s="1780">
        <f>SUM(J5:J11)</f>
        <v>52999</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3239</v>
      </c>
      <c r="I14" s="772"/>
      <c r="J14" s="774"/>
      <c r="K14" s="766"/>
    </row>
    <row r="15" spans="1:11" x14ac:dyDescent="0.2">
      <c r="A15" s="2237" t="s">
        <v>4</v>
      </c>
      <c r="B15" s="2237"/>
      <c r="C15" s="2237"/>
      <c r="D15" s="2237"/>
      <c r="E15" s="2238"/>
      <c r="F15" s="790" t="s">
        <v>910</v>
      </c>
      <c r="G15" s="772"/>
      <c r="H15" s="765"/>
      <c r="I15" s="765"/>
      <c r="J15" s="766">
        <v>10396</v>
      </c>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3239</v>
      </c>
      <c r="I23" s="1780">
        <f>SUM(I14:I16,I21,I22)</f>
        <v>0</v>
      </c>
      <c r="J23" s="1780">
        <f>SUM(J14:J16,J21,J22)</f>
        <v>10396</v>
      </c>
      <c r="K23" s="1780">
        <f>SUM(K14:K16,K21,K22)</f>
        <v>0</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42603</v>
      </c>
      <c r="K24" s="1785">
        <f>SUM(K3,K12)-K23</f>
        <v>0</v>
      </c>
    </row>
    <row r="25" spans="1:11" ht="13.5" thickTop="1" x14ac:dyDescent="0.2">
      <c r="A25" s="799" t="s">
        <v>440</v>
      </c>
      <c r="B25" s="800"/>
      <c r="C25" s="800"/>
      <c r="D25" s="800"/>
      <c r="E25" s="801"/>
      <c r="F25" s="802">
        <v>714</v>
      </c>
      <c r="G25" s="803"/>
      <c r="H25" s="803"/>
      <c r="I25" s="803"/>
      <c r="J25" s="798">
        <v>42603</v>
      </c>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22962</v>
      </c>
      <c r="D5" s="842"/>
      <c r="E5" s="842"/>
      <c r="F5" s="1782">
        <f>(C5+D5)-E5</f>
        <v>22962</v>
      </c>
      <c r="G5" s="838"/>
      <c r="H5" s="843"/>
      <c r="I5" s="843"/>
      <c r="J5" s="843"/>
      <c r="K5" s="794"/>
      <c r="L5" s="1791">
        <f>F5-K5</f>
        <v>22962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3612449</v>
      </c>
      <c r="D8" s="845"/>
      <c r="E8" s="845"/>
      <c r="F8" s="1782">
        <f>(C8+D8)-E8</f>
        <v>3612449</v>
      </c>
      <c r="G8" s="844">
        <v>50</v>
      </c>
      <c r="H8" s="766">
        <v>1360687</v>
      </c>
      <c r="I8" s="766">
        <v>69670</v>
      </c>
      <c r="J8" s="766"/>
      <c r="K8" s="1791">
        <f>(H8+I8)-J8</f>
        <v>1430357</v>
      </c>
      <c r="L8" s="1791">
        <f>F8-K8</f>
        <v>2182092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206528</v>
      </c>
      <c r="D10" s="847">
        <v>2026</v>
      </c>
      <c r="E10" s="847"/>
      <c r="F10" s="1786">
        <f>(C10+D10)-E10</f>
        <v>208554</v>
      </c>
      <c r="G10" s="844">
        <v>20</v>
      </c>
      <c r="H10" s="848">
        <v>24504</v>
      </c>
      <c r="I10" s="848">
        <v>10428</v>
      </c>
      <c r="J10" s="848"/>
      <c r="K10" s="1791">
        <f>(H10+I10)-J10</f>
        <v>34932</v>
      </c>
      <c r="L10" s="1791">
        <f>F10-K10</f>
        <v>173622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165088</v>
      </c>
      <c r="D12" s="845">
        <v>26037</v>
      </c>
      <c r="E12" s="845">
        <v>5068</v>
      </c>
      <c r="F12" s="1782">
        <f>(C12+D12)-E12</f>
        <v>186057</v>
      </c>
      <c r="G12" s="844">
        <v>10</v>
      </c>
      <c r="H12" s="766">
        <v>57314</v>
      </c>
      <c r="I12" s="766">
        <v>18606</v>
      </c>
      <c r="J12" s="766">
        <v>5068</v>
      </c>
      <c r="K12" s="1791">
        <f>(H12+I12)-J12</f>
        <v>70852</v>
      </c>
      <c r="L12" s="1791">
        <f>F12-K12</f>
        <v>115205</v>
      </c>
    </row>
    <row r="13" spans="1:14" ht="14.25" thickTop="1" thickBot="1" x14ac:dyDescent="0.25">
      <c r="A13" s="849" t="s">
        <v>1184</v>
      </c>
      <c r="B13" s="841">
        <v>252</v>
      </c>
      <c r="C13" s="845">
        <v>134900</v>
      </c>
      <c r="D13" s="845">
        <v>23183</v>
      </c>
      <c r="E13" s="845">
        <v>500</v>
      </c>
      <c r="F13" s="1782">
        <f>(C13+D13)-E13</f>
        <v>157583</v>
      </c>
      <c r="G13" s="844">
        <v>5</v>
      </c>
      <c r="H13" s="766">
        <v>81351</v>
      </c>
      <c r="I13" s="766">
        <v>31516</v>
      </c>
      <c r="J13" s="766">
        <v>500</v>
      </c>
      <c r="K13" s="1791">
        <f>(H13+I13)-J13</f>
        <v>112367</v>
      </c>
      <c r="L13" s="1791">
        <f>F13-K13</f>
        <v>45216</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4141927</v>
      </c>
      <c r="D16" s="1782">
        <f>SUM(D3,D5:D6,D8:D10,D12:D15)</f>
        <v>51246</v>
      </c>
      <c r="E16" s="1782">
        <f>SUM(E3,E5:E6,E8:E10,E12:E15)</f>
        <v>5568</v>
      </c>
      <c r="F16" s="1782">
        <f>SUM(F3,F5:F6,F8:F10,F12:F15)</f>
        <v>4187605</v>
      </c>
      <c r="G16" s="844"/>
      <c r="H16" s="1782">
        <f>SUM(H3,H6,H8:H10,H12:H14,)</f>
        <v>1523856</v>
      </c>
      <c r="I16" s="1782">
        <f>SUM(I3,I6,I8:I10,I12:I14,)</f>
        <v>130220</v>
      </c>
      <c r="J16" s="1782">
        <f>SUM(J3,J6,J8:J10,J12:J14,)</f>
        <v>5568</v>
      </c>
      <c r="K16" s="1782">
        <f>(H16+I16)-J16</f>
        <v>1648508</v>
      </c>
      <c r="L16" s="1782">
        <f>F16-K16</f>
        <v>2539097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4174</v>
      </c>
      <c r="G17" s="838">
        <v>10</v>
      </c>
      <c r="H17" s="770"/>
      <c r="I17" s="1791">
        <f>F17/G17</f>
        <v>417.4</v>
      </c>
      <c r="J17" s="770"/>
      <c r="K17" s="796"/>
      <c r="L17" s="796"/>
    </row>
    <row r="18" spans="1:12" ht="14.25" thickTop="1" thickBot="1" x14ac:dyDescent="0.25">
      <c r="A18" s="1789" t="s">
        <v>706</v>
      </c>
      <c r="B18" s="1790"/>
      <c r="C18" s="772"/>
      <c r="D18" s="772"/>
      <c r="E18" s="772"/>
      <c r="F18" s="851"/>
      <c r="G18" s="852"/>
      <c r="H18" s="774"/>
      <c r="I18" s="1782">
        <f>SUM(I16,I17)</f>
        <v>130637.4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97"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2145498</v>
      </c>
      <c r="G8" s="866"/>
    </row>
    <row r="9" spans="1:7" x14ac:dyDescent="0.2">
      <c r="A9" s="870" t="s">
        <v>480</v>
      </c>
      <c r="B9" s="871" t="s">
        <v>1989</v>
      </c>
      <c r="C9" s="872"/>
      <c r="D9" s="870" t="s">
        <v>522</v>
      </c>
      <c r="E9" s="869"/>
      <c r="F9" s="1935">
        <f>'Expenditures 15-22'!K151</f>
        <v>126188</v>
      </c>
      <c r="G9" s="873"/>
    </row>
    <row r="10" spans="1:7" x14ac:dyDescent="0.2">
      <c r="A10" s="870" t="s">
        <v>520</v>
      </c>
      <c r="B10" s="871" t="s">
        <v>1990</v>
      </c>
      <c r="C10" s="872"/>
      <c r="D10" s="870" t="s">
        <v>522</v>
      </c>
      <c r="E10" s="869"/>
      <c r="F10" s="1935">
        <f>'Expenditures 15-22'!K174</f>
        <v>63200</v>
      </c>
      <c r="G10" s="873"/>
    </row>
    <row r="11" spans="1:7" x14ac:dyDescent="0.2">
      <c r="A11" s="870" t="s">
        <v>481</v>
      </c>
      <c r="B11" s="871" t="s">
        <v>1991</v>
      </c>
      <c r="C11" s="872"/>
      <c r="D11" s="870" t="s">
        <v>522</v>
      </c>
      <c r="E11" s="869"/>
      <c r="F11" s="1935">
        <f>'Expenditures 15-22'!K210</f>
        <v>204623</v>
      </c>
      <c r="G11" s="873"/>
    </row>
    <row r="12" spans="1:7" x14ac:dyDescent="0.2">
      <c r="A12" s="870" t="s">
        <v>482</v>
      </c>
      <c r="B12" s="871" t="s">
        <v>1992</v>
      </c>
      <c r="C12" s="872"/>
      <c r="D12" s="870" t="s">
        <v>522</v>
      </c>
      <c r="E12" s="869"/>
      <c r="F12" s="1935">
        <f>'Expenditures 15-22'!K295</f>
        <v>76676</v>
      </c>
      <c r="G12" s="873"/>
    </row>
    <row r="13" spans="1:7" x14ac:dyDescent="0.2">
      <c r="A13" s="870" t="s">
        <v>108</v>
      </c>
      <c r="B13" s="871" t="s">
        <v>1993</v>
      </c>
      <c r="C13" s="872"/>
      <c r="D13" s="870" t="s">
        <v>522</v>
      </c>
      <c r="E13" s="869"/>
      <c r="F13" s="1935">
        <f>'Expenditures 15-22'!K342</f>
        <v>35864</v>
      </c>
      <c r="G13" s="874"/>
    </row>
    <row r="14" spans="1:7" ht="12" customHeight="1" thickBot="1" x14ac:dyDescent="0.25">
      <c r="A14" s="1792"/>
      <c r="B14" s="1793"/>
      <c r="C14" s="1794"/>
      <c r="D14" s="1795" t="s">
        <v>522</v>
      </c>
      <c r="E14" s="1796" t="s">
        <v>1015</v>
      </c>
      <c r="F14" s="1797">
        <f>SUM(F8:F13)</f>
        <v>2652049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80280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972</v>
      </c>
      <c r="G52" s="866"/>
    </row>
    <row r="53" spans="1:7" x14ac:dyDescent="0.2">
      <c r="A53" s="870" t="s">
        <v>479</v>
      </c>
      <c r="B53" s="870" t="s">
        <v>1551</v>
      </c>
      <c r="C53" s="890">
        <f>'Expenditures 15-22'!B102</f>
        <v>4000</v>
      </c>
      <c r="D53" s="889" t="str">
        <f>'Expenditures 15-22'!A102</f>
        <v>Total Payments to Other Govt Units</v>
      </c>
      <c r="E53" s="869"/>
      <c r="F53" s="1939">
        <f>'Expenditures 15-22'!K102</f>
        <v>294326</v>
      </c>
      <c r="G53" s="866"/>
    </row>
    <row r="54" spans="1:7" x14ac:dyDescent="0.2">
      <c r="A54" s="870" t="s">
        <v>479</v>
      </c>
      <c r="B54" s="870" t="s">
        <v>1552</v>
      </c>
      <c r="C54" s="890" t="s">
        <v>1039</v>
      </c>
      <c r="D54" s="886" t="s">
        <v>1157</v>
      </c>
      <c r="E54" s="869"/>
      <c r="F54" s="1939">
        <f>'Expenditures 15-22'!G114</f>
        <v>23183</v>
      </c>
      <c r="G54" s="866"/>
    </row>
    <row r="55" spans="1:7" x14ac:dyDescent="0.2">
      <c r="A55" s="870" t="s">
        <v>479</v>
      </c>
      <c r="B55" s="870" t="s">
        <v>1553</v>
      </c>
      <c r="C55" s="890" t="s">
        <v>1039</v>
      </c>
      <c r="D55" s="886" t="s">
        <v>309</v>
      </c>
      <c r="E55" s="869"/>
      <c r="F55" s="1939">
        <f>'Expenditures 15-22'!I114</f>
        <v>1424</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29670</v>
      </c>
      <c r="G57" s="866"/>
    </row>
    <row r="58" spans="1:7" x14ac:dyDescent="0.2">
      <c r="A58" s="870" t="s">
        <v>480</v>
      </c>
      <c r="B58" s="870" t="s">
        <v>1995</v>
      </c>
      <c r="C58" s="887" t="s">
        <v>1039</v>
      </c>
      <c r="D58" s="886" t="s">
        <v>1157</v>
      </c>
      <c r="E58" s="869"/>
      <c r="F58" s="1941">
        <f>'Expenditures 15-22'!G151</f>
        <v>26037</v>
      </c>
      <c r="G58" s="866"/>
    </row>
    <row r="59" spans="1:7" x14ac:dyDescent="0.2">
      <c r="A59" s="894" t="s">
        <v>480</v>
      </c>
      <c r="B59" s="857" t="s">
        <v>1996</v>
      </c>
      <c r="C59" s="895" t="s">
        <v>1039</v>
      </c>
      <c r="D59" s="857" t="s">
        <v>309</v>
      </c>
      <c r="F59" s="1942">
        <f>'Expenditures 15-22'!I151</f>
        <v>2750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60000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3958</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3190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525790</v>
      </c>
      <c r="G76" s="866"/>
    </row>
    <row r="77" spans="1:8" s="894" customFormat="1" ht="12" customHeight="1" thickTop="1" thickBot="1" x14ac:dyDescent="0.25">
      <c r="A77" s="1801"/>
      <c r="B77" s="1798"/>
      <c r="C77" s="1794"/>
      <c r="D77" s="1799" t="s">
        <v>2012</v>
      </c>
      <c r="E77" s="1796"/>
      <c r="F77" s="1802">
        <f>(F14-F76)</f>
        <v>2126259</v>
      </c>
      <c r="G77" s="870"/>
    </row>
    <row r="78" spans="1:8" s="894" customFormat="1" ht="12" customHeight="1" thickTop="1" x14ac:dyDescent="0.2">
      <c r="A78" s="1803"/>
      <c r="B78" s="1798"/>
      <c r="C78" s="1794"/>
      <c r="D78" s="1799" t="s">
        <v>2059</v>
      </c>
      <c r="E78" s="1796"/>
      <c r="F78" s="899">
        <v>211.35</v>
      </c>
      <c r="G78" s="900"/>
      <c r="H78" s="870"/>
    </row>
    <row r="79" spans="1:8" s="894" customFormat="1" ht="12" customHeight="1" thickBot="1" x14ac:dyDescent="0.25">
      <c r="A79" s="1804"/>
      <c r="B79" s="1798"/>
      <c r="C79" s="1794"/>
      <c r="D79" s="1799" t="s">
        <v>2013</v>
      </c>
      <c r="E79" s="1796" t="s">
        <v>1015</v>
      </c>
      <c r="F79" s="1805">
        <f>IF(F78&gt;0,F77/F78," Complete Line 78")</f>
        <v>10060.369056068133</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784</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114</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14578</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39886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2694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93865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26757</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156088</v>
      </c>
      <c r="G129" s="931"/>
    </row>
    <row r="130" spans="1:7" x14ac:dyDescent="0.2">
      <c r="A130" s="928" t="s">
        <v>689</v>
      </c>
      <c r="B130" s="928" t="s">
        <v>804</v>
      </c>
      <c r="C130" s="933">
        <v>4300</v>
      </c>
      <c r="D130" s="934" t="str">
        <f>'Revenues 9-14'!A211</f>
        <v>Total Title I</v>
      </c>
      <c r="E130" s="907"/>
      <c r="F130" s="1811">
        <f>SUM('Revenues 9-14'!C211,'Revenues 9-14'!D211,'Revenues 9-14'!F211,'Revenues 9-14'!G211)</f>
        <v>136557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8195</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1516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8538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5549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23181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70165</v>
      </c>
      <c r="G175" s="928"/>
    </row>
    <row r="176" spans="1:7" x14ac:dyDescent="0.2">
      <c r="A176" s="1944" t="s">
        <v>685</v>
      </c>
      <c r="B176" s="1945" t="s">
        <v>2058</v>
      </c>
      <c r="C176" s="1946">
        <v>3300</v>
      </c>
      <c r="D176" s="1947" t="s">
        <v>2062</v>
      </c>
      <c r="E176" s="907"/>
      <c r="F176" s="1931">
        <v>13</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588480</v>
      </c>
    </row>
    <row r="179" spans="1:7" ht="12" customHeight="1" x14ac:dyDescent="0.2">
      <c r="A179" s="1792"/>
      <c r="B179" s="1806"/>
      <c r="C179" s="1807"/>
      <c r="D179" s="1808" t="s">
        <v>2015</v>
      </c>
      <c r="E179" s="1809"/>
      <c r="F179" s="1811">
        <f>'PCTC-OEPP 27-28'!F77-F178</f>
        <v>1537779</v>
      </c>
    </row>
    <row r="180" spans="1:7" ht="12" customHeight="1" x14ac:dyDescent="0.2">
      <c r="A180" s="1792"/>
      <c r="B180" s="1806"/>
      <c r="C180" s="1807"/>
      <c r="D180" s="1808" t="s">
        <v>1924</v>
      </c>
      <c r="E180" s="1809"/>
      <c r="F180" s="1811">
        <f>'Cap Outlay Deprec 26'!I18</f>
        <v>130637.4</v>
      </c>
    </row>
    <row r="181" spans="1:7" ht="12" customHeight="1" x14ac:dyDescent="0.2">
      <c r="A181" s="1792"/>
      <c r="B181" s="1806"/>
      <c r="C181" s="1807"/>
      <c r="D181" s="1808" t="s">
        <v>2016</v>
      </c>
      <c r="E181" s="1809"/>
      <c r="F181" s="1811">
        <f>F179+F180</f>
        <v>1668416.4</v>
      </c>
    </row>
    <row r="182" spans="1:7" ht="12" customHeight="1" x14ac:dyDescent="0.2">
      <c r="A182" s="1792"/>
      <c r="B182" s="1812"/>
      <c r="C182" s="1807"/>
      <c r="D182" s="1808" t="str">
        <f>D78</f>
        <v>9 Month ADA from District Average Daily Attendance/Prior General State Aid Inquiry 2017-2018</v>
      </c>
      <c r="E182" s="1809"/>
      <c r="F182" s="1813">
        <f>'PCTC-OEPP 27-28'!F78</f>
        <v>211.35</v>
      </c>
      <c r="G182" s="931"/>
    </row>
    <row r="183" spans="1:7" ht="12" customHeight="1" thickBot="1" x14ac:dyDescent="0.25">
      <c r="A183" s="1792"/>
      <c r="B183" s="1812"/>
      <c r="C183" s="1807"/>
      <c r="D183" s="1808" t="s">
        <v>2017</v>
      </c>
      <c r="E183" s="1809" t="s">
        <v>1626</v>
      </c>
      <c r="F183" s="1814">
        <f>F181/F182</f>
        <v>7894.0922640170329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20" sqref="D20"/>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2094</v>
      </c>
      <c r="B17" s="1958" t="s">
        <v>2095</v>
      </c>
      <c r="C17" s="1959" t="s">
        <v>2096</v>
      </c>
      <c r="D17" s="1867">
        <v>39960</v>
      </c>
      <c r="E17" s="1562">
        <f t="shared" ref="E17:E141" si="1">IF(D17&lt;=25000,D17,IF(D17&gt;25000,25000,0))</f>
        <v>25000</v>
      </c>
      <c r="F17" s="1815">
        <f t="shared" si="0"/>
        <v>25000</v>
      </c>
      <c r="G17" s="1816">
        <f>IF(F17=0,0,D17-F17)</f>
        <v>14960</v>
      </c>
      <c r="H17" s="1669"/>
    </row>
    <row r="18" spans="1:8" x14ac:dyDescent="0.25">
      <c r="A18" s="1957" t="s">
        <v>2094</v>
      </c>
      <c r="B18" s="1958" t="s">
        <v>2095</v>
      </c>
      <c r="C18" s="1959" t="s">
        <v>2097</v>
      </c>
      <c r="D18" s="1867">
        <v>31236</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6236</v>
      </c>
    </row>
    <row r="19" spans="1:8" ht="30" x14ac:dyDescent="0.25">
      <c r="A19" s="1957" t="s">
        <v>2098</v>
      </c>
      <c r="B19" s="1958" t="s">
        <v>2099</v>
      </c>
      <c r="C19" s="1959" t="s">
        <v>2100</v>
      </c>
      <c r="D19" s="1867">
        <v>205060</v>
      </c>
      <c r="E19" s="1562">
        <f t="shared" si="2"/>
        <v>25000</v>
      </c>
      <c r="F19" s="1815">
        <f t="shared" si="3"/>
        <v>25000</v>
      </c>
      <c r="G19" s="1816">
        <f t="shared" si="4"/>
        <v>180060</v>
      </c>
    </row>
    <row r="20" spans="1:8" x14ac:dyDescent="0.25">
      <c r="A20" s="1957"/>
      <c r="B20" s="195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276256</v>
      </c>
      <c r="E141" s="1563">
        <f t="shared" si="1"/>
        <v>25000</v>
      </c>
      <c r="F141" s="1817">
        <f>SUM(F17:F140)</f>
        <v>75000</v>
      </c>
      <c r="G141" s="1818">
        <f>SUM(G17:G140)</f>
        <v>201256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&amp;L&amp;8Page 29&amp;R&amp;8Page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E29" sqref="E2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v>0</v>
      </c>
      <c r="F10" s="975"/>
      <c r="G10" s="976"/>
      <c r="H10" s="162"/>
      <c r="I10" s="162"/>
    </row>
    <row r="11" spans="1:9" s="669" customFormat="1" ht="22.5" customHeight="1" x14ac:dyDescent="0.2">
      <c r="A11" s="2306" t="s">
        <v>1945</v>
      </c>
      <c r="B11" s="2307"/>
      <c r="C11" s="2307"/>
      <c r="D11" s="2308"/>
      <c r="E11" s="978">
        <v>13372</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1254067</v>
      </c>
      <c r="F19" s="1822"/>
      <c r="G19" s="1824">
        <f>'Expenditures 15-22'!K33-SUM('Expenditures 15-22'!G33,'Expenditures 15-22'!I33)+'Expenditures 15-22'!D229</f>
        <v>1254067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136228</v>
      </c>
      <c r="F21" s="1825"/>
      <c r="G21" s="1828">
        <f>'Expenditures 15-22'!K42-SUM('Expenditures 15-22'!G42,'Expenditures 15-22'!I42)+'Expenditures 15-22'!K120-SUM('Expenditures 15-22'!G120,'Expenditures 15-22'!I120)+'Expenditures 15-22'!K180-SUM('Expenditures 15-22'!G180,'Expenditures 15-22'!I180)+'Expenditures 15-22'!D238</f>
        <v>136228</v>
      </c>
      <c r="H21" s="988"/>
      <c r="I21" s="162"/>
    </row>
    <row r="22" spans="1:9" s="669" customFormat="1" ht="12" customHeight="1" x14ac:dyDescent="0.2">
      <c r="A22" s="995" t="s">
        <v>585</v>
      </c>
      <c r="B22" s="996"/>
      <c r="C22" s="994">
        <v>2200</v>
      </c>
      <c r="D22" s="1825"/>
      <c r="E22" s="1827">
        <f>'Expenditures 15-22'!K47-SUM('Expenditures 15-22'!G47,'Expenditures 15-22'!I47)+'Expenditures 15-22'!D243</f>
        <v>14396</v>
      </c>
      <c r="F22" s="1825"/>
      <c r="G22" s="1828">
        <f>'Expenditures 15-22'!K47-SUM('Expenditures 15-22'!G47,'Expenditures 15-22'!I47)+'Expenditures 15-22'!D243</f>
        <v>14396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96305</v>
      </c>
      <c r="F23" s="1825"/>
      <c r="G23" s="1827">
        <f>'Expenditures 15-22'!K53-SUM('Expenditures 15-22'!G53,'Expenditures 15-22'!I53)+'Expenditures 15-22'!D257+'Expenditures 15-22'!K330-SUM('Expenditures 15-22'!G330,'Expenditures 15-22'!I330)</f>
        <v>96305</v>
      </c>
      <c r="H23" s="988"/>
      <c r="I23" s="162"/>
    </row>
    <row r="24" spans="1:9" s="669" customFormat="1" ht="12" customHeight="1" x14ac:dyDescent="0.2">
      <c r="A24" s="995" t="s">
        <v>587</v>
      </c>
      <c r="B24" s="996"/>
      <c r="C24" s="994">
        <v>2400</v>
      </c>
      <c r="D24" s="1825"/>
      <c r="E24" s="1827">
        <f>'Expenditures 15-22'!K57-SUM('Expenditures 15-22'!G57,'Expenditures 15-22'!I57)+'Expenditures 15-22'!D261</f>
        <v>102102</v>
      </c>
      <c r="F24" s="1825"/>
      <c r="G24" s="1828">
        <f>'Expenditures 15-22'!K57-SUM('Expenditures 15-22'!G57,'Expenditures 15-22'!I57)+'Expenditures 15-22'!D261</f>
        <v>102102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5300</v>
      </c>
      <c r="E26" s="1827">
        <f>'Expenditures 15-22'!K122-SUM('Expenditures 15-22'!G122,'Expenditures 15-22'!I122)+E7</f>
        <v>0</v>
      </c>
      <c r="F26" s="1827">
        <f>'Expenditures 15-22'!K59-SUM('Expenditures 15-22'!G59,'Expenditures 15-22'!I59)+'Expenditures 15-22'!D263-E7</f>
        <v>5300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49095</v>
      </c>
      <c r="E27" s="1827">
        <f>E8</f>
        <v>0</v>
      </c>
      <c r="F27" s="1827">
        <f>'Expenditures 15-22'!K60-SUM('Expenditures 15-22'!G60,'Expenditures 15-22'!I60)+'Expenditures 15-22'!D264-E8</f>
        <v>49095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184757</v>
      </c>
      <c r="F28" s="1829">
        <f>'Expenditures 15-22'!K61-SUM('Expenditures 15-22'!G61,'Expenditures 15-22'!I61)+'Expenditures 15-22'!K124-SUM('Expenditures 15-22'!G124,'Expenditures 15-22'!I124)+'Expenditures 15-22'!D266-E9</f>
        <v>184757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204623</v>
      </c>
      <c r="F29" s="1825"/>
      <c r="G29" s="1828">
        <f>'Expenditures 15-22'!K62-SUM('Expenditures 15-22'!G62,'Expenditures 15-22'!I62)+'Expenditures 15-22'!K125-SUM('Expenditures 15-22'!G125,'Expenditures 15-22'!I125)+'Expenditures 15-22'!K182-SUM('Expenditures 15-22'!G182,'Expenditures 15-22'!I182)+'Expenditures 15-22'!D267</f>
        <v>204623</v>
      </c>
      <c r="H29" s="986"/>
    </row>
    <row r="30" spans="1:9" ht="12" customHeight="1" x14ac:dyDescent="0.2">
      <c r="A30" s="995" t="s">
        <v>102</v>
      </c>
      <c r="B30" s="998"/>
      <c r="C30" s="994">
        <v>2560</v>
      </c>
      <c r="D30" s="1825"/>
      <c r="E30" s="1827">
        <f>'Expenditures 15-22'!K63-SUM('Expenditures 15-22'!G63,'Expenditures 15-22'!I63)+'Expenditures 15-22'!D268-E10</f>
        <v>159074</v>
      </c>
      <c r="F30" s="1825"/>
      <c r="G30" s="1827">
        <f>'Expenditures 15-22'!K63-SUM('Expenditures 15-22'!G63,'Expenditures 15-22'!I63)+'Expenditures 15-22'!D268-E10</f>
        <v>159074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972</v>
      </c>
      <c r="F39" s="1825"/>
      <c r="G39" s="1827">
        <f>'Expenditures 15-22'!K75-SUM('Expenditures 15-22'!G75,'Expenditures 15-22'!I75)+'Expenditures 15-22'!K130-SUM('Expenditures 15-22'!G130,'Expenditures 15-22'!I130)+'Expenditures 15-22'!K185-SUM('Expenditures 15-22'!G185,'Expenditures 15-22'!I185)+'Expenditures 15-22'!D280</f>
        <v>972</v>
      </c>
    </row>
    <row r="40" spans="1:7" ht="12" customHeight="1" x14ac:dyDescent="0.2">
      <c r="A40" s="991" t="s">
        <v>1930</v>
      </c>
      <c r="B40" s="992"/>
      <c r="C40" s="994"/>
      <c r="D40" s="1825"/>
      <c r="E40" s="1829">
        <f>-'Contracts Paid in CY 29'!G141</f>
        <v>-201256</v>
      </c>
      <c r="F40" s="1825"/>
      <c r="G40" s="1829">
        <f>-'Contracts Paid in CY 29'!G141</f>
        <v>-201256</v>
      </c>
    </row>
    <row r="41" spans="1:7" ht="12" customHeight="1" x14ac:dyDescent="0.2">
      <c r="A41" s="999" t="s">
        <v>158</v>
      </c>
      <c r="B41" s="1000"/>
      <c r="C41" s="1001"/>
      <c r="D41" s="1829">
        <f>SUM(D19:D39)</f>
        <v>54395</v>
      </c>
      <c r="E41" s="1829">
        <f>SUM(E19:E40)</f>
        <v>1951268</v>
      </c>
      <c r="F41" s="1829">
        <f>SUM(F19:F39)</f>
        <v>239152</v>
      </c>
      <c r="G41" s="1829">
        <f>SUM(G19:G40)</f>
        <v>1766511</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54395</v>
      </c>
      <c r="F43" s="1830" t="s">
        <v>495</v>
      </c>
      <c r="G43" s="1831">
        <f>F41</f>
        <v>239152</v>
      </c>
    </row>
    <row r="44" spans="1:7" ht="12" customHeight="1" x14ac:dyDescent="0.2">
      <c r="A44" s="988"/>
      <c r="B44" s="162"/>
      <c r="C44" s="1002"/>
      <c r="D44" s="1830" t="s">
        <v>494</v>
      </c>
      <c r="E44" s="1831">
        <f>E41</f>
        <v>1951268</v>
      </c>
      <c r="F44" s="1830" t="s">
        <v>494</v>
      </c>
      <c r="G44" s="1831">
        <f>G41</f>
        <v>1766511</v>
      </c>
    </row>
    <row r="45" spans="1:7" ht="12" customHeight="1" x14ac:dyDescent="0.2">
      <c r="A45" s="988"/>
      <c r="B45" s="162"/>
      <c r="C45" s="162"/>
      <c r="D45" s="1832" t="s">
        <v>1063</v>
      </c>
      <c r="E45" s="1833">
        <f>(E43/E44)</f>
        <v>2.7876744762892643E-2</v>
      </c>
      <c r="F45" s="1832" t="s">
        <v>1063</v>
      </c>
      <c r="G45" s="1833">
        <f>(G43/G44)</f>
        <v>0.13538098545664307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23" activePane="bottomLeft" state="frozen"/>
      <selection activeCell="A47" sqref="A47"/>
      <selection pane="bottomLeft" activeCell="A43" sqref="A43:F4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Pleasant Hill Grade School District No. 69</v>
      </c>
      <c r="D6" s="2327"/>
      <c r="E6" s="2327"/>
      <c r="F6" s="1877"/>
    </row>
    <row r="7" spans="1:10" ht="11.25" customHeight="1" thickBot="1" x14ac:dyDescent="0.3">
      <c r="A7" s="1875"/>
      <c r="B7" s="1876"/>
      <c r="C7" s="2328">
        <f>COVER!A13</f>
        <v>48072069002</v>
      </c>
      <c r="D7" s="2328"/>
      <c r="E7" s="232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2085</v>
      </c>
      <c r="D14" s="1890" t="s">
        <v>2085</v>
      </c>
      <c r="E14" s="1893"/>
      <c r="F14" s="1892" t="s">
        <v>2101</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2085</v>
      </c>
      <c r="D16" s="1890" t="s">
        <v>2085</v>
      </c>
      <c r="E16" s="1893"/>
      <c r="F16" s="1892" t="s">
        <v>2102</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2085</v>
      </c>
      <c r="D19" s="1890" t="s">
        <v>2085</v>
      </c>
      <c r="E19" s="1893"/>
      <c r="F19" s="1892" t="s">
        <v>2103</v>
      </c>
      <c r="H19" s="1903">
        <f t="shared" si="0"/>
        <v>5</v>
      </c>
      <c r="I19" s="1903">
        <f t="shared" si="1"/>
        <v>5</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t="s">
        <v>2085</v>
      </c>
      <c r="D21" s="1890" t="s">
        <v>2085</v>
      </c>
      <c r="E21" s="1893"/>
      <c r="F21" s="1892" t="s">
        <v>2102</v>
      </c>
      <c r="H21" s="1903">
        <f t="shared" si="0"/>
        <v>5</v>
      </c>
      <c r="I21" s="1903">
        <f t="shared" si="1"/>
        <v>5</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2085</v>
      </c>
      <c r="D25" s="1890" t="s">
        <v>2085</v>
      </c>
      <c r="E25" s="1893"/>
      <c r="F25" s="1892" t="s">
        <v>2101</v>
      </c>
      <c r="H25" s="1903">
        <f t="shared" si="0"/>
        <v>5</v>
      </c>
      <c r="I25" s="1903">
        <f t="shared" si="1"/>
        <v>5</v>
      </c>
      <c r="J25" s="1903">
        <f t="shared" si="2"/>
        <v>0</v>
      </c>
    </row>
    <row r="26" spans="1:12" ht="12" customHeight="1" x14ac:dyDescent="0.2">
      <c r="A26" s="1888" t="s">
        <v>1615</v>
      </c>
      <c r="B26" s="1889"/>
      <c r="C26" s="1890" t="s">
        <v>2085</v>
      </c>
      <c r="D26" s="1890" t="s">
        <v>2085</v>
      </c>
      <c r="E26" s="1893"/>
      <c r="F26" s="1892" t="s">
        <v>2104</v>
      </c>
      <c r="H26" s="1903">
        <f t="shared" si="0"/>
        <v>5</v>
      </c>
      <c r="I26" s="1903">
        <f t="shared" si="1"/>
        <v>5</v>
      </c>
      <c r="J26" s="1903">
        <f t="shared" si="2"/>
        <v>0</v>
      </c>
    </row>
    <row r="27" spans="1:12" ht="18.75" x14ac:dyDescent="0.2">
      <c r="A27" s="1888" t="s">
        <v>1616</v>
      </c>
      <c r="B27" s="1889"/>
      <c r="C27" s="1890" t="s">
        <v>2085</v>
      </c>
      <c r="D27" s="1890" t="s">
        <v>2085</v>
      </c>
      <c r="E27" s="1893"/>
      <c r="F27" s="1892" t="s">
        <v>2102</v>
      </c>
      <c r="H27" s="1903">
        <f t="shared" si="0"/>
        <v>5</v>
      </c>
      <c r="I27" s="1903">
        <f t="shared" si="1"/>
        <v>5</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2085</v>
      </c>
      <c r="D29" s="1890" t="s">
        <v>2085</v>
      </c>
      <c r="E29" s="1893"/>
      <c r="F29" s="1892" t="s">
        <v>2102</v>
      </c>
      <c r="H29" s="1903">
        <f t="shared" si="0"/>
        <v>5</v>
      </c>
      <c r="I29" s="1903">
        <f t="shared" si="1"/>
        <v>5</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40</v>
      </c>
      <c r="I34" s="1903">
        <f>SUM(I11:I32)</f>
        <v>40</v>
      </c>
      <c r="J34" s="1903">
        <f>SUM(J11:J32)</f>
        <v>0</v>
      </c>
      <c r="K34" s="1903">
        <f>SUM(H34:J34)</f>
        <v>80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t="s">
        <v>2105</v>
      </c>
      <c r="B41" s="2321"/>
      <c r="C41" s="2321"/>
      <c r="D41" s="2321"/>
      <c r="E41" s="2321"/>
      <c r="F41" s="2322"/>
      <c r="H41" s="1904"/>
      <c r="I41" s="1904"/>
      <c r="J41" s="1904"/>
      <c r="K41" s="1904"/>
    </row>
    <row r="42" spans="1:11" s="1895" customFormat="1" ht="12" customHeight="1" x14ac:dyDescent="0.25">
      <c r="A42" s="2320" t="s">
        <v>2106</v>
      </c>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Header>&amp;L&amp;8Page 31&amp;R&amp;8Page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18" sqref="G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Pleasant Hill Grade School District No. 69</v>
      </c>
      <c r="J6" s="2337"/>
      <c r="Q6" s="1686"/>
    </row>
    <row r="7" spans="1:17" x14ac:dyDescent="0.2">
      <c r="A7" s="2338" t="s">
        <v>924</v>
      </c>
      <c r="B7" s="2339"/>
      <c r="C7" s="2339"/>
      <c r="D7" s="2339"/>
      <c r="E7" s="2340"/>
      <c r="F7" s="1018"/>
      <c r="G7" s="1010"/>
      <c r="H7" s="1017" t="s">
        <v>390</v>
      </c>
      <c r="I7" s="2341">
        <f>COVER!A13</f>
        <v>48072069002</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41468</v>
      </c>
      <c r="F12" s="1040"/>
      <c r="G12" s="1834">
        <f t="shared" ref="G12:G18" si="0">SUM(E12:F12)</f>
        <v>41468</v>
      </c>
      <c r="H12" s="1041">
        <v>42822</v>
      </c>
      <c r="I12" s="1040"/>
      <c r="J12" s="1834">
        <f t="shared" ref="J12:J18" si="1">SUM(H12:I12)</f>
        <v>42822</v>
      </c>
    </row>
    <row r="13" spans="1:17" ht="15" customHeight="1" x14ac:dyDescent="0.2">
      <c r="A13" s="1036">
        <v>2</v>
      </c>
      <c r="B13" s="1037" t="s">
        <v>44</v>
      </c>
      <c r="C13" s="1038"/>
      <c r="D13" s="1039">
        <v>2330</v>
      </c>
      <c r="E13" s="1834">
        <f>'Expenditures 15-22'!K51</f>
        <v>0</v>
      </c>
      <c r="F13" s="1040"/>
      <c r="G13" s="1834">
        <f t="shared" si="0"/>
        <v>0</v>
      </c>
      <c r="H13" s="1041">
        <v>0</v>
      </c>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5300</v>
      </c>
      <c r="F15" s="1834">
        <f>'Expenditures 15-22'!K122</f>
        <v>0</v>
      </c>
      <c r="G15" s="1834">
        <f t="shared" si="0"/>
        <v>5300</v>
      </c>
      <c r="H15" s="1041">
        <v>6100</v>
      </c>
      <c r="I15" s="1041">
        <v>0</v>
      </c>
      <c r="J15" s="1834">
        <f t="shared" si="1"/>
        <v>6100</v>
      </c>
    </row>
    <row r="16" spans="1:17" ht="15" customHeight="1" x14ac:dyDescent="0.2">
      <c r="A16" s="1036">
        <v>5</v>
      </c>
      <c r="B16" s="1037" t="s">
        <v>103</v>
      </c>
      <c r="C16" s="1038"/>
      <c r="D16" s="1039">
        <v>2570</v>
      </c>
      <c r="E16" s="1834">
        <f>'Expenditures 15-22'!K64</f>
        <v>0</v>
      </c>
      <c r="F16" s="1040"/>
      <c r="G16" s="1834">
        <f t="shared" si="0"/>
        <v>0</v>
      </c>
      <c r="H16" s="1041">
        <v>0</v>
      </c>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45" t="s">
        <v>7</v>
      </c>
      <c r="C18" s="2346"/>
      <c r="D18" s="2347"/>
      <c r="E18" s="1044">
        <v>0</v>
      </c>
      <c r="F18" s="1044">
        <v>0</v>
      </c>
      <c r="G18" s="1835">
        <f t="shared" si="0"/>
        <v>0</v>
      </c>
      <c r="H18" s="1041">
        <v>0</v>
      </c>
      <c r="I18" s="1041">
        <v>0</v>
      </c>
      <c r="J18" s="1834">
        <f t="shared" si="1"/>
        <v>0</v>
      </c>
    </row>
    <row r="19" spans="1:10" ht="12.75" customHeight="1" thickBot="1" x14ac:dyDescent="0.25">
      <c r="A19" s="1036">
        <v>8</v>
      </c>
      <c r="B19" s="1045" t="s">
        <v>1223</v>
      </c>
      <c r="D19" s="1046"/>
      <c r="E19" s="1836">
        <f t="shared" ref="E19:J19" si="2">SUM(E12:E17)-E18</f>
        <v>46768</v>
      </c>
      <c r="F19" s="1836">
        <f t="shared" si="2"/>
        <v>0</v>
      </c>
      <c r="G19" s="1836">
        <f t="shared" si="2"/>
        <v>46768</v>
      </c>
      <c r="H19" s="1836">
        <f t="shared" si="2"/>
        <v>48922</v>
      </c>
      <c r="I19" s="1836">
        <f t="shared" si="2"/>
        <v>0</v>
      </c>
      <c r="J19" s="1836">
        <f t="shared" si="2"/>
        <v>48922</v>
      </c>
    </row>
    <row r="20" spans="1:10" ht="13.5" thickTop="1" x14ac:dyDescent="0.2">
      <c r="A20" s="1036">
        <v>9</v>
      </c>
      <c r="B20" s="2348" t="s">
        <v>1703</v>
      </c>
      <c r="C20" s="2348"/>
      <c r="D20" s="2349"/>
      <c r="E20" s="1047"/>
      <c r="F20" s="1047"/>
      <c r="G20" s="1047"/>
      <c r="H20" s="1047"/>
      <c r="I20" s="1047"/>
      <c r="J20" s="1837">
        <f>IF(AND(G19&gt;0,J19&gt;0),(((J19-G19)/G19)),"Enter Budget Data")</f>
        <v>4.605713308244954E-2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2107</v>
      </c>
    </row>
    <row r="6" spans="1:2" x14ac:dyDescent="0.2">
      <c r="A6" s="1069"/>
      <c r="B6" s="329" t="s">
        <v>2109</v>
      </c>
    </row>
    <row r="7" spans="1:2" x14ac:dyDescent="0.2">
      <c r="A7" s="1069">
        <v>2</v>
      </c>
      <c r="B7" s="329" t="s">
        <v>2108</v>
      </c>
    </row>
    <row r="8" spans="1:2" x14ac:dyDescent="0.2">
      <c r="A8" s="1069">
        <v>3</v>
      </c>
      <c r="B8" s="329" t="s">
        <v>2110</v>
      </c>
    </row>
    <row r="9" spans="1:2" x14ac:dyDescent="0.2">
      <c r="A9" s="1069">
        <v>4</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Pleasant Hill Grade School District No. 69</v>
      </c>
    </row>
    <row r="65" spans="2:2" x14ac:dyDescent="0.2">
      <c r="B65" s="1071">
        <f>COVER!A13</f>
        <v>48072069002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2183057</v>
      </c>
      <c r="C8" s="1838">
        <f>'Acct Summary 7-8'!D8</f>
        <v>99610</v>
      </c>
      <c r="D8" s="1838">
        <f>'Acct Summary 7-8'!F8</f>
        <v>138403</v>
      </c>
      <c r="E8" s="1838">
        <f>'Acct Summary 7-8'!I8</f>
        <v>8387</v>
      </c>
      <c r="F8" s="1838">
        <f>SUM(B8:E8)</f>
        <v>2429457</v>
      </c>
    </row>
    <row r="9" spans="1:8" s="1080" customFormat="1" ht="14.25" customHeight="1" thickBot="1" x14ac:dyDescent="0.25">
      <c r="A9" s="1079" t="s">
        <v>1436</v>
      </c>
      <c r="B9" s="1839">
        <f>'Acct Summary 7-8'!C17</f>
        <v>2145498</v>
      </c>
      <c r="C9" s="1839">
        <f>'Acct Summary 7-8'!D17</f>
        <v>126188</v>
      </c>
      <c r="D9" s="1839">
        <f>'Acct Summary 7-8'!F17</f>
        <v>204623</v>
      </c>
      <c r="E9" s="1838"/>
      <c r="F9" s="1838">
        <f>SUM(B9:E9)</f>
        <v>2476309</v>
      </c>
    </row>
    <row r="10" spans="1:8" s="1080" customFormat="1" ht="14.25" thickTop="1" thickBot="1" x14ac:dyDescent="0.25">
      <c r="A10" s="1081" t="s">
        <v>1437</v>
      </c>
      <c r="B10" s="1840">
        <f>(B8-B9)</f>
        <v>37559</v>
      </c>
      <c r="C10" s="1840">
        <f>(C8-C9)</f>
        <v>-26578</v>
      </c>
      <c r="D10" s="1840">
        <f>(D8-D9)</f>
        <v>-66220</v>
      </c>
      <c r="E10" s="1839">
        <f>(E8-E9)</f>
        <v>8387</v>
      </c>
      <c r="F10" s="1841">
        <f>SUM(F8-F9)</f>
        <v>-46852</v>
      </c>
    </row>
    <row r="11" spans="1:8" s="1080" customFormat="1" ht="14.25" thickTop="1" thickBot="1" x14ac:dyDescent="0.25">
      <c r="A11" s="1082" t="s">
        <v>1785</v>
      </c>
      <c r="B11" s="1842">
        <f>'Acct Summary 7-8'!C81</f>
        <v>1253082</v>
      </c>
      <c r="C11" s="1842">
        <f>'Acct Summary 7-8'!D81</f>
        <v>125943</v>
      </c>
      <c r="D11" s="1842">
        <f>'Acct Summary 7-8'!F81</f>
        <v>53727</v>
      </c>
      <c r="E11" s="1842">
        <f>'Acct Summary 7-8'!I81</f>
        <v>43710</v>
      </c>
      <c r="F11" s="1843">
        <f>SUM(B11:E11)</f>
        <v>1476462</v>
      </c>
    </row>
    <row r="12" spans="1:8" ht="16.5" customHeight="1" thickTop="1" x14ac:dyDescent="0.2">
      <c r="A12" s="1083"/>
      <c r="B12" s="1084"/>
      <c r="C12" s="2360" t="str">
        <f>IF(AND(F10&lt;0,F11&gt;=0,ABS(F10*3)&gt;ABS(F11)),A16,IF(AND(F10&lt;0,F11&gt;0,ABS(F10*3)&lt;=ABS(F11)),A17,IF(AND(F10&lt;0,F11&lt;0),A16,IF(F11=0,A19,A18))))</f>
        <v>Unbalanced -  however, a deficit reduction plan is not required at this time.</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110" zoomScaleNormal="110" workbookViewId="0">
      <selection activeCell="D45" sqref="D4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48072069002</v>
      </c>
    </row>
    <row r="3" spans="1:2" x14ac:dyDescent="0.2">
      <c r="A3" t="s">
        <v>1013</v>
      </c>
      <c r="B3" s="138" t="str">
        <f>COVER!A15</f>
        <v>Peoria</v>
      </c>
    </row>
    <row r="4" spans="1:2" x14ac:dyDescent="0.2">
      <c r="A4" t="s">
        <v>1064</v>
      </c>
      <c r="B4" s="138" t="str">
        <f>COVER!A17</f>
        <v>Pleasant Hill Grade School District No. 69</v>
      </c>
    </row>
    <row r="5" spans="1:2" x14ac:dyDescent="0.2">
      <c r="A5" t="s">
        <v>728</v>
      </c>
      <c r="B5" s="138" t="str">
        <f>COVER!A38</f>
        <v>Lisa Weaver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066-004769</v>
      </c>
    </row>
    <row r="16" spans="1:2" x14ac:dyDescent="0.2">
      <c r="A16" t="s">
        <v>442</v>
      </c>
      <c r="B16" s="138" t="str">
        <f>COVER!T13</f>
        <v>Meister, Hilton, Chitwood &amp;  Associates, Inc.</v>
      </c>
    </row>
    <row r="17" spans="1:2" x14ac:dyDescent="0.2">
      <c r="A17" t="s">
        <v>939</v>
      </c>
      <c r="B17" s="138" t="str">
        <f>COVER!T15</f>
        <v>Ron Hilton</v>
      </c>
    </row>
    <row r="18" spans="1:2" x14ac:dyDescent="0.2">
      <c r="A18" t="s">
        <v>1212</v>
      </c>
      <c r="B18" s="138" t="str">
        <f>COVER!T17</f>
        <v>809 W.  Detweiller Drive, Suite 804</v>
      </c>
    </row>
    <row r="19" spans="1:2" x14ac:dyDescent="0.2">
      <c r="A19" t="s">
        <v>941</v>
      </c>
      <c r="B19" s="138" t="str">
        <f>COVER!T25</f>
        <v>ron.hilton1@comcast.net</v>
      </c>
    </row>
    <row r="20" spans="1:2" x14ac:dyDescent="0.2">
      <c r="A20" t="s">
        <v>942</v>
      </c>
      <c r="B20" s="138" t="str">
        <f>COVER!T19</f>
        <v>Peoria</v>
      </c>
    </row>
    <row r="21" spans="1:2" x14ac:dyDescent="0.2">
      <c r="A21" t="s">
        <v>500</v>
      </c>
      <c r="B21" s="138" t="str">
        <f>COVER!X19</f>
        <v>IL</v>
      </c>
    </row>
    <row r="22" spans="1:2" x14ac:dyDescent="0.2">
      <c r="A22" t="s">
        <v>943</v>
      </c>
      <c r="B22" s="138">
        <f>COVER!Z19</f>
        <v>61615</v>
      </c>
    </row>
    <row r="23" spans="1:2" x14ac:dyDescent="0.2">
      <c r="A23" t="s">
        <v>1214</v>
      </c>
      <c r="B23" s="138" t="str">
        <f>COVER!T21</f>
        <v>(309) 683-0441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789818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1253136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54</v>
      </c>
      <c r="C91" s="2" t="s">
        <v>594</v>
      </c>
      <c r="D91" s="2" t="str">
        <f t="shared" si="0"/>
        <v>Error?</v>
      </c>
    </row>
    <row r="92" spans="1:4" x14ac:dyDescent="0.2">
      <c r="A92" s="5">
        <v>31</v>
      </c>
      <c r="B92" s="138">
        <f>'Assets-Liab 5-6'!C39</f>
        <v>1244338</v>
      </c>
      <c r="D92" s="2" t="str">
        <f t="shared" si="0"/>
        <v>Error?</v>
      </c>
    </row>
    <row r="93" spans="1:4" x14ac:dyDescent="0.2">
      <c r="A93" s="5">
        <v>32</v>
      </c>
      <c r="B93" s="138">
        <f>'Assets-Liab 5-6'!C41</f>
        <v>1253136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19052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125943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125943</v>
      </c>
      <c r="D123" s="2" t="str">
        <f t="shared" si="0"/>
        <v>Error?</v>
      </c>
    </row>
    <row r="124" spans="1:4" x14ac:dyDescent="0.2">
      <c r="A124" s="5">
        <v>63</v>
      </c>
      <c r="B124" s="138">
        <f>'Assets-Liab 5-6'!D41</f>
        <v>125943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353</v>
      </c>
      <c r="D129" s="2" t="str">
        <f t="shared" si="1"/>
        <v>Error?</v>
      </c>
    </row>
    <row r="130" spans="1:4" x14ac:dyDescent="0.2">
      <c r="A130" s="5">
        <v>69</v>
      </c>
      <c r="B130" s="138">
        <f>'Assets-Liab 5-6'!E12</f>
        <v>0</v>
      </c>
      <c r="D130" s="2" t="str">
        <f t="shared" si="1"/>
        <v>Error?</v>
      </c>
    </row>
    <row r="131" spans="1:4" x14ac:dyDescent="0.2">
      <c r="A131" s="5">
        <v>70</v>
      </c>
      <c r="B131" s="138">
        <f>'Assets-Liab 5-6'!E13</f>
        <v>5684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5684</v>
      </c>
      <c r="D140" s="2" t="str">
        <f t="shared" si="1"/>
        <v>Error?</v>
      </c>
    </row>
    <row r="141" spans="1:4" x14ac:dyDescent="0.2">
      <c r="A141" s="5">
        <v>80</v>
      </c>
      <c r="B141" s="138">
        <f>'Assets-Liab 5-6'!E41</f>
        <v>5684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15885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53727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53727</v>
      </c>
      <c r="D170" s="2" t="str">
        <f t="shared" si="1"/>
        <v>Error?</v>
      </c>
    </row>
    <row r="171" spans="1:4" x14ac:dyDescent="0.2">
      <c r="A171" s="5">
        <v>110</v>
      </c>
      <c r="B171" s="138">
        <f>'Assets-Liab 5-6'!F41</f>
        <v>53727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2197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21732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21732</v>
      </c>
      <c r="D189" s="2" t="str">
        <f t="shared" si="1"/>
        <v>Error?</v>
      </c>
    </row>
    <row r="190" spans="1:4" x14ac:dyDescent="0.2">
      <c r="A190" s="5">
        <v>129</v>
      </c>
      <c r="B190" s="138">
        <f>'Assets-Liab 5-6'!G41</f>
        <v>21732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42603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42603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22962</v>
      </c>
      <c r="D273" s="2" t="str">
        <f t="shared" si="3"/>
        <v>Error?</v>
      </c>
    </row>
    <row r="274" spans="1:4" x14ac:dyDescent="0.2">
      <c r="A274" s="5">
        <v>213</v>
      </c>
      <c r="B274" s="138">
        <f>'Assets-Liab 5-6'!M17</f>
        <v>2182092</v>
      </c>
      <c r="D274" s="2" t="str">
        <f t="shared" si="3"/>
        <v>Error?</v>
      </c>
    </row>
    <row r="275" spans="1:4" x14ac:dyDescent="0.2">
      <c r="A275" s="5">
        <v>214</v>
      </c>
      <c r="B275" s="138">
        <f>'Assets-Liab 5-6'!M18</f>
        <v>173622</v>
      </c>
      <c r="D275" s="2" t="str">
        <f t="shared" si="3"/>
        <v>Error?</v>
      </c>
    </row>
    <row r="276" spans="1:4" x14ac:dyDescent="0.2">
      <c r="A276" s="5">
        <v>215</v>
      </c>
      <c r="B276" s="138">
        <f>'Assets-Liab 5-6'!M19</f>
        <v>160421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2539097</v>
      </c>
      <c r="C279" s="2" t="s">
        <v>594</v>
      </c>
      <c r="D279" s="2" t="str">
        <f t="shared" si="3"/>
        <v>Error?</v>
      </c>
    </row>
    <row r="280" spans="1:4" x14ac:dyDescent="0.2">
      <c r="A280" s="5">
        <v>219</v>
      </c>
      <c r="B280" s="138">
        <f>'Assets-Liab 5-6'!M40</f>
        <v>2539097</v>
      </c>
      <c r="D280" s="2" t="str">
        <f t="shared" si="3"/>
        <v>Error?</v>
      </c>
    </row>
    <row r="281" spans="1:4" x14ac:dyDescent="0.2">
      <c r="A281" s="5">
        <v>220</v>
      </c>
      <c r="B281" s="138">
        <f>'Assets-Liab 5-6'!M41</f>
        <v>2539097</v>
      </c>
      <c r="C281" s="2" t="s">
        <v>594</v>
      </c>
      <c r="D281" s="2" t="str">
        <f t="shared" si="3"/>
        <v>Error?</v>
      </c>
    </row>
    <row r="282" spans="1:4" x14ac:dyDescent="0.2">
      <c r="A282" s="5">
        <v>221</v>
      </c>
      <c r="B282" s="138">
        <f>'Assets-Liab 5-6'!N21</f>
        <v>5684</v>
      </c>
      <c r="D282" s="2" t="str">
        <f t="shared" si="3"/>
        <v>Error?</v>
      </c>
    </row>
    <row r="283" spans="1:4" x14ac:dyDescent="0.2">
      <c r="A283" s="5">
        <v>222</v>
      </c>
      <c r="B283" s="138">
        <f>'Assets-Liab 5-6'!N22</f>
        <v>54316</v>
      </c>
      <c r="D283" s="2" t="str">
        <f t="shared" si="3"/>
        <v>Error?</v>
      </c>
    </row>
    <row r="284" spans="1:4" x14ac:dyDescent="0.2">
      <c r="A284" s="5">
        <v>223</v>
      </c>
      <c r="B284" s="138">
        <f>'Assets-Liab 5-6'!N23</f>
        <v>60000</v>
      </c>
      <c r="C284" s="2" t="s">
        <v>594</v>
      </c>
      <c r="D284" s="2" t="str">
        <f t="shared" si="3"/>
        <v>Error?</v>
      </c>
    </row>
    <row r="285" spans="1:4" x14ac:dyDescent="0.2">
      <c r="A285" s="5">
        <v>224</v>
      </c>
      <c r="B285" s="138">
        <f>'Assets-Liab 5-6'!N36</f>
        <v>60000</v>
      </c>
      <c r="D285" s="2" t="str">
        <f t="shared" si="3"/>
        <v>Error?</v>
      </c>
    </row>
    <row r="286" spans="1:4" x14ac:dyDescent="0.2">
      <c r="A286" s="10">
        <v>225</v>
      </c>
      <c r="D286" s="2" t="str">
        <f t="shared" si="3"/>
        <v>OK</v>
      </c>
    </row>
    <row r="287" spans="1:4" x14ac:dyDescent="0.2">
      <c r="A287" s="5">
        <v>226</v>
      </c>
      <c r="B287" s="138">
        <f>'Assets-Liab 5-6'!N37</f>
        <v>60000</v>
      </c>
      <c r="C287" s="2" t="s">
        <v>594</v>
      </c>
      <c r="D287" s="2" t="str">
        <f t="shared" si="3"/>
        <v>Error?</v>
      </c>
    </row>
    <row r="288" spans="1:4" x14ac:dyDescent="0.2">
      <c r="A288" s="5">
        <v>227</v>
      </c>
      <c r="B288" s="138">
        <f>'Assets-Liab 5-6'!N41</f>
        <v>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710459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11164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976504</v>
      </c>
      <c r="C720" s="2" t="s">
        <v>594</v>
      </c>
      <c r="D720" s="2" t="str">
        <f t="shared" si="10"/>
        <v>Error?</v>
      </c>
    </row>
    <row r="721" spans="1:4" x14ac:dyDescent="0.2">
      <c r="A721" s="5">
        <v>660</v>
      </c>
      <c r="B721" s="138">
        <f>'Expenditures 15-22'!C36</f>
        <v>49904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49904</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1469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1469</v>
      </c>
      <c r="C731" s="2" t="s">
        <v>594</v>
      </c>
      <c r="D731" s="2" t="str">
        <f t="shared" si="10"/>
        <v>Error?</v>
      </c>
    </row>
    <row r="732" spans="1:4" x14ac:dyDescent="0.2">
      <c r="A732" s="5">
        <v>671</v>
      </c>
      <c r="B732" s="138">
        <f>'Expenditures 15-22'!C49</f>
        <v>2729</v>
      </c>
      <c r="D732" s="2" t="str">
        <f t="shared" si="10"/>
        <v>Error?</v>
      </c>
    </row>
    <row r="733" spans="1:4" x14ac:dyDescent="0.2">
      <c r="A733" s="5">
        <v>672</v>
      </c>
      <c r="B733" s="138">
        <f>'Expenditures 15-22'!C50</f>
        <v>40500</v>
      </c>
      <c r="D733" s="2" t="str">
        <f t="shared" si="10"/>
        <v>Error?</v>
      </c>
    </row>
    <row r="734" spans="1:4" x14ac:dyDescent="0.2">
      <c r="A734" s="5">
        <v>673</v>
      </c>
      <c r="B734" s="138">
        <f>'Expenditures 15-22'!C53</f>
        <v>43229</v>
      </c>
      <c r="C734" s="2" t="s">
        <v>594</v>
      </c>
      <c r="D734" s="2" t="str">
        <f t="shared" si="10"/>
        <v>Error?</v>
      </c>
    </row>
    <row r="735" spans="1:4" x14ac:dyDescent="0.2">
      <c r="A735" s="5">
        <v>674</v>
      </c>
      <c r="B735" s="138">
        <f>'Expenditures 15-22'!C55</f>
        <v>82654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82654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36334</v>
      </c>
      <c r="D739" s="2" t="str">
        <f t="shared" si="10"/>
        <v>Error?</v>
      </c>
    </row>
    <row r="740" spans="1:4" x14ac:dyDescent="0.2">
      <c r="A740" s="5">
        <v>679</v>
      </c>
      <c r="B740" s="138">
        <f>'Expenditures 15-22'!C61</f>
        <v>82476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39395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158205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335461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1311965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87063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141261</v>
      </c>
      <c r="C778" s="2" t="s">
        <v>594</v>
      </c>
      <c r="D778" s="2" t="str">
        <f t="shared" si="11"/>
        <v>Error?</v>
      </c>
    </row>
    <row r="779" spans="1:4" x14ac:dyDescent="0.2">
      <c r="A779" s="5">
        <v>718</v>
      </c>
      <c r="B779" s="138">
        <f>'Expenditures 15-22'!D36</f>
        <v>5630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5630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514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15185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15185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5900</v>
      </c>
      <c r="D797" s="2" t="str">
        <f t="shared" si="11"/>
        <v>Error?</v>
      </c>
    </row>
    <row r="798" spans="1:4" x14ac:dyDescent="0.2">
      <c r="A798" s="5">
        <v>737</v>
      </c>
      <c r="B798" s="138">
        <f>'Expenditures 15-22'!D61</f>
        <v>12262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5517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23679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45008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186269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51430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62195</v>
      </c>
      <c r="C836" s="2" t="s">
        <v>594</v>
      </c>
      <c r="D836" s="2" t="str">
        <f t="shared" si="12"/>
        <v>Error?</v>
      </c>
    </row>
    <row r="837" spans="1:4" x14ac:dyDescent="0.2">
      <c r="A837" s="5">
        <v>776</v>
      </c>
      <c r="B837" s="138">
        <f>'Expenditures 15-22'!E36</f>
        <v>22165</v>
      </c>
      <c r="D837" s="2" t="str">
        <f t="shared" si="12"/>
        <v>Error?</v>
      </c>
    </row>
    <row r="838" spans="1:4" x14ac:dyDescent="0.2">
      <c r="A838" s="5">
        <v>777</v>
      </c>
      <c r="B838" s="138">
        <f>'Expenditures 15-22'!E37</f>
        <v>9071</v>
      </c>
      <c r="D838" s="2" t="str">
        <f t="shared" si="12"/>
        <v>Error?</v>
      </c>
    </row>
    <row r="839" spans="1:4" x14ac:dyDescent="0.2">
      <c r="A839" s="5">
        <v>778</v>
      </c>
      <c r="B839" s="138">
        <f>'Expenditures 15-22'!E38</f>
        <v>39960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71196</v>
      </c>
      <c r="C843" s="2" t="s">
        <v>594</v>
      </c>
      <c r="D843" s="2" t="str">
        <f t="shared" si="12"/>
        <v>Error?</v>
      </c>
    </row>
    <row r="844" spans="1:4" x14ac:dyDescent="0.2">
      <c r="A844" s="5">
        <v>783</v>
      </c>
      <c r="B844" s="138">
        <f>'Expenditures 15-22'!E44</f>
        <v>2025</v>
      </c>
      <c r="D844" s="2" t="str">
        <f t="shared" si="12"/>
        <v>Error?</v>
      </c>
    </row>
    <row r="845" spans="1:4" x14ac:dyDescent="0.2">
      <c r="A845" s="5">
        <v>784</v>
      </c>
      <c r="B845" s="138">
        <f>'Expenditures 15-22'!E45</f>
        <v>2222</v>
      </c>
      <c r="D845" s="2" t="str">
        <f t="shared" si="12"/>
        <v>Error?</v>
      </c>
    </row>
    <row r="846" spans="1:4" x14ac:dyDescent="0.2">
      <c r="A846" s="5">
        <v>785</v>
      </c>
      <c r="B846" s="138">
        <f>'Expenditures 15-22'!E46</f>
        <v>4779</v>
      </c>
      <c r="D846" s="2" t="str">
        <f t="shared" si="12"/>
        <v>Error?</v>
      </c>
    </row>
    <row r="847" spans="1:4" x14ac:dyDescent="0.2">
      <c r="A847" s="5">
        <v>786</v>
      </c>
      <c r="B847" s="138">
        <f>'Expenditures 15-22'!E47</f>
        <v>9026</v>
      </c>
      <c r="C847" s="2" t="s">
        <v>594</v>
      </c>
      <c r="D847" s="2" t="str">
        <f t="shared" si="12"/>
        <v>Error?</v>
      </c>
    </row>
    <row r="848" spans="1:4" x14ac:dyDescent="0.2">
      <c r="A848" s="5">
        <v>787</v>
      </c>
      <c r="B848" s="138">
        <f>'Expenditures 15-22'!E49</f>
        <v>7155</v>
      </c>
      <c r="D848" s="2" t="str">
        <f t="shared" si="12"/>
        <v>Error?</v>
      </c>
    </row>
    <row r="849" spans="1:4" x14ac:dyDescent="0.2">
      <c r="A849" s="5">
        <v>788</v>
      </c>
      <c r="B849" s="138">
        <f>'Expenditures 15-22'!E50</f>
        <v>0</v>
      </c>
      <c r="D849" s="2" t="str">
        <f t="shared" si="12"/>
        <v>Error?</v>
      </c>
    </row>
    <row r="850" spans="1:4" x14ac:dyDescent="0.2">
      <c r="A850" s="5">
        <v>789</v>
      </c>
      <c r="B850" s="138">
        <f>'Expenditures 15-22'!E53</f>
        <v>7155</v>
      </c>
      <c r="C850" s="2" t="s">
        <v>594</v>
      </c>
      <c r="D850" s="2" t="str">
        <f t="shared" si="12"/>
        <v>Error?</v>
      </c>
    </row>
    <row r="851" spans="1:4" x14ac:dyDescent="0.2">
      <c r="A851" s="5">
        <v>790</v>
      </c>
      <c r="B851" s="138">
        <f>'Expenditures 15-22'!E55</f>
        <v>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83</v>
      </c>
      <c r="C853" s="2" t="s">
        <v>594</v>
      </c>
      <c r="D853" s="2" t="str">
        <f t="shared" si="12"/>
        <v>Error?</v>
      </c>
    </row>
    <row r="854" spans="1:4" x14ac:dyDescent="0.2">
      <c r="A854" s="5">
        <v>793</v>
      </c>
      <c r="B854" s="138">
        <f>'Expenditures 15-22'!E59</f>
        <v>5300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6638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2475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14413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101873</v>
      </c>
      <c r="C871" s="2" t="s">
        <v>594</v>
      </c>
      <c r="D871" s="2" t="str">
        <f t="shared" si="12"/>
        <v>Error?</v>
      </c>
    </row>
    <row r="872" spans="1:4" x14ac:dyDescent="0.2">
      <c r="A872" s="5">
        <v>811</v>
      </c>
      <c r="B872" s="138">
        <f>'Expenditures 15-22'!E75</f>
        <v>44</v>
      </c>
      <c r="D872" s="2" t="str">
        <f t="shared" si="12"/>
        <v>Error?</v>
      </c>
    </row>
    <row r="873" spans="1:4" x14ac:dyDescent="0.2">
      <c r="A873" s="5">
        <v>812</v>
      </c>
      <c r="B873" s="138">
        <f>'Expenditures 15-22'!E114</f>
        <v>164112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30783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32279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1708</v>
      </c>
      <c r="D904" s="2" t="str">
        <f t="shared" si="13"/>
        <v>Error?</v>
      </c>
    </row>
    <row r="905" spans="1:4" x14ac:dyDescent="0.2">
      <c r="A905" s="5">
        <v>844</v>
      </c>
      <c r="B905" s="138">
        <f>'Expenditures 15-22'!F47</f>
        <v>1708</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968</v>
      </c>
      <c r="D907" s="2" t="str">
        <f t="shared" si="13"/>
        <v>Error?</v>
      </c>
    </row>
    <row r="908" spans="1:4" x14ac:dyDescent="0.2">
      <c r="A908" s="5">
        <v>847</v>
      </c>
      <c r="B908" s="138">
        <f>'Expenditures 15-22'!F53</f>
        <v>968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104436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104436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107112</v>
      </c>
      <c r="C929" s="2" t="s">
        <v>594</v>
      </c>
      <c r="D929" s="2" t="str">
        <f t="shared" si="13"/>
        <v>Error?</v>
      </c>
    </row>
    <row r="930" spans="1:4" x14ac:dyDescent="0.2">
      <c r="A930" s="5">
        <v>869</v>
      </c>
      <c r="B930" s="138">
        <f>'Expenditures 15-22'!F75</f>
        <v>928</v>
      </c>
      <c r="D930" s="2" t="str">
        <f t="shared" si="13"/>
        <v>Error?</v>
      </c>
    </row>
    <row r="931" spans="1:4" x14ac:dyDescent="0.2">
      <c r="A931" s="5">
        <v>870</v>
      </c>
      <c r="B931" s="138">
        <f>'Expenditures 15-22'!F114</f>
        <v>140319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17855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22105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1078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1078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1078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23183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9800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9855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1398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1398</v>
      </c>
      <c r="C1021" s="2" t="s">
        <v>594</v>
      </c>
      <c r="D1021" s="2" t="str">
        <f t="shared" si="14"/>
        <v>Error?</v>
      </c>
    </row>
    <row r="1022" spans="1:4" x14ac:dyDescent="0.2">
      <c r="A1022" s="5">
        <v>961</v>
      </c>
      <c r="B1022" s="138">
        <f>'Expenditures 15-22'!H49</f>
        <v>8316</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8316</v>
      </c>
      <c r="C1024" s="2" t="s">
        <v>594</v>
      </c>
      <c r="D1024" s="2" t="str">
        <f t="shared" si="15"/>
        <v>Error?</v>
      </c>
    </row>
    <row r="1025" spans="1:4" x14ac:dyDescent="0.2">
      <c r="A1025" s="5">
        <v>964</v>
      </c>
      <c r="B1025" s="138">
        <f>'Expenditures 15-22'!H55</f>
        <v>2981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2981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12695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294326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318226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908814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13673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1245623</v>
      </c>
      <c r="C1108" s="2" t="s">
        <v>594</v>
      </c>
      <c r="D1108" s="2" t="str">
        <f t="shared" si="16"/>
        <v>Error?</v>
      </c>
    </row>
    <row r="1109" spans="1:4" x14ac:dyDescent="0.2">
      <c r="A1109" s="5">
        <v>1048</v>
      </c>
      <c r="B1109" s="138">
        <f>'Expenditures 15-22'!K36</f>
        <v>77699</v>
      </c>
      <c r="C1109" s="2" t="s">
        <v>594</v>
      </c>
      <c r="D1109" s="2" t="str">
        <f t="shared" si="16"/>
        <v>Error?</v>
      </c>
    </row>
    <row r="1110" spans="1:4" x14ac:dyDescent="0.2">
      <c r="A1110" s="5">
        <v>1049</v>
      </c>
      <c r="B1110" s="138">
        <f>'Expenditures 15-22'!K37</f>
        <v>9071</v>
      </c>
      <c r="C1110" s="2" t="s">
        <v>594</v>
      </c>
      <c r="D1110" s="2" t="str">
        <f t="shared" si="16"/>
        <v>Error?</v>
      </c>
    </row>
    <row r="1111" spans="1:4" x14ac:dyDescent="0.2">
      <c r="A1111" s="5">
        <v>1050</v>
      </c>
      <c r="B1111" s="138">
        <f>'Expenditures 15-22'!K38</f>
        <v>39960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126730</v>
      </c>
      <c r="C1115" s="2" t="s">
        <v>594</v>
      </c>
      <c r="D1115" s="2" t="str">
        <f t="shared" si="16"/>
        <v>Error?</v>
      </c>
    </row>
    <row r="1116" spans="1:4" x14ac:dyDescent="0.2">
      <c r="A1116" s="5">
        <v>1055</v>
      </c>
      <c r="B1116" s="138">
        <f>'Expenditures 15-22'!K44</f>
        <v>3423</v>
      </c>
      <c r="C1116" s="2" t="s">
        <v>594</v>
      </c>
      <c r="D1116" s="2" t="str">
        <f t="shared" si="16"/>
        <v>Error?</v>
      </c>
    </row>
    <row r="1117" spans="1:4" x14ac:dyDescent="0.2">
      <c r="A1117" s="5">
        <v>1056</v>
      </c>
      <c r="B1117" s="138">
        <f>'Expenditures 15-22'!K45</f>
        <v>5283</v>
      </c>
      <c r="C1117" s="2" t="s">
        <v>594</v>
      </c>
      <c r="D1117" s="2" t="str">
        <f t="shared" si="16"/>
        <v>Error?</v>
      </c>
    </row>
    <row r="1118" spans="1:4" x14ac:dyDescent="0.2">
      <c r="A1118" s="5">
        <v>1057</v>
      </c>
      <c r="B1118" s="138">
        <f>'Expenditures 15-22'!K46</f>
        <v>6487</v>
      </c>
      <c r="C1118" s="2" t="s">
        <v>594</v>
      </c>
      <c r="D1118" s="2" t="str">
        <f t="shared" si="16"/>
        <v>Error?</v>
      </c>
    </row>
    <row r="1119" spans="1:4" x14ac:dyDescent="0.2">
      <c r="A1119" s="5">
        <v>1058</v>
      </c>
      <c r="B1119" s="138">
        <f>'Expenditures 15-22'!K47</f>
        <v>15193</v>
      </c>
      <c r="C1119" s="2" t="s">
        <v>594</v>
      </c>
      <c r="D1119" s="2" t="str">
        <f t="shared" si="16"/>
        <v>Error?</v>
      </c>
    </row>
    <row r="1120" spans="1:4" x14ac:dyDescent="0.2">
      <c r="A1120" s="5">
        <v>1059</v>
      </c>
      <c r="B1120" s="138">
        <f>'Expenditures 15-22'!K49</f>
        <v>18200</v>
      </c>
      <c r="C1120" s="2" t="s">
        <v>594</v>
      </c>
      <c r="D1120" s="2" t="str">
        <f t="shared" si="16"/>
        <v>Error?</v>
      </c>
    </row>
    <row r="1121" spans="1:4" x14ac:dyDescent="0.2">
      <c r="A1121" s="5">
        <v>1060</v>
      </c>
      <c r="B1121" s="138">
        <f>'Expenditures 15-22'!K50</f>
        <v>41468</v>
      </c>
      <c r="C1121" s="2" t="s">
        <v>594</v>
      </c>
      <c r="D1121" s="2" t="str">
        <f t="shared" si="16"/>
        <v>Error?</v>
      </c>
    </row>
    <row r="1122" spans="1:4" x14ac:dyDescent="0.2">
      <c r="A1122" s="5">
        <v>1061</v>
      </c>
      <c r="B1122" s="138">
        <f>'Expenditures 15-22'!K53</f>
        <v>59668</v>
      </c>
      <c r="C1122" s="2" t="s">
        <v>594</v>
      </c>
      <c r="D1122" s="2" t="str">
        <f t="shared" si="16"/>
        <v>Error?</v>
      </c>
    </row>
    <row r="1123" spans="1:4" x14ac:dyDescent="0.2">
      <c r="A1123" s="5">
        <v>1062</v>
      </c>
      <c r="B1123" s="138">
        <f>'Expenditures 15-22'!K55</f>
        <v>100903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100903</v>
      </c>
      <c r="C1125" s="2" t="s">
        <v>594</v>
      </c>
      <c r="D1125" s="2" t="str">
        <f t="shared" si="16"/>
        <v>Error?</v>
      </c>
    </row>
    <row r="1126" spans="1:4" x14ac:dyDescent="0.2">
      <c r="A1126" s="5">
        <v>1065</v>
      </c>
      <c r="B1126" s="138">
        <f>'Expenditures 15-22'!K59</f>
        <v>5300</v>
      </c>
      <c r="C1126" s="2" t="s">
        <v>594</v>
      </c>
      <c r="D1126" s="2" t="str">
        <f t="shared" si="16"/>
        <v>Error?</v>
      </c>
    </row>
    <row r="1127" spans="1:4" x14ac:dyDescent="0.2">
      <c r="A1127" s="5">
        <v>1066</v>
      </c>
      <c r="B1127" s="138">
        <f>'Expenditures 15-22'!K60</f>
        <v>42234</v>
      </c>
      <c r="C1127" s="2" t="s">
        <v>594</v>
      </c>
      <c r="D1127" s="2" t="str">
        <f t="shared" si="16"/>
        <v>Error?</v>
      </c>
    </row>
    <row r="1128" spans="1:4" x14ac:dyDescent="0.2">
      <c r="A1128" s="5">
        <v>1067</v>
      </c>
      <c r="B1128" s="138">
        <f>'Expenditures 15-22'!K61</f>
        <v>101376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151823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300733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603227</v>
      </c>
      <c r="C1143" s="2" t="s">
        <v>594</v>
      </c>
      <c r="D1143" s="2" t="str">
        <f t="shared" si="16"/>
        <v>Error?</v>
      </c>
    </row>
    <row r="1144" spans="1:4" x14ac:dyDescent="0.2">
      <c r="A1144" s="5">
        <v>1083</v>
      </c>
      <c r="B1144" s="138">
        <f>'Expenditures 15-22'!K75</f>
        <v>972</v>
      </c>
      <c r="C1144" s="2" t="s">
        <v>594</v>
      </c>
      <c r="D1144" s="2" t="str">
        <f t="shared" si="16"/>
        <v>Error?</v>
      </c>
    </row>
    <row r="1145" spans="1:4" x14ac:dyDescent="0.2">
      <c r="A1145" s="5">
        <v>1084</v>
      </c>
      <c r="B1145" s="138">
        <f>'Expenditures 15-22'!K102</f>
        <v>294326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2145498</v>
      </c>
      <c r="C1152" s="2" t="s">
        <v>594</v>
      </c>
      <c r="D1152" s="2" t="str">
        <f t="shared" si="17"/>
        <v>Error?</v>
      </c>
    </row>
    <row r="1153" spans="1:4" x14ac:dyDescent="0.2">
      <c r="A1153" s="5">
        <v>1092</v>
      </c>
      <c r="B1153" s="138">
        <f>'Expenditures 15-22'!K115</f>
        <v>37559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32771</v>
      </c>
      <c r="D1237" s="2" t="str">
        <f t="shared" si="18"/>
        <v>Error?</v>
      </c>
    </row>
    <row r="1238" spans="1:4" x14ac:dyDescent="0.2">
      <c r="A1238" s="10">
        <v>1177</v>
      </c>
      <c r="D1238" s="2" t="str">
        <f t="shared" si="18"/>
        <v>OK</v>
      </c>
    </row>
    <row r="1239" spans="1:4" x14ac:dyDescent="0.2">
      <c r="A1239" s="5">
        <v>1178</v>
      </c>
      <c r="B1239" s="138">
        <f>'Expenditures 15-22'!E127</f>
        <v>32771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32771</v>
      </c>
      <c r="C1241" s="2" t="s">
        <v>594</v>
      </c>
      <c r="D1241" s="2" t="str">
        <f t="shared" si="18"/>
        <v>Error?</v>
      </c>
    </row>
    <row r="1242" spans="1:4" x14ac:dyDescent="0.2">
      <c r="A1242" s="5">
        <v>1181</v>
      </c>
      <c r="B1242" s="138">
        <f>'Expenditures 15-22'!E151</f>
        <v>32771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34960</v>
      </c>
      <c r="D1245" s="2" t="str">
        <f t="shared" si="18"/>
        <v>Error?</v>
      </c>
    </row>
    <row r="1246" spans="1:4" x14ac:dyDescent="0.2">
      <c r="A1246" s="10">
        <v>1185</v>
      </c>
      <c r="D1246" s="2" t="str">
        <f t="shared" si="18"/>
        <v>OK</v>
      </c>
    </row>
    <row r="1247" spans="1:4" x14ac:dyDescent="0.2">
      <c r="A1247" s="5">
        <v>1186</v>
      </c>
      <c r="B1247" s="138">
        <f>'Expenditures 15-22'!F127</f>
        <v>34960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34960</v>
      </c>
      <c r="C1249" s="2" t="s">
        <v>594</v>
      </c>
      <c r="D1249" s="2" t="str">
        <f t="shared" si="18"/>
        <v>Error?</v>
      </c>
    </row>
    <row r="1250" spans="1:4" x14ac:dyDescent="0.2">
      <c r="A1250" s="5">
        <v>1189</v>
      </c>
      <c r="B1250" s="138">
        <f>'Expenditures 15-22'!F151</f>
        <v>34960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26037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26037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26037</v>
      </c>
      <c r="C1258" s="2" t="s">
        <v>594</v>
      </c>
      <c r="D1258" s="2" t="str">
        <f t="shared" si="18"/>
        <v>Error?</v>
      </c>
    </row>
    <row r="1259" spans="1:4" x14ac:dyDescent="0.2">
      <c r="A1259" s="5">
        <v>1198</v>
      </c>
      <c r="B1259" s="138">
        <f>'Expenditures 15-22'!G151</f>
        <v>26037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29670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29670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96518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96518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96518</v>
      </c>
      <c r="C1281" s="2" t="s">
        <v>594</v>
      </c>
      <c r="D1281" s="2" t="str">
        <f t="shared" si="19"/>
        <v>Error?</v>
      </c>
    </row>
    <row r="1282" spans="1:4" x14ac:dyDescent="0.2">
      <c r="A1282" s="5">
        <v>1221</v>
      </c>
      <c r="B1282" s="138">
        <f>'Expenditures 15-22'!K139</f>
        <v>29670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126188</v>
      </c>
      <c r="C1288" s="2" t="s">
        <v>594</v>
      </c>
      <c r="D1288" s="2" t="str">
        <f t="shared" si="19"/>
        <v>Error?</v>
      </c>
    </row>
    <row r="1289" spans="1:4" x14ac:dyDescent="0.2">
      <c r="A1289" s="5">
        <v>1228</v>
      </c>
      <c r="B1289" s="138">
        <f>'Expenditures 15-22'!K152</f>
        <v>-26578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63200</v>
      </c>
      <c r="C1317" s="2" t="s">
        <v>594</v>
      </c>
      <c r="D1317" s="2" t="str">
        <f t="shared" si="19"/>
        <v>Error?</v>
      </c>
    </row>
    <row r="1318" spans="1:4" x14ac:dyDescent="0.2">
      <c r="A1318" s="5">
        <v>1257</v>
      </c>
      <c r="B1318" s="138">
        <f>'Expenditures 15-22'!H174</f>
        <v>63200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63200</v>
      </c>
      <c r="C1331" s="2" t="s">
        <v>594</v>
      </c>
      <c r="D1331" s="2" t="str">
        <f t="shared" si="19"/>
        <v>Error?</v>
      </c>
    </row>
    <row r="1332" spans="1:4" x14ac:dyDescent="0.2">
      <c r="A1332" s="5">
        <v>1271</v>
      </c>
      <c r="B1332" s="138">
        <f>'Expenditures 15-22'!K174</f>
        <v>63200</v>
      </c>
      <c r="C1332" s="2" t="s">
        <v>594</v>
      </c>
      <c r="D1332" s="2" t="str">
        <f t="shared" si="19"/>
        <v>Error?</v>
      </c>
    </row>
    <row r="1333" spans="1:4" x14ac:dyDescent="0.2">
      <c r="A1333" s="5">
        <v>1272</v>
      </c>
      <c r="B1333" s="138">
        <f>'Expenditures 15-22'!K175</f>
        <v>-35</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204623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204623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204623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204623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204623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204623</v>
      </c>
      <c r="C1388" s="2" t="s">
        <v>594</v>
      </c>
      <c r="D1388" s="2" t="str">
        <f t="shared" si="20"/>
        <v>Error?</v>
      </c>
    </row>
    <row r="1389" spans="1:4" x14ac:dyDescent="0.2">
      <c r="A1389" s="5">
        <v>1328</v>
      </c>
      <c r="B1389" s="138">
        <f>'Expenditures 15-22'!K211</f>
        <v>-66220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564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31973</v>
      </c>
      <c r="C1410" s="2" t="s">
        <v>594</v>
      </c>
      <c r="D1410" s="2" t="str">
        <f t="shared" si="21"/>
        <v>Error?</v>
      </c>
    </row>
    <row r="1411" spans="1:4" x14ac:dyDescent="0.2">
      <c r="A1411" s="5">
        <v>1350</v>
      </c>
      <c r="B1411" s="138">
        <f>'Expenditures 15-22'!D232</f>
        <v>9498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9498</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281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281</v>
      </c>
      <c r="C1421" s="2" t="s">
        <v>594</v>
      </c>
      <c r="D1421" s="2" t="str">
        <f t="shared" si="21"/>
        <v>Error?</v>
      </c>
    </row>
    <row r="1422" spans="1:4" x14ac:dyDescent="0.2">
      <c r="A1422" s="5">
        <v>1361</v>
      </c>
      <c r="B1422" s="138">
        <f>'Expenditures 15-22'!D245</f>
        <v>186</v>
      </c>
      <c r="D1422" s="2" t="str">
        <f t="shared" si="21"/>
        <v>Error?</v>
      </c>
    </row>
    <row r="1423" spans="1:4" x14ac:dyDescent="0.2">
      <c r="A1423" s="5">
        <v>1362</v>
      </c>
      <c r="B1423" s="138">
        <f>'Expenditures 15-22'!D246</f>
        <v>587</v>
      </c>
      <c r="D1423" s="2" t="str">
        <f t="shared" si="21"/>
        <v>Error?</v>
      </c>
    </row>
    <row r="1424" spans="1:4" x14ac:dyDescent="0.2">
      <c r="A1424" s="5">
        <v>1363</v>
      </c>
      <c r="B1424" s="138">
        <f>'Expenditures 15-22'!D257</f>
        <v>773</v>
      </c>
      <c r="C1424" s="2" t="s">
        <v>594</v>
      </c>
      <c r="D1424" s="2" t="str">
        <f t="shared" si="21"/>
        <v>Error?</v>
      </c>
    </row>
    <row r="1425" spans="1:4" x14ac:dyDescent="0.2">
      <c r="A1425" s="5">
        <v>1364</v>
      </c>
      <c r="B1425" s="138">
        <f>'Expenditures 15-22'!D259</f>
        <v>1199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1199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6861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15650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7251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29762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41513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76676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564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31973</v>
      </c>
      <c r="C1474" s="2" t="s">
        <v>594</v>
      </c>
      <c r="D1474" s="2" t="str">
        <f t="shared" si="22"/>
        <v>Error?</v>
      </c>
    </row>
    <row r="1475" spans="1:4" x14ac:dyDescent="0.2">
      <c r="A1475" s="5">
        <v>1414</v>
      </c>
      <c r="B1475" s="138">
        <f>'Expenditures 15-22'!K232</f>
        <v>9498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9498</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281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281</v>
      </c>
      <c r="C1485" s="2" t="s">
        <v>594</v>
      </c>
      <c r="D1485" s="2" t="str">
        <f t="shared" si="22"/>
        <v>Error?</v>
      </c>
    </row>
    <row r="1486" spans="1:4" x14ac:dyDescent="0.2">
      <c r="A1486" s="5">
        <v>1425</v>
      </c>
      <c r="B1486" s="138">
        <f>'Expenditures 15-22'!K245</f>
        <v>186</v>
      </c>
      <c r="C1486" s="2" t="s">
        <v>594</v>
      </c>
      <c r="D1486" s="2" t="str">
        <f t="shared" si="22"/>
        <v>Error?</v>
      </c>
    </row>
    <row r="1487" spans="1:4" x14ac:dyDescent="0.2">
      <c r="A1487" s="5">
        <v>1426</v>
      </c>
      <c r="B1487" s="138">
        <f>'Expenditures 15-22'!K246</f>
        <v>587</v>
      </c>
      <c r="C1487" s="2" t="s">
        <v>594</v>
      </c>
      <c r="D1487" s="2" t="str">
        <f t="shared" si="22"/>
        <v>Error?</v>
      </c>
    </row>
    <row r="1488" spans="1:4" x14ac:dyDescent="0.2">
      <c r="A1488" s="5">
        <v>1427</v>
      </c>
      <c r="B1488" s="138">
        <f>'Expenditures 15-22'!K257</f>
        <v>773</v>
      </c>
      <c r="C1488" s="2" t="s">
        <v>594</v>
      </c>
      <c r="D1488" s="2" t="str">
        <f t="shared" si="22"/>
        <v>Error?</v>
      </c>
    </row>
    <row r="1489" spans="1:4" x14ac:dyDescent="0.2">
      <c r="A1489" s="5">
        <v>1428</v>
      </c>
      <c r="B1489" s="138">
        <f>'Expenditures 15-22'!K259</f>
        <v>1199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1199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6861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15650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7251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29762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41513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76676</v>
      </c>
      <c r="C1517" s="2" t="s">
        <v>594</v>
      </c>
      <c r="D1517" s="2" t="str">
        <f t="shared" si="22"/>
        <v>Error?</v>
      </c>
    </row>
    <row r="1518" spans="1:4" x14ac:dyDescent="0.2">
      <c r="A1518" s="5">
        <v>1457</v>
      </c>
      <c r="B1518" s="138">
        <f>'Expenditures 15-22'!K296</f>
        <v>2998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8370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8370</v>
      </c>
      <c r="C1535" s="2" t="s">
        <v>594</v>
      </c>
      <c r="D1535" s="2" t="str">
        <f t="shared" ref="D1535:D1598" si="23">IF(ISBLANK(B1535),"OK",IF(A1535-B1535=0,"OK","Error?"))</f>
        <v>Error?</v>
      </c>
    </row>
    <row r="1536" spans="1:4" x14ac:dyDescent="0.2">
      <c r="A1536" s="5">
        <v>1475</v>
      </c>
      <c r="B1536" s="138">
        <f>'Expenditures 15-22'!E312</f>
        <v>8370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2026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2026</v>
      </c>
      <c r="C1547" s="2" t="s">
        <v>594</v>
      </c>
      <c r="D1547" s="2" t="str">
        <f t="shared" si="23"/>
        <v>Error?</v>
      </c>
    </row>
    <row r="1548" spans="1:4" x14ac:dyDescent="0.2">
      <c r="A1548" s="5">
        <v>1487</v>
      </c>
      <c r="B1548" s="138">
        <f>'Expenditures 15-22'!G312</f>
        <v>2026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10396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10396</v>
      </c>
      <c r="C1559" s="2" t="s">
        <v>594</v>
      </c>
      <c r="D1559" s="2" t="str">
        <f t="shared" si="23"/>
        <v>Error?</v>
      </c>
    </row>
    <row r="1560" spans="1:4" x14ac:dyDescent="0.2">
      <c r="A1560" s="5">
        <v>1499</v>
      </c>
      <c r="B1560" s="138">
        <f>'Expenditures 15-22'!K312</f>
        <v>10396</v>
      </c>
      <c r="C1560" s="2" t="s">
        <v>594</v>
      </c>
      <c r="D1560" s="2" t="str">
        <f t="shared" si="23"/>
        <v>Error?</v>
      </c>
    </row>
    <row r="1561" spans="1:4" x14ac:dyDescent="0.2">
      <c r="A1561" s="5">
        <v>1500</v>
      </c>
      <c r="B1561" s="138">
        <f>'Expenditures 15-22'!K313</f>
        <v>42603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1200523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1253082</v>
      </c>
      <c r="C1630" s="2" t="s">
        <v>594</v>
      </c>
      <c r="D1630" s="2" t="str">
        <f t="shared" si="24"/>
        <v>Error?</v>
      </c>
    </row>
    <row r="1631" spans="1:4" x14ac:dyDescent="0.2">
      <c r="A1631" s="5">
        <v>1570</v>
      </c>
      <c r="B1631" s="138">
        <f>'Acct Summary 7-8'!D79</f>
        <v>64521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125943</v>
      </c>
      <c r="C1644" s="2" t="s">
        <v>594</v>
      </c>
      <c r="D1644" s="2" t="str">
        <f t="shared" si="24"/>
        <v>Error?</v>
      </c>
    </row>
    <row r="1645" spans="1:4" x14ac:dyDescent="0.2">
      <c r="A1645" s="5">
        <v>1584</v>
      </c>
      <c r="B1645" s="138">
        <f>'Acct Summary 7-8'!E79</f>
        <v>5719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5684</v>
      </c>
      <c r="C1658" s="2" t="s">
        <v>594</v>
      </c>
      <c r="D1658" s="2" t="str">
        <f t="shared" si="24"/>
        <v>Error?</v>
      </c>
    </row>
    <row r="1659" spans="1:4" x14ac:dyDescent="0.2">
      <c r="A1659" s="5">
        <v>1598</v>
      </c>
      <c r="B1659" s="138">
        <f>'Acct Summary 7-8'!F79</f>
        <v>59947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53727</v>
      </c>
      <c r="C1672" s="2" t="s">
        <v>594</v>
      </c>
      <c r="D1672" s="2" t="str">
        <f t="shared" si="25"/>
        <v>Error?</v>
      </c>
    </row>
    <row r="1673" spans="1:4" x14ac:dyDescent="0.2">
      <c r="A1673" s="5">
        <v>1612</v>
      </c>
      <c r="B1673" s="138">
        <f>'Acct Summary 7-8'!G79</f>
        <v>18734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21732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42603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187373</v>
      </c>
      <c r="C1744" s="2" t="s">
        <v>594</v>
      </c>
      <c r="D1744" s="2" t="str">
        <f t="shared" si="26"/>
        <v>Error?</v>
      </c>
    </row>
    <row r="1745" spans="1:5" x14ac:dyDescent="0.2">
      <c r="A1745" s="5">
        <v>1684</v>
      </c>
      <c r="B1745" s="138">
        <f>'Tax Sched 23'!B5</f>
        <v>40484</v>
      </c>
      <c r="C1745" s="2" t="s">
        <v>594</v>
      </c>
      <c r="D1745" s="2" t="str">
        <f t="shared" si="26"/>
        <v>Error?</v>
      </c>
    </row>
    <row r="1746" spans="1:5" x14ac:dyDescent="0.2">
      <c r="A1746" s="5">
        <v>1685</v>
      </c>
      <c r="B1746" s="138">
        <f>'Tax Sched 23'!B6</f>
        <v>63165</v>
      </c>
      <c r="C1746" s="2" t="s">
        <v>594</v>
      </c>
      <c r="D1746" s="2" t="str">
        <f t="shared" si="26"/>
        <v>Error?</v>
      </c>
    </row>
    <row r="1747" spans="1:5" x14ac:dyDescent="0.2">
      <c r="A1747" s="5">
        <v>1686</v>
      </c>
      <c r="B1747" s="138">
        <f>'Tax Sched 23'!B7</f>
        <v>19432</v>
      </c>
      <c r="C1747" s="2" t="s">
        <v>594</v>
      </c>
      <c r="D1747" s="2" t="str">
        <f t="shared" si="26"/>
        <v>Error?</v>
      </c>
    </row>
    <row r="1748" spans="1:5" x14ac:dyDescent="0.2">
      <c r="A1748" s="5">
        <v>1687</v>
      </c>
      <c r="B1748" s="138">
        <f>'Tax Sched 23'!B8</f>
        <v>43491</v>
      </c>
      <c r="C1748" s="2" t="s">
        <v>594</v>
      </c>
      <c r="D1748" s="2" t="str">
        <f t="shared" si="26"/>
        <v>Error?</v>
      </c>
    </row>
    <row r="1749" spans="1:5" x14ac:dyDescent="0.2">
      <c r="A1749" s="5">
        <v>1688</v>
      </c>
      <c r="B1749" s="138">
        <f>'Tax Sched 23'!B10</f>
        <v>8097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48224</v>
      </c>
      <c r="C1752" s="2" t="s">
        <v>594</v>
      </c>
      <c r="D1752" s="2" t="str">
        <f t="shared" si="26"/>
        <v>Error?</v>
      </c>
    </row>
    <row r="1753" spans="1:5" x14ac:dyDescent="0.2">
      <c r="A1753" s="5">
        <v>1692</v>
      </c>
      <c r="B1753" s="138">
        <f>'Tax Sched 23'!B12</f>
        <v>7989</v>
      </c>
      <c r="C1753" s="2" t="s">
        <v>594</v>
      </c>
      <c r="D1753" s="2" t="str">
        <f t="shared" si="26"/>
        <v>Error?</v>
      </c>
    </row>
    <row r="1754" spans="1:5" x14ac:dyDescent="0.2">
      <c r="A1754" s="5">
        <v>1693</v>
      </c>
      <c r="B1754" s="138">
        <f>'Tax Sched 23'!B14</f>
        <v>3239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464985</v>
      </c>
      <c r="C1759" s="2" t="s">
        <v>594</v>
      </c>
      <c r="D1759" s="2" t="str">
        <f t="shared" si="26"/>
        <v>Error?</v>
      </c>
    </row>
    <row r="1760" spans="1:5" x14ac:dyDescent="0.2">
      <c r="A1760" s="5">
        <v>1699</v>
      </c>
      <c r="B1760" s="138">
        <f>'Tax Sched 23'!D4</f>
        <v>187373</v>
      </c>
      <c r="C1760" s="2" t="s">
        <v>594</v>
      </c>
      <c r="D1760" s="2" t="str">
        <f t="shared" si="26"/>
        <v>Error?</v>
      </c>
    </row>
    <row r="1761" spans="1:5" x14ac:dyDescent="0.2">
      <c r="A1761" s="5">
        <v>1700</v>
      </c>
      <c r="B1761" s="138">
        <f>'Tax Sched 23'!D5</f>
        <v>40484</v>
      </c>
      <c r="C1761" s="2" t="s">
        <v>594</v>
      </c>
      <c r="D1761" s="2" t="str">
        <f t="shared" si="26"/>
        <v>Error?</v>
      </c>
    </row>
    <row r="1762" spans="1:5" s="8" customFormat="1" x14ac:dyDescent="0.2">
      <c r="A1762" s="5">
        <v>1701</v>
      </c>
      <c r="B1762" s="138">
        <f>'Tax Sched 23'!D6</f>
        <v>63165</v>
      </c>
      <c r="C1762" s="2" t="s">
        <v>594</v>
      </c>
      <c r="D1762" s="2" t="str">
        <f t="shared" si="26"/>
        <v>Error?</v>
      </c>
      <c r="E1762" s="9"/>
    </row>
    <row r="1763" spans="1:5" x14ac:dyDescent="0.2">
      <c r="A1763" s="5">
        <v>1702</v>
      </c>
      <c r="B1763" s="138">
        <f>'Tax Sched 23'!D7</f>
        <v>19432</v>
      </c>
      <c r="C1763" s="2" t="s">
        <v>594</v>
      </c>
      <c r="D1763" s="2" t="str">
        <f t="shared" si="26"/>
        <v>Error?</v>
      </c>
    </row>
    <row r="1764" spans="1:5" x14ac:dyDescent="0.2">
      <c r="A1764" s="5">
        <v>1703</v>
      </c>
      <c r="B1764" s="138">
        <f>'Tax Sched 23'!D8</f>
        <v>43491</v>
      </c>
      <c r="C1764" s="2" t="s">
        <v>594</v>
      </c>
      <c r="D1764" s="2" t="str">
        <f t="shared" si="26"/>
        <v>Error?</v>
      </c>
    </row>
    <row r="1765" spans="1:5" x14ac:dyDescent="0.2">
      <c r="A1765" s="5">
        <v>1704</v>
      </c>
      <c r="B1765" s="138">
        <f>'Tax Sched 23'!D10</f>
        <v>8097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48224</v>
      </c>
      <c r="C1768" s="2" t="s">
        <v>594</v>
      </c>
      <c r="D1768" s="2" t="str">
        <f t="shared" si="26"/>
        <v>Error?</v>
      </c>
    </row>
    <row r="1769" spans="1:5" x14ac:dyDescent="0.2">
      <c r="A1769" s="5">
        <v>1708</v>
      </c>
      <c r="B1769" s="138">
        <f>'Tax Sched 23'!D12</f>
        <v>7989</v>
      </c>
      <c r="C1769" s="2" t="s">
        <v>594</v>
      </c>
      <c r="D1769" s="2" t="str">
        <f t="shared" si="26"/>
        <v>Error?</v>
      </c>
    </row>
    <row r="1770" spans="1:5" x14ac:dyDescent="0.2">
      <c r="A1770" s="5">
        <v>1709</v>
      </c>
      <c r="B1770" s="138">
        <f>'Tax Sched 23'!D14</f>
        <v>3239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464985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187978</v>
      </c>
      <c r="C1792" s="2" t="s">
        <v>594</v>
      </c>
      <c r="D1792" s="2" t="str">
        <f t="shared" si="27"/>
        <v>Error?</v>
      </c>
    </row>
    <row r="1793" spans="1:4" x14ac:dyDescent="0.2">
      <c r="A1793" s="5">
        <v>1732</v>
      </c>
      <c r="B1793" s="138">
        <f>'Tax Sched 23'!F5</f>
        <v>40375</v>
      </c>
      <c r="C1793" s="2" t="s">
        <v>594</v>
      </c>
      <c r="D1793" s="2" t="str">
        <f t="shared" si="27"/>
        <v>Error?</v>
      </c>
    </row>
    <row r="1794" spans="1:4" x14ac:dyDescent="0.2">
      <c r="A1794" s="5">
        <v>1733</v>
      </c>
      <c r="B1794" s="138">
        <f>'Tax Sched 23'!F6</f>
        <v>61351</v>
      </c>
      <c r="C1794" s="2" t="s">
        <v>594</v>
      </c>
      <c r="D1794" s="2" t="str">
        <f t="shared" si="27"/>
        <v>Error?</v>
      </c>
    </row>
    <row r="1795" spans="1:4" x14ac:dyDescent="0.2">
      <c r="A1795" s="5">
        <v>1734</v>
      </c>
      <c r="B1795" s="138">
        <f>'Tax Sched 23'!F7</f>
        <v>19380</v>
      </c>
      <c r="C1795" s="2" t="s">
        <v>594</v>
      </c>
      <c r="D1795" s="2" t="str">
        <f t="shared" si="27"/>
        <v>Error?</v>
      </c>
    </row>
    <row r="1796" spans="1:4" x14ac:dyDescent="0.2">
      <c r="A1796" s="5">
        <v>1735</v>
      </c>
      <c r="B1796" s="138">
        <f>'Tax Sched 23'!F8</f>
        <v>48001</v>
      </c>
      <c r="C1796" s="2" t="s">
        <v>594</v>
      </c>
      <c r="D1796" s="2" t="str">
        <f t="shared" si="27"/>
        <v>Error?</v>
      </c>
    </row>
    <row r="1797" spans="1:4" x14ac:dyDescent="0.2">
      <c r="A1797" s="5">
        <v>1736</v>
      </c>
      <c r="B1797" s="138">
        <f>'Tax Sched 23'!F10</f>
        <v>8075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55000</v>
      </c>
      <c r="C1800" s="2" t="s">
        <v>594</v>
      </c>
      <c r="D1800" s="2" t="str">
        <f t="shared" si="27"/>
        <v>Error?</v>
      </c>
    </row>
    <row r="1801" spans="1:4" x14ac:dyDescent="0.2">
      <c r="A1801" s="5">
        <v>1740</v>
      </c>
      <c r="B1801" s="138">
        <f>'Tax Sched 23'!F12</f>
        <v>8075</v>
      </c>
      <c r="C1801" s="2" t="s">
        <v>594</v>
      </c>
      <c r="D1801" s="2" t="str">
        <f t="shared" si="27"/>
        <v>Error?</v>
      </c>
    </row>
    <row r="1802" spans="1:4" x14ac:dyDescent="0.2">
      <c r="A1802" s="5">
        <v>1741</v>
      </c>
      <c r="B1802" s="138">
        <f>'Tax Sched 23'!F14</f>
        <v>3230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479366</v>
      </c>
      <c r="C1807" s="2" t="s">
        <v>594</v>
      </c>
      <c r="D1807" s="2" t="str">
        <f t="shared" si="27"/>
        <v>Error?</v>
      </c>
    </row>
    <row r="1808" spans="1:4" x14ac:dyDescent="0.2">
      <c r="A1808" s="5">
        <v>1747</v>
      </c>
      <c r="B1808" s="138">
        <f>'Tax Sched 23'!E4</f>
        <v>187978</v>
      </c>
      <c r="D1808" s="2" t="str">
        <f t="shared" si="27"/>
        <v>Error?</v>
      </c>
    </row>
    <row r="1809" spans="1:4" x14ac:dyDescent="0.2">
      <c r="A1809" s="5">
        <v>1748</v>
      </c>
      <c r="B1809" s="138">
        <f>'Tax Sched 23'!E5</f>
        <v>40375</v>
      </c>
      <c r="D1809" s="2" t="str">
        <f t="shared" si="27"/>
        <v>Error?</v>
      </c>
    </row>
    <row r="1810" spans="1:4" x14ac:dyDescent="0.2">
      <c r="A1810" s="5">
        <v>1749</v>
      </c>
      <c r="B1810" s="138">
        <f>'Tax Sched 23'!E6</f>
        <v>61351</v>
      </c>
      <c r="D1810" s="2" t="str">
        <f t="shared" si="27"/>
        <v>Error?</v>
      </c>
    </row>
    <row r="1811" spans="1:4" x14ac:dyDescent="0.2">
      <c r="A1811" s="5">
        <v>1750</v>
      </c>
      <c r="B1811" s="138">
        <f>'Tax Sched 23'!E7</f>
        <v>19380</v>
      </c>
      <c r="D1811" s="2" t="str">
        <f t="shared" si="27"/>
        <v>Error?</v>
      </c>
    </row>
    <row r="1812" spans="1:4" x14ac:dyDescent="0.2">
      <c r="A1812" s="5">
        <v>1751</v>
      </c>
      <c r="B1812" s="138">
        <f>'Tax Sched 23'!E8</f>
        <v>48001</v>
      </c>
      <c r="D1812" s="2" t="str">
        <f t="shared" si="27"/>
        <v>Error?</v>
      </c>
    </row>
    <row r="1813" spans="1:4" x14ac:dyDescent="0.2">
      <c r="A1813" s="5">
        <v>1752</v>
      </c>
      <c r="B1813" s="138">
        <f>'Tax Sched 23'!E10</f>
        <v>8075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55000</v>
      </c>
      <c r="D1816" s="2" t="str">
        <f t="shared" si="27"/>
        <v>Error?</v>
      </c>
    </row>
    <row r="1817" spans="1:4" x14ac:dyDescent="0.2">
      <c r="A1817" s="5">
        <v>1756</v>
      </c>
      <c r="B1817" s="138">
        <f>'Tax Sched 23'!E12</f>
        <v>8075</v>
      </c>
      <c r="D1817" s="2" t="str">
        <f t="shared" si="27"/>
        <v>Error?</v>
      </c>
    </row>
    <row r="1818" spans="1:4" x14ac:dyDescent="0.2">
      <c r="A1818" s="5">
        <v>1757</v>
      </c>
      <c r="B1818" s="138">
        <f>'Tax Sched 23'!E14</f>
        <v>3230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479366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3239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3239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3239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22962</v>
      </c>
      <c r="D2008" s="2" t="str">
        <f t="shared" si="30"/>
        <v>Error?</v>
      </c>
    </row>
    <row r="2009" spans="1:4" x14ac:dyDescent="0.2">
      <c r="A2009" s="5">
        <v>1948</v>
      </c>
      <c r="B2009" s="138">
        <f>'Cap Outlay Deprec 26'!C8</f>
        <v>3612449</v>
      </c>
      <c r="D2009" s="2" t="str">
        <f t="shared" si="30"/>
        <v>Error?</v>
      </c>
    </row>
    <row r="2010" spans="1:4" x14ac:dyDescent="0.2">
      <c r="A2010" s="5">
        <v>1949</v>
      </c>
      <c r="B2010" s="138">
        <f>'Cap Outlay Deprec 26'!C10</f>
        <v>206528</v>
      </c>
      <c r="D2010" s="2" t="str">
        <f t="shared" si="30"/>
        <v>Error?</v>
      </c>
    </row>
    <row r="2011" spans="1:4" x14ac:dyDescent="0.2">
      <c r="A2011" s="5">
        <v>1950</v>
      </c>
      <c r="B2011" s="138">
        <f>'Cap Outlay Deprec 26'!C12</f>
        <v>165088</v>
      </c>
      <c r="D2011" s="2" t="str">
        <f t="shared" si="30"/>
        <v>Error?</v>
      </c>
    </row>
    <row r="2012" spans="1:4" x14ac:dyDescent="0.2">
      <c r="A2012" s="5">
        <v>1951</v>
      </c>
      <c r="B2012" s="138">
        <f>'Cap Outlay Deprec 26'!C13</f>
        <v>134900</v>
      </c>
      <c r="D2012" s="2" t="str">
        <f t="shared" si="30"/>
        <v>Error?</v>
      </c>
    </row>
    <row r="2013" spans="1:4" x14ac:dyDescent="0.2">
      <c r="A2013" s="5">
        <v>1952</v>
      </c>
      <c r="B2013" s="138">
        <f>'Cap Outlay Deprec 26'!C16</f>
        <v>4141927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2026</v>
      </c>
      <c r="D2016" s="2" t="str">
        <f t="shared" si="30"/>
        <v>Error?</v>
      </c>
    </row>
    <row r="2017" spans="1:4" x14ac:dyDescent="0.2">
      <c r="A2017" s="5">
        <v>1956</v>
      </c>
      <c r="B2017" s="138">
        <f>'Cap Outlay Deprec 26'!D12</f>
        <v>26037</v>
      </c>
      <c r="D2017" s="2" t="str">
        <f t="shared" si="30"/>
        <v>Error?</v>
      </c>
    </row>
    <row r="2018" spans="1:4" x14ac:dyDescent="0.2">
      <c r="A2018" s="5">
        <v>1957</v>
      </c>
      <c r="B2018" s="138">
        <f>'Cap Outlay Deprec 26'!D13</f>
        <v>23183</v>
      </c>
      <c r="D2018" s="2" t="str">
        <f t="shared" si="30"/>
        <v>Error?</v>
      </c>
    </row>
    <row r="2019" spans="1:4" x14ac:dyDescent="0.2">
      <c r="A2019" s="5">
        <v>1958</v>
      </c>
      <c r="B2019" s="138">
        <f>'Cap Outlay Deprec 26'!D16</f>
        <v>51246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5068</v>
      </c>
      <c r="D2023" s="2" t="str">
        <f t="shared" si="30"/>
        <v>Error?</v>
      </c>
    </row>
    <row r="2024" spans="1:4" x14ac:dyDescent="0.2">
      <c r="A2024" s="5">
        <v>1963</v>
      </c>
      <c r="B2024" s="138">
        <f>'Cap Outlay Deprec 26'!E13</f>
        <v>500</v>
      </c>
      <c r="D2024" s="2" t="str">
        <f t="shared" si="30"/>
        <v>Error?</v>
      </c>
    </row>
    <row r="2025" spans="1:4" x14ac:dyDescent="0.2">
      <c r="A2025" s="5">
        <v>1964</v>
      </c>
      <c r="B2025" s="138">
        <f>'Cap Outlay Deprec 26'!E16</f>
        <v>5568</v>
      </c>
      <c r="C2025" s="2" t="s">
        <v>594</v>
      </c>
      <c r="D2025" s="2" t="str">
        <f t="shared" si="30"/>
        <v>Error?</v>
      </c>
    </row>
    <row r="2026" spans="1:4" x14ac:dyDescent="0.2">
      <c r="A2026" s="5">
        <v>1965</v>
      </c>
      <c r="B2026" s="138">
        <f>'Cap Outlay Deprec 26'!F5</f>
        <v>22962</v>
      </c>
      <c r="C2026" s="2" t="s">
        <v>594</v>
      </c>
      <c r="D2026" s="2" t="str">
        <f t="shared" si="30"/>
        <v>Error?</v>
      </c>
    </row>
    <row r="2027" spans="1:4" x14ac:dyDescent="0.2">
      <c r="A2027" s="5">
        <v>1966</v>
      </c>
      <c r="B2027" s="138">
        <f>'Cap Outlay Deprec 26'!F8</f>
        <v>3612449</v>
      </c>
      <c r="C2027" s="2" t="s">
        <v>594</v>
      </c>
      <c r="D2027" s="2" t="str">
        <f t="shared" si="30"/>
        <v>Error?</v>
      </c>
    </row>
    <row r="2028" spans="1:4" x14ac:dyDescent="0.2">
      <c r="A2028" s="5">
        <v>1967</v>
      </c>
      <c r="B2028" s="138">
        <f>'Cap Outlay Deprec 26'!F10</f>
        <v>208554</v>
      </c>
      <c r="C2028" s="2" t="s">
        <v>594</v>
      </c>
      <c r="D2028" s="2" t="str">
        <f t="shared" si="30"/>
        <v>Error?</v>
      </c>
    </row>
    <row r="2029" spans="1:4" x14ac:dyDescent="0.2">
      <c r="A2029" s="5">
        <v>1968</v>
      </c>
      <c r="B2029" s="138">
        <f>'Cap Outlay Deprec 26'!F12</f>
        <v>186057</v>
      </c>
      <c r="C2029" s="2" t="s">
        <v>594</v>
      </c>
      <c r="D2029" s="2" t="str">
        <f t="shared" si="30"/>
        <v>Error?</v>
      </c>
    </row>
    <row r="2030" spans="1:4" x14ac:dyDescent="0.2">
      <c r="A2030" s="5">
        <v>1969</v>
      </c>
      <c r="B2030" s="138">
        <f>'Cap Outlay Deprec 26'!F13</f>
        <v>157583</v>
      </c>
      <c r="C2030" s="2" t="s">
        <v>594</v>
      </c>
      <c r="D2030" s="2" t="str">
        <f t="shared" si="30"/>
        <v>Error?</v>
      </c>
    </row>
    <row r="2031" spans="1:4" x14ac:dyDescent="0.2">
      <c r="A2031" s="5">
        <v>1970</v>
      </c>
      <c r="B2031" s="138">
        <f>'Cap Outlay Deprec 26'!F16</f>
        <v>4187605</v>
      </c>
      <c r="C2031" s="2" t="s">
        <v>594</v>
      </c>
      <c r="D2031" s="2" t="str">
        <f t="shared" si="30"/>
        <v>Error?</v>
      </c>
    </row>
    <row r="2032" spans="1:4" x14ac:dyDescent="0.2">
      <c r="A2032" s="10">
        <v>1971</v>
      </c>
      <c r="D2032" s="2" t="str">
        <f t="shared" si="30"/>
        <v>OK</v>
      </c>
    </row>
    <row r="2033" spans="1:4" x14ac:dyDescent="0.2">
      <c r="A2033" s="5">
        <v>1972</v>
      </c>
      <c r="B2033" s="138">
        <f>'Cap Outlay Deprec 26'!H8</f>
        <v>1360687</v>
      </c>
      <c r="D2033" s="2" t="str">
        <f t="shared" si="30"/>
        <v>Error?</v>
      </c>
    </row>
    <row r="2034" spans="1:4" x14ac:dyDescent="0.2">
      <c r="A2034" s="5">
        <v>1973</v>
      </c>
      <c r="B2034" s="138">
        <f>'Cap Outlay Deprec 26'!H10</f>
        <v>24504</v>
      </c>
      <c r="D2034" s="2" t="str">
        <f t="shared" si="30"/>
        <v>Error?</v>
      </c>
    </row>
    <row r="2035" spans="1:4" x14ac:dyDescent="0.2">
      <c r="A2035" s="5">
        <v>1974</v>
      </c>
      <c r="B2035" s="138">
        <f>'Cap Outlay Deprec 26'!H12</f>
        <v>57314</v>
      </c>
      <c r="D2035" s="2" t="str">
        <f t="shared" si="30"/>
        <v>Error?</v>
      </c>
    </row>
    <row r="2036" spans="1:4" x14ac:dyDescent="0.2">
      <c r="A2036" s="5">
        <v>1975</v>
      </c>
      <c r="B2036" s="138">
        <f>'Cap Outlay Deprec 26'!H13</f>
        <v>81351</v>
      </c>
      <c r="D2036" s="2" t="str">
        <f t="shared" si="30"/>
        <v>Error?</v>
      </c>
    </row>
    <row r="2037" spans="1:4" x14ac:dyDescent="0.2">
      <c r="A2037" s="5">
        <v>1976</v>
      </c>
      <c r="B2037" s="138">
        <f>'Cap Outlay Deprec 26'!H16</f>
        <v>1523856</v>
      </c>
      <c r="C2037" s="2" t="s">
        <v>594</v>
      </c>
      <c r="D2037" s="2" t="str">
        <f t="shared" si="30"/>
        <v>Error?</v>
      </c>
    </row>
    <row r="2038" spans="1:4" x14ac:dyDescent="0.2">
      <c r="A2038" s="10">
        <v>1977</v>
      </c>
      <c r="D2038" s="2" t="str">
        <f t="shared" si="30"/>
        <v>OK</v>
      </c>
    </row>
    <row r="2039" spans="1:4" x14ac:dyDescent="0.2">
      <c r="A2039" s="5">
        <v>1978</v>
      </c>
      <c r="B2039" s="138">
        <f>'Cap Outlay Deprec 26'!I8</f>
        <v>69670</v>
      </c>
      <c r="D2039" s="2" t="str">
        <f t="shared" si="30"/>
        <v>Error?</v>
      </c>
    </row>
    <row r="2040" spans="1:4" x14ac:dyDescent="0.2">
      <c r="A2040" s="5">
        <v>1979</v>
      </c>
      <c r="B2040" s="138">
        <f>'Cap Outlay Deprec 26'!I10</f>
        <v>10428</v>
      </c>
      <c r="D2040" s="2" t="str">
        <f t="shared" si="30"/>
        <v>Error?</v>
      </c>
    </row>
    <row r="2041" spans="1:4" x14ac:dyDescent="0.2">
      <c r="A2041" s="5">
        <v>1980</v>
      </c>
      <c r="B2041" s="138">
        <f>'Cap Outlay Deprec 26'!I12</f>
        <v>18606</v>
      </c>
      <c r="D2041" s="2" t="str">
        <f t="shared" si="30"/>
        <v>Error?</v>
      </c>
    </row>
    <row r="2042" spans="1:4" x14ac:dyDescent="0.2">
      <c r="A2042" s="5">
        <v>1981</v>
      </c>
      <c r="B2042" s="138">
        <f>'Cap Outlay Deprec 26'!I13</f>
        <v>31516</v>
      </c>
      <c r="D2042" s="2" t="str">
        <f t="shared" si="30"/>
        <v>Error?</v>
      </c>
    </row>
    <row r="2043" spans="1:4" x14ac:dyDescent="0.2">
      <c r="A2043" s="5">
        <v>1982</v>
      </c>
      <c r="B2043" s="138">
        <f>'Cap Outlay Deprec 26'!I16</f>
        <v>130220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5068</v>
      </c>
      <c r="D2047" s="2" t="str">
        <f t="shared" ref="D2047:D2110" si="31">IF(ISBLANK(B2047),"OK",IF(A2047-B2047=0,"OK","Error?"))</f>
        <v>Error?</v>
      </c>
    </row>
    <row r="2048" spans="1:4" x14ac:dyDescent="0.2">
      <c r="A2048" s="5">
        <v>1987</v>
      </c>
      <c r="B2048" s="138">
        <f>'Cap Outlay Deprec 26'!J13</f>
        <v>500</v>
      </c>
      <c r="D2048" s="2" t="str">
        <f t="shared" si="31"/>
        <v>Error?</v>
      </c>
    </row>
    <row r="2049" spans="1:4" x14ac:dyDescent="0.2">
      <c r="A2049" s="5">
        <v>1988</v>
      </c>
      <c r="B2049" s="138">
        <f>'Cap Outlay Deprec 26'!J16</f>
        <v>5568</v>
      </c>
      <c r="C2049" s="2" t="s">
        <v>594</v>
      </c>
      <c r="D2049" s="2" t="str">
        <f t="shared" si="31"/>
        <v>Error?</v>
      </c>
    </row>
    <row r="2050" spans="1:4" x14ac:dyDescent="0.2">
      <c r="A2050" s="10">
        <v>1989</v>
      </c>
      <c r="D2050" s="2" t="str">
        <f t="shared" si="31"/>
        <v>OK</v>
      </c>
    </row>
    <row r="2051" spans="1:4" x14ac:dyDescent="0.2">
      <c r="A2051" s="5">
        <v>1990</v>
      </c>
      <c r="B2051" s="138">
        <f>'Cap Outlay Deprec 26'!K8</f>
        <v>1430357</v>
      </c>
      <c r="C2051" s="2" t="s">
        <v>594</v>
      </c>
      <c r="D2051" s="2" t="str">
        <f t="shared" si="31"/>
        <v>Error?</v>
      </c>
    </row>
    <row r="2052" spans="1:4" x14ac:dyDescent="0.2">
      <c r="A2052" s="5">
        <v>1991</v>
      </c>
      <c r="B2052" s="138">
        <f>'Cap Outlay Deprec 26'!K10</f>
        <v>34932</v>
      </c>
      <c r="C2052" s="2" t="s">
        <v>594</v>
      </c>
      <c r="D2052" s="2" t="str">
        <f t="shared" si="31"/>
        <v>Error?</v>
      </c>
    </row>
    <row r="2053" spans="1:4" x14ac:dyDescent="0.2">
      <c r="A2053" s="5">
        <v>1992</v>
      </c>
      <c r="B2053" s="138">
        <f>'Cap Outlay Deprec 26'!K12</f>
        <v>70852</v>
      </c>
      <c r="C2053" s="2" t="s">
        <v>594</v>
      </c>
      <c r="D2053" s="2" t="str">
        <f t="shared" si="31"/>
        <v>Error?</v>
      </c>
    </row>
    <row r="2054" spans="1:4" x14ac:dyDescent="0.2">
      <c r="A2054" s="5">
        <v>1993</v>
      </c>
      <c r="B2054" s="138">
        <f>'Cap Outlay Deprec 26'!K13</f>
        <v>112367</v>
      </c>
      <c r="C2054" s="2" t="s">
        <v>594</v>
      </c>
      <c r="D2054" s="2" t="str">
        <f t="shared" si="31"/>
        <v>Error?</v>
      </c>
    </row>
    <row r="2055" spans="1:4" x14ac:dyDescent="0.2">
      <c r="A2055" s="5">
        <v>1994</v>
      </c>
      <c r="B2055" s="138">
        <f>'Cap Outlay Deprec 26'!K16</f>
        <v>1648508</v>
      </c>
      <c r="C2055" s="2" t="s">
        <v>594</v>
      </c>
      <c r="D2055" s="2" t="str">
        <f t="shared" si="31"/>
        <v>Error?</v>
      </c>
    </row>
    <row r="2056" spans="1:4" x14ac:dyDescent="0.2">
      <c r="A2056" s="5">
        <v>1995</v>
      </c>
      <c r="B2056" s="138">
        <f>'Cap Outlay Deprec 26'!L5</f>
        <v>22962</v>
      </c>
      <c r="C2056" s="2" t="s">
        <v>594</v>
      </c>
      <c r="D2056" s="2" t="str">
        <f t="shared" si="31"/>
        <v>Error?</v>
      </c>
    </row>
    <row r="2057" spans="1:4" x14ac:dyDescent="0.2">
      <c r="A2057" s="5">
        <v>1996</v>
      </c>
      <c r="B2057" s="138">
        <f>'Cap Outlay Deprec 26'!L8</f>
        <v>2182092</v>
      </c>
      <c r="C2057" s="2" t="s">
        <v>594</v>
      </c>
      <c r="D2057" s="2" t="str">
        <f t="shared" si="31"/>
        <v>Error?</v>
      </c>
    </row>
    <row r="2058" spans="1:4" x14ac:dyDescent="0.2">
      <c r="A2058" s="5">
        <v>1997</v>
      </c>
      <c r="B2058" s="138">
        <f>'Cap Outlay Deprec 26'!L10</f>
        <v>173622</v>
      </c>
      <c r="C2058" s="2" t="s">
        <v>594</v>
      </c>
      <c r="D2058" s="2" t="str">
        <f t="shared" si="31"/>
        <v>Error?</v>
      </c>
    </row>
    <row r="2059" spans="1:4" x14ac:dyDescent="0.2">
      <c r="A2059" s="5">
        <v>1998</v>
      </c>
      <c r="B2059" s="138">
        <f>'Cap Outlay Deprec 26'!L12</f>
        <v>115205</v>
      </c>
      <c r="C2059" s="2" t="s">
        <v>594</v>
      </c>
      <c r="D2059" s="2" t="str">
        <f t="shared" si="31"/>
        <v>Error?</v>
      </c>
    </row>
    <row r="2060" spans="1:4" x14ac:dyDescent="0.2">
      <c r="A2060" s="5">
        <v>1999</v>
      </c>
      <c r="B2060" s="138">
        <f>'Cap Outlay Deprec 26'!L13</f>
        <v>45216</v>
      </c>
      <c r="C2060" s="2" t="s">
        <v>594</v>
      </c>
      <c r="D2060" s="2" t="str">
        <f t="shared" si="31"/>
        <v>Error?</v>
      </c>
    </row>
    <row r="2061" spans="1:4" x14ac:dyDescent="0.2">
      <c r="A2061" s="5">
        <v>2000</v>
      </c>
      <c r="B2061" s="138">
        <f>'Cap Outlay Deprec 26'!L16</f>
        <v>2539097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294326</v>
      </c>
      <c r="C2089" s="2" t="s">
        <v>594</v>
      </c>
      <c r="D2089" s="2" t="str">
        <f t="shared" si="31"/>
        <v>Error?</v>
      </c>
    </row>
    <row r="2090" spans="1:4" x14ac:dyDescent="0.2">
      <c r="A2090" s="10">
        <v>2029</v>
      </c>
      <c r="D2090" s="2" t="str">
        <f t="shared" si="31"/>
        <v>OK</v>
      </c>
    </row>
    <row r="2091" spans="1:4" x14ac:dyDescent="0.2">
      <c r="A2091" s="5">
        <v>2030</v>
      </c>
      <c r="B2091" s="138">
        <f>'Expenditures 15-22'!H137</f>
        <v>29670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29670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163000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8744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42603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239279</v>
      </c>
      <c r="C2551" s="2" t="s">
        <v>594</v>
      </c>
      <c r="D2551" s="2" t="str">
        <f t="shared" si="38"/>
        <v>Error?</v>
      </c>
    </row>
    <row r="2552" spans="1:4" x14ac:dyDescent="0.2">
      <c r="A2552" s="10">
        <v>2491</v>
      </c>
      <c r="D2552" s="2" t="str">
        <f t="shared" si="38"/>
        <v>OK</v>
      </c>
    </row>
    <row r="2553" spans="1:4" x14ac:dyDescent="0.2">
      <c r="A2553" s="5">
        <v>2492</v>
      </c>
      <c r="B2553" s="138">
        <f>'Acct Summary 7-8'!C6</f>
        <v>1604154</v>
      </c>
      <c r="C2553" s="2" t="s">
        <v>594</v>
      </c>
      <c r="D2553" s="2" t="str">
        <f t="shared" si="38"/>
        <v>Error?</v>
      </c>
    </row>
    <row r="2554" spans="1:4" x14ac:dyDescent="0.2">
      <c r="A2554" s="5">
        <v>2493</v>
      </c>
      <c r="B2554" s="138">
        <f>'Acct Summary 7-8'!C7</f>
        <v>339624</v>
      </c>
      <c r="C2554" s="2" t="s">
        <v>594</v>
      </c>
      <c r="D2554" s="2" t="str">
        <f t="shared" si="38"/>
        <v>Error?</v>
      </c>
    </row>
    <row r="2555" spans="1:4" x14ac:dyDescent="0.2">
      <c r="A2555" s="5">
        <v>2494</v>
      </c>
      <c r="B2555" s="138">
        <f>'Acct Summary 7-8'!C8</f>
        <v>2183057</v>
      </c>
      <c r="C2555" s="2" t="s">
        <v>594</v>
      </c>
      <c r="D2555" s="2" t="str">
        <f t="shared" si="38"/>
        <v>Error?</v>
      </c>
    </row>
    <row r="2556" spans="1:4" x14ac:dyDescent="0.2">
      <c r="A2556" s="5">
        <v>2495</v>
      </c>
      <c r="B2556" s="138">
        <f>'Acct Summary 7-8'!C12</f>
        <v>1245623</v>
      </c>
      <c r="C2556" s="2" t="s">
        <v>594</v>
      </c>
      <c r="D2556" s="2" t="str">
        <f t="shared" si="38"/>
        <v>Error?</v>
      </c>
    </row>
    <row r="2557" spans="1:4" x14ac:dyDescent="0.2">
      <c r="A2557" s="5">
        <v>2496</v>
      </c>
      <c r="B2557" s="138">
        <f>'Acct Summary 7-8'!C13</f>
        <v>603227</v>
      </c>
      <c r="C2557" s="2" t="s">
        <v>594</v>
      </c>
      <c r="D2557" s="2" t="str">
        <f t="shared" si="38"/>
        <v>Error?</v>
      </c>
    </row>
    <row r="2558" spans="1:4" x14ac:dyDescent="0.2">
      <c r="A2558" s="5">
        <v>2497</v>
      </c>
      <c r="B2558" s="138">
        <f>'Acct Summary 7-8'!C14</f>
        <v>972</v>
      </c>
      <c r="C2558" s="2" t="s">
        <v>594</v>
      </c>
      <c r="D2558" s="2" t="str">
        <f t="shared" si="38"/>
        <v>Error?</v>
      </c>
    </row>
    <row r="2559" spans="1:4" x14ac:dyDescent="0.2">
      <c r="A2559" s="5">
        <v>2498</v>
      </c>
      <c r="B2559" s="138">
        <f>'Acct Summary 7-8'!C15</f>
        <v>294326</v>
      </c>
      <c r="C2559" s="2" t="s">
        <v>594</v>
      </c>
      <c r="D2559" s="2" t="str">
        <f t="shared" ref="D2559:D2622" si="39">IF(ISBLANK(B2559),"OK",IF(A2559-B2559=0,"OK","Error?"))</f>
        <v>Error?</v>
      </c>
    </row>
    <row r="2560" spans="1:4" x14ac:dyDescent="0.2">
      <c r="A2560" s="5">
        <v>2499</v>
      </c>
      <c r="B2560" s="138">
        <f>'Acct Summary 7-8'!C16</f>
        <v>1350</v>
      </c>
      <c r="C2560" s="2" t="s">
        <v>594</v>
      </c>
      <c r="D2560" s="2" t="str">
        <f t="shared" si="39"/>
        <v>Error?</v>
      </c>
    </row>
    <row r="2561" spans="1:4" x14ac:dyDescent="0.2">
      <c r="A2561" s="5">
        <v>2500</v>
      </c>
      <c r="B2561" s="138">
        <f>'Acct Summary 7-8'!C17</f>
        <v>2145498</v>
      </c>
      <c r="C2561" s="2" t="s">
        <v>594</v>
      </c>
      <c r="D2561" s="2" t="str">
        <f t="shared" si="39"/>
        <v>Error?</v>
      </c>
    </row>
    <row r="2562" spans="1:4" x14ac:dyDescent="0.2">
      <c r="A2562" s="5">
        <v>2501</v>
      </c>
      <c r="B2562" s="138">
        <f>'Acct Summary 7-8'!C20</f>
        <v>37559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99610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99610</v>
      </c>
      <c r="C2568" s="2" t="s">
        <v>594</v>
      </c>
      <c r="D2568" s="2" t="str">
        <f t="shared" si="39"/>
        <v>Error?</v>
      </c>
    </row>
    <row r="2569" spans="1:4" x14ac:dyDescent="0.2">
      <c r="A2569" s="5">
        <v>2508</v>
      </c>
      <c r="B2569" s="138">
        <f>'Acct Summary 7-8'!D13</f>
        <v>96518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29670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126188</v>
      </c>
      <c r="C2573" s="2" t="s">
        <v>594</v>
      </c>
      <c r="D2573" s="2" t="str">
        <f t="shared" si="39"/>
        <v>Error?</v>
      </c>
    </row>
    <row r="2574" spans="1:4" x14ac:dyDescent="0.2">
      <c r="A2574" s="5">
        <v>2513</v>
      </c>
      <c r="B2574" s="138">
        <f>'Acct Summary 7-8'!D20</f>
        <v>-26578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19538</v>
      </c>
      <c r="C2591" s="2" t="s">
        <v>594</v>
      </c>
      <c r="D2591" s="2" t="str">
        <f t="shared" si="39"/>
        <v>Error?</v>
      </c>
    </row>
    <row r="2592" spans="1:4" x14ac:dyDescent="0.2">
      <c r="A2592" s="10">
        <v>2531</v>
      </c>
      <c r="D2592" s="2" t="str">
        <f t="shared" si="39"/>
        <v>OK</v>
      </c>
    </row>
    <row r="2593" spans="1:4" x14ac:dyDescent="0.2">
      <c r="A2593" s="5">
        <v>2532</v>
      </c>
      <c r="B2593" s="138">
        <f>'Acct Summary 7-8'!F6</f>
        <v>118865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138403</v>
      </c>
      <c r="C2595" s="2" t="s">
        <v>594</v>
      </c>
      <c r="D2595" s="2" t="str">
        <f t="shared" si="39"/>
        <v>Error?</v>
      </c>
    </row>
    <row r="2596" spans="1:4" x14ac:dyDescent="0.2">
      <c r="A2596" s="5">
        <v>2535</v>
      </c>
      <c r="B2596" s="138">
        <f>'Acct Summary 7-8'!F13</f>
        <v>204623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204623</v>
      </c>
      <c r="C2600" s="2" t="s">
        <v>594</v>
      </c>
      <c r="D2600" s="2" t="str">
        <f t="shared" si="39"/>
        <v>Error?</v>
      </c>
    </row>
    <row r="2601" spans="1:4" x14ac:dyDescent="0.2">
      <c r="A2601" s="5">
        <v>2540</v>
      </c>
      <c r="B2601" s="138">
        <f>'Acct Summary 7-8'!F20</f>
        <v>-66220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79674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79674</v>
      </c>
      <c r="C2606" s="2" t="s">
        <v>594</v>
      </c>
      <c r="D2606" s="2" t="str">
        <f t="shared" si="39"/>
        <v>Error?</v>
      </c>
    </row>
    <row r="2607" spans="1:4" x14ac:dyDescent="0.2">
      <c r="A2607" s="5">
        <v>2546</v>
      </c>
      <c r="B2607" s="138">
        <f>'Acct Summary 7-8'!G12</f>
        <v>31973</v>
      </c>
      <c r="C2607" s="2" t="s">
        <v>594</v>
      </c>
      <c r="D2607" s="2" t="str">
        <f t="shared" si="39"/>
        <v>Error?</v>
      </c>
    </row>
    <row r="2608" spans="1:4" x14ac:dyDescent="0.2">
      <c r="A2608" s="5">
        <v>2547</v>
      </c>
      <c r="B2608" s="138">
        <f>'Acct Summary 7-8'!G13</f>
        <v>41513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76676</v>
      </c>
      <c r="C2612" s="2" t="s">
        <v>594</v>
      </c>
      <c r="D2612" s="2" t="str">
        <f t="shared" si="39"/>
        <v>Error?</v>
      </c>
    </row>
    <row r="2613" spans="1:4" x14ac:dyDescent="0.2">
      <c r="A2613" s="5">
        <v>2552</v>
      </c>
      <c r="B2613" s="138">
        <f>'Acct Summary 7-8'!G20</f>
        <v>2998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63165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63165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63200</v>
      </c>
      <c r="C2634" s="2" t="s">
        <v>594</v>
      </c>
      <c r="D2634" s="2" t="str">
        <f t="shared" si="40"/>
        <v>Error?</v>
      </c>
    </row>
    <row r="2635" spans="1:4" x14ac:dyDescent="0.2">
      <c r="A2635" s="5">
        <v>2574</v>
      </c>
      <c r="B2635" s="138">
        <f>'Acct Summary 7-8'!E17</f>
        <v>63200</v>
      </c>
      <c r="C2635" s="2" t="s">
        <v>594</v>
      </c>
      <c r="D2635" s="2" t="str">
        <f t="shared" si="40"/>
        <v>Error?</v>
      </c>
    </row>
    <row r="2636" spans="1:4" x14ac:dyDescent="0.2">
      <c r="A2636" s="5">
        <v>2575</v>
      </c>
      <c r="B2636" s="138">
        <f>'Acct Summary 7-8'!E20</f>
        <v>-35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52999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52999</v>
      </c>
      <c r="C2658" s="2" t="s">
        <v>594</v>
      </c>
      <c r="D2658" s="2" t="str">
        <f t="shared" si="40"/>
        <v>Error?</v>
      </c>
    </row>
    <row r="2659" spans="1:4" x14ac:dyDescent="0.2">
      <c r="A2659" s="5">
        <v>2598</v>
      </c>
      <c r="B2659" s="138">
        <f>'Acct Summary 7-8'!H13</f>
        <v>10396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10396</v>
      </c>
      <c r="C2661" s="2" t="s">
        <v>594</v>
      </c>
      <c r="D2661" s="2" t="str">
        <f t="shared" si="40"/>
        <v>Error?</v>
      </c>
    </row>
    <row r="2662" spans="1:4" x14ac:dyDescent="0.2">
      <c r="A2662" s="5">
        <v>2601</v>
      </c>
      <c r="B2662" s="138">
        <f>'Acct Summary 7-8'!H20</f>
        <v>42603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43526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43710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16011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43710</v>
      </c>
      <c r="D2912" s="2" t="str">
        <f t="shared" si="44"/>
        <v>Error?</v>
      </c>
    </row>
    <row r="2913" spans="1:4" x14ac:dyDescent="0.2">
      <c r="A2913" s="5">
        <v>2852</v>
      </c>
      <c r="B2913" s="138">
        <f>'Assets-Liab 5-6'!I41</f>
        <v>43710</v>
      </c>
      <c r="C2913" s="2" t="s">
        <v>594</v>
      </c>
      <c r="D2913" s="2" t="str">
        <f t="shared" si="44"/>
        <v>Error?</v>
      </c>
    </row>
    <row r="2914" spans="1:4" x14ac:dyDescent="0.2">
      <c r="A2914" s="5">
        <v>2853</v>
      </c>
      <c r="B2914" s="138">
        <f>'Assets-Liab 5-6'!L33</f>
        <v>16011</v>
      </c>
      <c r="D2914" s="2" t="str">
        <f t="shared" si="44"/>
        <v>Error?</v>
      </c>
    </row>
    <row r="2915" spans="1:4" x14ac:dyDescent="0.2">
      <c r="A2915" s="10">
        <v>2854</v>
      </c>
      <c r="D2915" s="2" t="str">
        <f t="shared" si="44"/>
        <v>OK</v>
      </c>
    </row>
    <row r="2916" spans="1:4" x14ac:dyDescent="0.2">
      <c r="A2916" s="5">
        <v>2855</v>
      </c>
      <c r="B2916" s="138">
        <f>'Assets-Liab 5-6'!L34</f>
        <v>16011</v>
      </c>
      <c r="C2916" s="2" t="s">
        <v>594</v>
      </c>
      <c r="D2916" s="2" t="str">
        <f t="shared" si="44"/>
        <v>Error?</v>
      </c>
    </row>
    <row r="2917" spans="1:4" x14ac:dyDescent="0.2">
      <c r="A2917" s="5">
        <v>2856</v>
      </c>
      <c r="B2917" s="138">
        <f>'Assets-Liab 5-6'!L41</f>
        <v>16011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29670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29670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39431</v>
      </c>
      <c r="D3055" s="2" t="str">
        <f t="shared" si="46"/>
        <v>Error?</v>
      </c>
    </row>
    <row r="3056" spans="1:4" x14ac:dyDescent="0.2">
      <c r="A3056" s="5">
        <v>2995</v>
      </c>
      <c r="B3056" s="138">
        <f>'Expenditures 15-22'!D10</f>
        <v>13834</v>
      </c>
      <c r="D3056" s="2" t="str">
        <f t="shared" si="46"/>
        <v>Error?</v>
      </c>
    </row>
    <row r="3057" spans="1:4" x14ac:dyDescent="0.2">
      <c r="A3057" s="5">
        <v>2996</v>
      </c>
      <c r="B3057" s="138">
        <f>'Expenditures 15-22'!E10</f>
        <v>8745</v>
      </c>
      <c r="D3057" s="2" t="str">
        <f t="shared" si="46"/>
        <v>Error?</v>
      </c>
    </row>
    <row r="3058" spans="1:4" x14ac:dyDescent="0.2">
      <c r="A3058" s="5">
        <v>2997</v>
      </c>
      <c r="B3058" s="138">
        <f>'Expenditures 15-22'!F10</f>
        <v>1184</v>
      </c>
      <c r="D3058" s="2" t="str">
        <f t="shared" si="46"/>
        <v>Error?</v>
      </c>
    </row>
    <row r="3059" spans="1:4" x14ac:dyDescent="0.2">
      <c r="A3059" s="5">
        <v>2998</v>
      </c>
      <c r="B3059" s="138">
        <f>'Expenditures 15-22'!G10</f>
        <v>4250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67444</v>
      </c>
      <c r="C3062" s="2" t="s">
        <v>594</v>
      </c>
      <c r="D3062" s="2" t="str">
        <f t="shared" si="46"/>
        <v>Error?</v>
      </c>
    </row>
    <row r="3063" spans="1:4" x14ac:dyDescent="0.2">
      <c r="A3063" s="10">
        <v>3002</v>
      </c>
      <c r="D3063" s="2" t="str">
        <f t="shared" si="46"/>
        <v>OK</v>
      </c>
    </row>
    <row r="3064" spans="1:4" x14ac:dyDescent="0.2">
      <c r="A3064" s="5">
        <v>3003</v>
      </c>
      <c r="B3064" s="138">
        <f>'Expenditures 15-22'!D219</f>
        <v>4949</v>
      </c>
      <c r="D3064" s="2" t="str">
        <f t="shared" si="46"/>
        <v>Error?</v>
      </c>
    </row>
    <row r="3065" spans="1:4" x14ac:dyDescent="0.2">
      <c r="A3065" s="5">
        <v>3004</v>
      </c>
      <c r="B3065" s="138">
        <f>'Expenditures 15-22'!K219</f>
        <v>4949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8387</v>
      </c>
      <c r="C3225" s="2" t="s">
        <v>594</v>
      </c>
      <c r="D3225" s="2" t="str">
        <f t="shared" si="49"/>
        <v>Error?</v>
      </c>
    </row>
    <row r="3226" spans="1:4" x14ac:dyDescent="0.2">
      <c r="A3226" s="5">
        <v>3165</v>
      </c>
      <c r="B3226" s="138">
        <f>'Acct Summary 7-8'!I8</f>
        <v>8387</v>
      </c>
      <c r="C3226" s="2" t="s">
        <v>594</v>
      </c>
      <c r="D3226" s="2" t="str">
        <f t="shared" si="49"/>
        <v>Error?</v>
      </c>
    </row>
    <row r="3227" spans="1:4" x14ac:dyDescent="0.2">
      <c r="A3227" s="5">
        <v>3166</v>
      </c>
      <c r="B3227" s="138">
        <f>'Acct Summary 7-8'!I20</f>
        <v>8387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15000</v>
      </c>
      <c r="C3232" s="2" t="s">
        <v>594</v>
      </c>
      <c r="D3232" s="2" t="str">
        <f t="shared" si="49"/>
        <v>Error?</v>
      </c>
    </row>
    <row r="3233" spans="1:4" x14ac:dyDescent="0.2">
      <c r="A3233" s="5">
        <v>3172</v>
      </c>
      <c r="B3233" s="138">
        <f>'Acct Summary 7-8'!C78</f>
        <v>52559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88000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88000</v>
      </c>
      <c r="C3238" s="2" t="s">
        <v>594</v>
      </c>
      <c r="D3238" s="2" t="str">
        <f t="shared" si="49"/>
        <v>Error?</v>
      </c>
    </row>
    <row r="3239" spans="1:4" x14ac:dyDescent="0.2">
      <c r="A3239" s="5">
        <v>3178</v>
      </c>
      <c r="B3239" s="138">
        <f>'Acct Summary 7-8'!D78</f>
        <v>61422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60000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60000</v>
      </c>
      <c r="C3255" s="2" t="s">
        <v>594</v>
      </c>
      <c r="D3255" s="2" t="str">
        <f t="shared" si="49"/>
        <v>Error?</v>
      </c>
    </row>
    <row r="3256" spans="1:4" x14ac:dyDescent="0.2">
      <c r="A3256" s="5">
        <v>3195</v>
      </c>
      <c r="B3256" s="138">
        <f>'Acct Summary 7-8'!F78</f>
        <v>-6220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2998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42603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163000</v>
      </c>
      <c r="C3318" s="2" t="s">
        <v>594</v>
      </c>
      <c r="D3318" s="2" t="str">
        <f t="shared" si="50"/>
        <v>Error?</v>
      </c>
    </row>
    <row r="3319" spans="1:4" x14ac:dyDescent="0.2">
      <c r="A3319" s="5">
        <v>3258</v>
      </c>
      <c r="B3319" s="138">
        <f>'Acct Summary 7-8'!I77</f>
        <v>-163000</v>
      </c>
      <c r="C3319" s="2" t="s">
        <v>594</v>
      </c>
      <c r="D3319" s="2" t="str">
        <f t="shared" si="50"/>
        <v>Error?</v>
      </c>
    </row>
    <row r="3320" spans="1:4" x14ac:dyDescent="0.2">
      <c r="A3320" s="5">
        <v>3259</v>
      </c>
      <c r="B3320" s="138">
        <f>'Acct Summary 7-8'!I78</f>
        <v>-154613</v>
      </c>
      <c r="C3320" s="2" t="s">
        <v>594</v>
      </c>
      <c r="D3320" s="2" t="str">
        <f t="shared" si="50"/>
        <v>Error?</v>
      </c>
    </row>
    <row r="3321" spans="1:4" x14ac:dyDescent="0.2">
      <c r="A3321" s="5">
        <v>3260</v>
      </c>
      <c r="B3321" s="138">
        <f>'Acct Summary 7-8'!I79</f>
        <v>198323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43710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148815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26597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175412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12089</v>
      </c>
      <c r="D3387" s="2" t="str">
        <f t="shared" si="51"/>
        <v>Error?</v>
      </c>
    </row>
    <row r="3388" spans="1:4" x14ac:dyDescent="0.2">
      <c r="A3388" s="5">
        <v>3327</v>
      </c>
      <c r="B3388" s="138">
        <f>'Expenditures 15-22'!D217</f>
        <v>10413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12089</v>
      </c>
      <c r="C3390" s="2" t="s">
        <v>594</v>
      </c>
      <c r="D3390" s="2" t="str">
        <f t="shared" si="51"/>
        <v>Error?</v>
      </c>
    </row>
    <row r="3391" spans="1:4" x14ac:dyDescent="0.2">
      <c r="A3391" s="5">
        <v>3330</v>
      </c>
      <c r="B3391" s="138">
        <f>'Expenditures 15-22'!K217</f>
        <v>10413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463318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106891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5331</v>
      </c>
      <c r="D3417" s="2" t="str">
        <f t="shared" si="52"/>
        <v>Error?</v>
      </c>
    </row>
    <row r="3418" spans="1:4" x14ac:dyDescent="0.2">
      <c r="A3418" s="10">
        <v>3357</v>
      </c>
      <c r="D3418" s="2" t="str">
        <f t="shared" si="52"/>
        <v>OK</v>
      </c>
    </row>
    <row r="3419" spans="1:4" x14ac:dyDescent="0.2">
      <c r="A3419" s="5">
        <v>3358</v>
      </c>
      <c r="B3419" s="138">
        <f>'Assets-Liab 5-6'!F4</f>
        <v>37842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19535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42603</v>
      </c>
      <c r="D3425" s="2" t="str">
        <f t="shared" si="52"/>
        <v>Error?</v>
      </c>
    </row>
    <row r="3426" spans="1:4" x14ac:dyDescent="0.2">
      <c r="A3426" s="10">
        <v>3365</v>
      </c>
      <c r="D3426" s="2" t="str">
        <f t="shared" si="52"/>
        <v>OK</v>
      </c>
    </row>
    <row r="3427" spans="1:4" x14ac:dyDescent="0.2">
      <c r="A3427" s="5">
        <v>3366</v>
      </c>
      <c r="B3427" s="138">
        <f>'Assets-Liab 5-6'!I4</f>
        <v>184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16011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35503</v>
      </c>
      <c r="C3446" s="2" t="s">
        <v>594</v>
      </c>
      <c r="D3446" s="2" t="str">
        <f t="shared" si="52"/>
        <v>Error?</v>
      </c>
    </row>
    <row r="3447" spans="1:4" x14ac:dyDescent="0.2">
      <c r="A3447" s="5">
        <v>3386</v>
      </c>
      <c r="B3447" s="138">
        <f>'Tax Sched 23'!D16</f>
        <v>35503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40000</v>
      </c>
      <c r="C3449" s="2" t="s">
        <v>594</v>
      </c>
      <c r="D3449" s="2" t="str">
        <f t="shared" si="52"/>
        <v>Error?</v>
      </c>
    </row>
    <row r="3450" spans="1:4" x14ac:dyDescent="0.2">
      <c r="A3450" s="5">
        <v>3389</v>
      </c>
      <c r="B3450" s="138">
        <f>'Tax Sched 23'!E16</f>
        <v>40000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18442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4201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22643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22643</v>
      </c>
      <c r="D3567" s="2" t="str">
        <f t="shared" si="54"/>
        <v>Error?</v>
      </c>
    </row>
    <row r="3568" spans="1:4" x14ac:dyDescent="0.2">
      <c r="A3568" s="5">
        <v>3507</v>
      </c>
      <c r="B3568" s="138">
        <f>'Assets-Liab 5-6'!K41</f>
        <v>22643</v>
      </c>
      <c r="C3568" s="2" t="s">
        <v>594</v>
      </c>
      <c r="D3568" s="2" t="str">
        <f t="shared" si="54"/>
        <v>Error?</v>
      </c>
    </row>
    <row r="3569" spans="1:4" x14ac:dyDescent="0.2">
      <c r="A3569" s="5">
        <v>3508</v>
      </c>
      <c r="B3569" s="138">
        <f>'Acct Summary 7-8'!K4</f>
        <v>8017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8017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8017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8017</v>
      </c>
      <c r="C3588" s="2" t="s">
        <v>594</v>
      </c>
      <c r="D3588" s="2" t="str">
        <f t="shared" si="55"/>
        <v>Error?</v>
      </c>
    </row>
    <row r="3589" spans="1:4" x14ac:dyDescent="0.2">
      <c r="A3589" s="5">
        <v>3528</v>
      </c>
      <c r="B3589" s="138">
        <f>'Acct Summary 7-8'!K79</f>
        <v>14626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22643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8017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3190</v>
      </c>
      <c r="D3721" s="2" t="str">
        <f t="shared" si="57"/>
        <v>Error?</v>
      </c>
    </row>
    <row r="3722" spans="1:4" x14ac:dyDescent="0.2">
      <c r="A3722" s="5">
        <v>3661</v>
      </c>
      <c r="B3722" s="138">
        <f>'Expenditures 15-22'!D285</f>
        <v>3190</v>
      </c>
      <c r="C3722" s="2" t="s">
        <v>594</v>
      </c>
      <c r="D3722" s="2" t="str">
        <f t="shared" si="57"/>
        <v>Error?</v>
      </c>
    </row>
    <row r="3723" spans="1:4" x14ac:dyDescent="0.2">
      <c r="A3723" s="5">
        <v>3662</v>
      </c>
      <c r="B3723" s="138">
        <f>'Expenditures 15-22'!K283</f>
        <v>3190</v>
      </c>
      <c r="C3723" s="2" t="s">
        <v>594</v>
      </c>
      <c r="D3723" s="2" t="str">
        <f t="shared" si="57"/>
        <v>Error?</v>
      </c>
    </row>
    <row r="3724" spans="1:4" x14ac:dyDescent="0.2">
      <c r="A3724" s="5">
        <v>3663</v>
      </c>
      <c r="B3724" s="138">
        <f>'Expenditures 15-22'!K285</f>
        <v>3190</v>
      </c>
      <c r="C3724" s="2" t="s">
        <v>594</v>
      </c>
      <c r="D3724" s="2" t="str">
        <f t="shared" si="57"/>
        <v>Error?</v>
      </c>
    </row>
    <row r="3725" spans="1:4" x14ac:dyDescent="0.2">
      <c r="A3725" s="5">
        <v>3664</v>
      </c>
      <c r="B3725" s="138">
        <f>'Tax Sched 23'!B13</f>
        <v>7988</v>
      </c>
      <c r="C3725" s="2" t="s">
        <v>594</v>
      </c>
      <c r="D3725" s="2" t="str">
        <f t="shared" si="57"/>
        <v>Error?</v>
      </c>
    </row>
    <row r="3726" spans="1:4" x14ac:dyDescent="0.2">
      <c r="A3726" s="5">
        <v>3665</v>
      </c>
      <c r="B3726" s="138">
        <f>'Tax Sched 23'!D13</f>
        <v>7988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7901</v>
      </c>
      <c r="C3728" s="2" t="s">
        <v>594</v>
      </c>
      <c r="D3728" s="2" t="str">
        <f t="shared" si="57"/>
        <v>Error?</v>
      </c>
    </row>
    <row r="3729" spans="1:4" x14ac:dyDescent="0.2">
      <c r="A3729" s="5">
        <v>3668</v>
      </c>
      <c r="B3729" s="138">
        <f>'Tax Sched 23'!E13</f>
        <v>7901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102066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2285123</v>
      </c>
      <c r="C4122" s="2" t="s">
        <v>594</v>
      </c>
      <c r="D4122" s="2" t="str">
        <f t="shared" si="63"/>
        <v>Error?</v>
      </c>
    </row>
    <row r="4123" spans="1:4" x14ac:dyDescent="0.2">
      <c r="A4123" s="5">
        <v>4062</v>
      </c>
      <c r="B4123" s="138">
        <f>'Acct Summary 7-8'!D10</f>
        <v>99610</v>
      </c>
      <c r="C4123" s="2" t="s">
        <v>594</v>
      </c>
      <c r="D4123" s="2" t="str">
        <f t="shared" si="63"/>
        <v>Error?</v>
      </c>
    </row>
    <row r="4124" spans="1:4" x14ac:dyDescent="0.2">
      <c r="A4124" s="5">
        <v>4063</v>
      </c>
      <c r="B4124" s="138">
        <f>'Acct Summary 7-8'!E10</f>
        <v>63165</v>
      </c>
      <c r="C4124" s="2" t="s">
        <v>594</v>
      </c>
      <c r="D4124" s="2" t="str">
        <f t="shared" si="63"/>
        <v>Error?</v>
      </c>
    </row>
    <row r="4125" spans="1:4" x14ac:dyDescent="0.2">
      <c r="A4125" s="5">
        <v>4064</v>
      </c>
      <c r="B4125" s="138">
        <f>'Acct Summary 7-8'!F10</f>
        <v>138403</v>
      </c>
      <c r="C4125" s="2" t="s">
        <v>594</v>
      </c>
      <c r="D4125" s="2" t="str">
        <f t="shared" si="63"/>
        <v>Error?</v>
      </c>
    </row>
    <row r="4126" spans="1:4" x14ac:dyDescent="0.2">
      <c r="A4126" s="5">
        <v>4065</v>
      </c>
      <c r="B4126" s="138">
        <f>'Acct Summary 7-8'!G10</f>
        <v>79674</v>
      </c>
      <c r="C4126" s="2" t="s">
        <v>594</v>
      </c>
      <c r="D4126" s="2" t="str">
        <f t="shared" si="63"/>
        <v>Error?</v>
      </c>
    </row>
    <row r="4127" spans="1:4" x14ac:dyDescent="0.2">
      <c r="A4127" s="5">
        <v>4066</v>
      </c>
      <c r="B4127" s="138">
        <f>'Acct Summary 7-8'!H10</f>
        <v>52999</v>
      </c>
      <c r="C4127" s="2" t="s">
        <v>594</v>
      </c>
      <c r="D4127" s="2" t="str">
        <f t="shared" si="63"/>
        <v>Error?</v>
      </c>
    </row>
    <row r="4128" spans="1:4" x14ac:dyDescent="0.2">
      <c r="A4128" s="5">
        <v>4067</v>
      </c>
      <c r="B4128" s="138">
        <f>'Acct Summary 7-8'!I10</f>
        <v>8387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8017</v>
      </c>
      <c r="C4130" s="2" t="s">
        <v>594</v>
      </c>
      <c r="D4130" s="2" t="str">
        <f t="shared" si="63"/>
        <v>Error?</v>
      </c>
    </row>
    <row r="4131" spans="1:4" x14ac:dyDescent="0.2">
      <c r="A4131" s="5">
        <v>4070</v>
      </c>
      <c r="B4131" s="138">
        <f>'Acct Summary 7-8'!C18</f>
        <v>102066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2247564</v>
      </c>
      <c r="C4136" s="2" t="s">
        <v>594</v>
      </c>
      <c r="D4136" s="2" t="str">
        <f t="shared" si="63"/>
        <v>Error?</v>
      </c>
    </row>
    <row r="4137" spans="1:4" x14ac:dyDescent="0.2">
      <c r="A4137" s="5">
        <v>4076</v>
      </c>
      <c r="B4137" s="138">
        <f>'Acct Summary 7-8'!D19</f>
        <v>126188</v>
      </c>
      <c r="C4137" s="2" t="s">
        <v>594</v>
      </c>
      <c r="D4137" s="2" t="str">
        <f t="shared" si="63"/>
        <v>Error?</v>
      </c>
    </row>
    <row r="4138" spans="1:4" x14ac:dyDescent="0.2">
      <c r="A4138" s="5">
        <v>4077</v>
      </c>
      <c r="B4138" s="138">
        <f>'Acct Summary 7-8'!E19</f>
        <v>63200</v>
      </c>
      <c r="C4138" s="2" t="s">
        <v>594</v>
      </c>
      <c r="D4138" s="2" t="str">
        <f t="shared" si="63"/>
        <v>Error?</v>
      </c>
    </row>
    <row r="4139" spans="1:4" x14ac:dyDescent="0.2">
      <c r="A4139" s="5">
        <v>4078</v>
      </c>
      <c r="B4139" s="138">
        <f>'Acct Summary 7-8'!F19</f>
        <v>204623</v>
      </c>
      <c r="C4139" s="2" t="s">
        <v>594</v>
      </c>
      <c r="D4139" s="2" t="str">
        <f t="shared" si="63"/>
        <v>Error?</v>
      </c>
    </row>
    <row r="4140" spans="1:4" x14ac:dyDescent="0.2">
      <c r="A4140" s="5">
        <v>4079</v>
      </c>
      <c r="B4140" s="138">
        <f>'Acct Summary 7-8'!G19</f>
        <v>76676</v>
      </c>
      <c r="C4140" s="2" t="s">
        <v>594</v>
      </c>
      <c r="D4140" s="2" t="str">
        <f t="shared" si="63"/>
        <v>Error?</v>
      </c>
    </row>
    <row r="4141" spans="1:4" x14ac:dyDescent="0.2">
      <c r="A4141" s="5">
        <v>4080</v>
      </c>
      <c r="B4141" s="138">
        <f>'Acct Summary 7-8'!H19</f>
        <v>10396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60000</v>
      </c>
      <c r="C4171" s="2" t="s">
        <v>594</v>
      </c>
      <c r="D4171" s="2" t="str">
        <f t="shared" si="64"/>
        <v>Error?</v>
      </c>
    </row>
    <row r="4172" spans="1:4" x14ac:dyDescent="0.2">
      <c r="A4172" s="5">
        <v>4111</v>
      </c>
      <c r="B4172" s="138">
        <f>'Short-Term Long-Term Debt 24'!J49</f>
        <v>54316</v>
      </c>
      <c r="C4172" s="2" t="s">
        <v>594</v>
      </c>
      <c r="D4172" s="2" t="str">
        <f t="shared" si="64"/>
        <v>Error?</v>
      </c>
    </row>
    <row r="4173" spans="1:4" x14ac:dyDescent="0.2">
      <c r="A4173" s="5">
        <v>4112</v>
      </c>
      <c r="B4173" s="138">
        <f>'Short-Term Long-Term Debt 24'!H49</f>
        <v>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1163.95</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1534</v>
      </c>
      <c r="C4268" s="2" t="s">
        <v>594</v>
      </c>
      <c r="D4268" s="2" t="str">
        <f t="shared" si="65"/>
        <v>Error?</v>
      </c>
    </row>
    <row r="4269" spans="1:5" x14ac:dyDescent="0.2">
      <c r="A4269" s="12">
        <v>4208</v>
      </c>
      <c r="B4269" s="138">
        <f>'FP Info 3'!J16</f>
        <v>1476462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5549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23181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8538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26757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16150012</v>
      </c>
      <c r="D4995" s="2" t="str">
        <f t="shared" si="77"/>
        <v>Error?</v>
      </c>
    </row>
    <row r="4996" spans="1:4" x14ac:dyDescent="0.2">
      <c r="A4996" s="12">
        <v>4935</v>
      </c>
      <c r="B4996" s="138">
        <f>'FP Info 3'!H31</f>
        <v>1114350.828</v>
      </c>
      <c r="D4996" s="2" t="str">
        <f t="shared" si="77"/>
        <v>Error?</v>
      </c>
    </row>
    <row r="4997" spans="1:4" x14ac:dyDescent="0.2">
      <c r="A4997" s="12">
        <v>4936</v>
      </c>
      <c r="B4997" s="138">
        <f>'FP Info 3'!H37</f>
        <v>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7988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187373</v>
      </c>
      <c r="D5061" s="2" t="str">
        <f t="shared" si="78"/>
        <v>Error?</v>
      </c>
    </row>
    <row r="5062" spans="1:4" x14ac:dyDescent="0.2">
      <c r="A5062" s="10">
        <v>5001</v>
      </c>
      <c r="D5062" s="2" t="str">
        <f t="shared" si="78"/>
        <v>OK</v>
      </c>
    </row>
    <row r="5063" spans="1:4" x14ac:dyDescent="0.2">
      <c r="A5063" s="5">
        <v>5002</v>
      </c>
      <c r="B5063" s="138">
        <f>'Revenues 9-14'!C7</f>
        <v>3239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198600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10989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10989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537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784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114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114</v>
      </c>
      <c r="C5112" s="2" t="s">
        <v>594</v>
      </c>
      <c r="D5112" s="2" t="str">
        <f t="shared" si="78"/>
        <v>Error?</v>
      </c>
    </row>
    <row r="5113" spans="1:4" x14ac:dyDescent="0.2">
      <c r="A5113" s="5">
        <v>5052</v>
      </c>
      <c r="B5113" s="138">
        <f>'Revenues 9-14'!C95</f>
        <v>234</v>
      </c>
      <c r="D5113" s="2" t="str">
        <f t="shared" si="78"/>
        <v>Error?</v>
      </c>
    </row>
    <row r="5114" spans="1:4" x14ac:dyDescent="0.2">
      <c r="A5114" s="5">
        <v>5053</v>
      </c>
      <c r="B5114" s="138">
        <f>'Revenues 9-14'!C96</f>
        <v>249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26210</v>
      </c>
      <c r="D5119" s="2" t="str">
        <f t="shared" ref="D5119:D5182" si="79">IF(ISBLANK(B5119),"OK",IF(A5119-B5119=0,"OK","Error?"))</f>
        <v>Error?</v>
      </c>
    </row>
    <row r="5120" spans="1:4" x14ac:dyDescent="0.2">
      <c r="A5120" s="5">
        <v>5059</v>
      </c>
      <c r="B5120" s="138">
        <f>'Revenues 9-14'!C108</f>
        <v>28792</v>
      </c>
      <c r="C5120" s="2" t="s">
        <v>594</v>
      </c>
      <c r="D5120" s="2" t="str">
        <f t="shared" si="79"/>
        <v>Error?</v>
      </c>
    </row>
    <row r="5121" spans="1:4" x14ac:dyDescent="0.2">
      <c r="A5121" s="5">
        <v>5060</v>
      </c>
      <c r="B5121" s="138">
        <f>'Revenues 9-14'!C109</f>
        <v>239279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1429411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1429411</v>
      </c>
      <c r="C5132" s="2" t="s">
        <v>594</v>
      </c>
      <c r="D5132" s="2" t="str">
        <f t="shared" si="79"/>
        <v>Error?</v>
      </c>
    </row>
    <row r="5133" spans="1:4" x14ac:dyDescent="0.2">
      <c r="A5133" s="5">
        <v>5072</v>
      </c>
      <c r="B5133" s="138">
        <f>'Revenues 9-14'!C124</f>
        <v>6574</v>
      </c>
      <c r="D5133" s="2" t="str">
        <f t="shared" si="79"/>
        <v>Error?</v>
      </c>
    </row>
    <row r="5134" spans="1:4" x14ac:dyDescent="0.2">
      <c r="A5134" s="5">
        <v>5073</v>
      </c>
      <c r="B5134" s="138">
        <f>'Revenues 9-14'!C125</f>
        <v>17863</v>
      </c>
      <c r="D5134" s="2" t="str">
        <f t="shared" si="79"/>
        <v>Error?</v>
      </c>
    </row>
    <row r="5135" spans="1:4" x14ac:dyDescent="0.2">
      <c r="A5135" s="5">
        <v>5074</v>
      </c>
      <c r="B5135" s="138">
        <f>'Revenues 9-14'!C126</f>
        <v>14370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1079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39886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2694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105406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174743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1604154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104162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45234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156088</v>
      </c>
      <c r="C5246" s="2" t="s">
        <v>594</v>
      </c>
      <c r="D5246" s="2" t="str">
        <f t="shared" si="80"/>
        <v>Error?</v>
      </c>
    </row>
    <row r="5247" spans="1:4" x14ac:dyDescent="0.2">
      <c r="A5247" s="5">
        <v>5186</v>
      </c>
      <c r="B5247" s="138">
        <f>'Revenues 9-14'!C203</f>
        <v>136557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136557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8195</v>
      </c>
      <c r="D5278" s="2" t="str">
        <f t="shared" si="81"/>
        <v>Error?</v>
      </c>
    </row>
    <row r="5279" spans="1:4" x14ac:dyDescent="0.2">
      <c r="A5279" s="5">
        <v>5218</v>
      </c>
      <c r="B5279" s="138">
        <f>'Revenues 9-14'!C221</f>
        <v>1516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9711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339624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339624</v>
      </c>
      <c r="C5326" s="2" t="s">
        <v>594</v>
      </c>
      <c r="D5326" s="2" t="str">
        <f t="shared" si="82"/>
        <v>Error?</v>
      </c>
    </row>
    <row r="5327" spans="1:4" x14ac:dyDescent="0.2">
      <c r="A5327" s="5">
        <v>5266</v>
      </c>
      <c r="B5327" s="138">
        <f>'Revenues 9-14'!C275</f>
        <v>2183057</v>
      </c>
      <c r="C5327" s="2" t="s">
        <v>594</v>
      </c>
      <c r="D5327" s="2" t="str">
        <f t="shared" si="82"/>
        <v>Error?</v>
      </c>
    </row>
    <row r="5328" spans="1:4" x14ac:dyDescent="0.2">
      <c r="A5328" s="5">
        <v>5267</v>
      </c>
      <c r="B5328" s="138">
        <f>'Revenues 9-14'!D5</f>
        <v>40484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40484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44655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44655</v>
      </c>
      <c r="C5339" s="2" t="s">
        <v>594</v>
      </c>
      <c r="D5339" s="2" t="str">
        <f t="shared" si="82"/>
        <v>Error?</v>
      </c>
    </row>
    <row r="5340" spans="1:4" x14ac:dyDescent="0.2">
      <c r="A5340" s="5">
        <v>5279</v>
      </c>
      <c r="B5340" s="138">
        <f>'Revenues 9-14'!D65</f>
        <v>127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14344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14344</v>
      </c>
      <c r="C5355" s="2" t="s">
        <v>594</v>
      </c>
      <c r="D5355" s="2" t="str">
        <f t="shared" si="82"/>
        <v>Error?</v>
      </c>
    </row>
    <row r="5356" spans="1:4" x14ac:dyDescent="0.2">
      <c r="A5356" s="5">
        <v>5295</v>
      </c>
      <c r="B5356" s="138">
        <f>'Revenues 9-14'!D109</f>
        <v>99610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99610</v>
      </c>
      <c r="C5508" s="2" t="s">
        <v>594</v>
      </c>
      <c r="D5508" s="2" t="str">
        <f t="shared" si="85"/>
        <v>Error?</v>
      </c>
    </row>
    <row r="5509" spans="1:4" x14ac:dyDescent="0.2">
      <c r="A5509" s="5">
        <v>5448</v>
      </c>
      <c r="B5509" s="138">
        <f>'Revenues 9-14'!E5</f>
        <v>63165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63165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63165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63165</v>
      </c>
      <c r="C5552" s="2" t="s">
        <v>594</v>
      </c>
      <c r="D5552" s="2" t="str">
        <f t="shared" si="85"/>
        <v>Error?</v>
      </c>
    </row>
    <row r="5553" spans="1:4" x14ac:dyDescent="0.2">
      <c r="A5553" s="5">
        <v>5492</v>
      </c>
      <c r="B5553" s="138">
        <f>'Revenues 9-14'!F5</f>
        <v>19432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19432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19538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55910</v>
      </c>
      <c r="D5615" s="2" t="str">
        <f t="shared" si="86"/>
        <v>Error?</v>
      </c>
    </row>
    <row r="5616" spans="1:4" x14ac:dyDescent="0.2">
      <c r="A5616" s="10">
        <v>5555</v>
      </c>
      <c r="D5616" s="2" t="str">
        <f t="shared" si="86"/>
        <v>OK</v>
      </c>
    </row>
    <row r="5617" spans="1:4" x14ac:dyDescent="0.2">
      <c r="A5617" s="5">
        <v>5556</v>
      </c>
      <c r="B5617" s="138">
        <f>'Revenues 9-14'!F152</f>
        <v>37955</v>
      </c>
      <c r="D5617" s="2" t="str">
        <f t="shared" si="86"/>
        <v>Error?</v>
      </c>
    </row>
    <row r="5618" spans="1:4" x14ac:dyDescent="0.2">
      <c r="A5618" s="5">
        <v>5557</v>
      </c>
      <c r="B5618" s="138">
        <f>'Revenues 9-14'!F154</f>
        <v>93865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93865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118865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138403</v>
      </c>
      <c r="C5720" s="2" t="s">
        <v>594</v>
      </c>
      <c r="D5720" s="2" t="str">
        <f t="shared" si="88"/>
        <v>Error?</v>
      </c>
    </row>
    <row r="5721" spans="1:4" x14ac:dyDescent="0.2">
      <c r="A5721" s="5">
        <v>5660</v>
      </c>
      <c r="B5721" s="138">
        <f>'Revenues 9-14'!G5</f>
        <v>43491</v>
      </c>
      <c r="D5721" s="2" t="str">
        <f t="shared" si="88"/>
        <v>Error?</v>
      </c>
    </row>
    <row r="5722" spans="1:4" x14ac:dyDescent="0.2">
      <c r="A5722" s="5">
        <v>5661</v>
      </c>
      <c r="B5722" s="138">
        <f>'Revenues 9-14'!G7</f>
        <v>0</v>
      </c>
      <c r="D5722" s="2" t="str">
        <f t="shared" si="88"/>
        <v>Error?</v>
      </c>
    </row>
    <row r="5723" spans="1:4" x14ac:dyDescent="0.2">
      <c r="A5723" s="5">
        <v>5662</v>
      </c>
      <c r="B5723" s="138">
        <f>'Revenues 9-14'!G8</f>
        <v>35503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78994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680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79674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52999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52999</v>
      </c>
      <c r="C5915" s="2" t="s">
        <v>594</v>
      </c>
      <c r="D5915" s="2" t="str">
        <f t="shared" si="91"/>
        <v>Error?</v>
      </c>
    </row>
    <row r="5916" spans="1:4" x14ac:dyDescent="0.2">
      <c r="A5916" s="5">
        <v>5855</v>
      </c>
      <c r="B5916" s="138">
        <f>'Revenues 9-14'!I5</f>
        <v>8097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8097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290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8387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7989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7989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8017</v>
      </c>
      <c r="C6023" s="2" t="s">
        <v>594</v>
      </c>
      <c r="D6023" s="2" t="str">
        <f t="shared" si="93"/>
        <v>Error?</v>
      </c>
    </row>
    <row r="6024" spans="1:5" x14ac:dyDescent="0.2">
      <c r="A6024" s="5">
        <v>5963</v>
      </c>
      <c r="B6024" s="138">
        <f>'Revenues 9-14'!G109</f>
        <v>79674</v>
      </c>
      <c r="C6024" s="2" t="s">
        <v>594</v>
      </c>
      <c r="D6024" s="2" t="str">
        <f t="shared" si="93"/>
        <v>Error?</v>
      </c>
    </row>
    <row r="6025" spans="1:5" x14ac:dyDescent="0.2">
      <c r="A6025" s="5">
        <v>5964</v>
      </c>
      <c r="B6025" s="138">
        <f>'Revenues 9-14'!H109</f>
        <v>52999</v>
      </c>
      <c r="C6025" s="2" t="s">
        <v>594</v>
      </c>
      <c r="D6025" s="2" t="str">
        <f t="shared" si="93"/>
        <v>Error?</v>
      </c>
    </row>
    <row r="6026" spans="1:5" x14ac:dyDescent="0.2">
      <c r="A6026" s="5">
        <v>5965</v>
      </c>
      <c r="B6026" s="138">
        <f>'Revenues 9-14'!I109</f>
        <v>8387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8017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247</v>
      </c>
      <c r="D6031" s="2" t="str">
        <f t="shared" si="93"/>
        <v>Error?</v>
      </c>
    </row>
    <row r="6032" spans="1:5" x14ac:dyDescent="0.2">
      <c r="A6032" s="5">
        <v>5971</v>
      </c>
      <c r="B6032" s="138">
        <f>'Acct Summary 7-8'!G15</f>
        <v>3190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13372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211.35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54768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54768</v>
      </c>
      <c r="D6215" s="2" t="str">
        <f t="shared" si="96"/>
        <v>Error?</v>
      </c>
      <c r="E6215" s="2" t="s">
        <v>199</v>
      </c>
    </row>
    <row r="6216" spans="1:5" x14ac:dyDescent="0.2">
      <c r="A6216">
        <v>6155</v>
      </c>
      <c r="B6216" s="138">
        <f>'Assets-Liab 5-6'!J41</f>
        <v>54768</v>
      </c>
      <c r="D6216" s="2" t="str">
        <f t="shared" si="96"/>
        <v>Error?</v>
      </c>
      <c r="E6216" s="2" t="s">
        <v>199</v>
      </c>
    </row>
    <row r="6217" spans="1:5" x14ac:dyDescent="0.2">
      <c r="A6217">
        <v>6156</v>
      </c>
      <c r="B6217" s="138">
        <f>'Assets-Liab 5-6'!J4</f>
        <v>20177</v>
      </c>
      <c r="D6217" s="2" t="str">
        <f t="shared" si="96"/>
        <v>Error?</v>
      </c>
      <c r="E6217" s="2" t="s">
        <v>199</v>
      </c>
    </row>
    <row r="6218" spans="1:5" x14ac:dyDescent="0.2">
      <c r="A6218">
        <v>6157</v>
      </c>
      <c r="B6218" s="138">
        <f>'Assets-Liab 5-6'!J5</f>
        <v>34591</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48455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48455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48455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35864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35864</v>
      </c>
      <c r="D6229" s="2" t="str">
        <f t="shared" si="96"/>
        <v>Error?</v>
      </c>
      <c r="E6229" s="2" t="s">
        <v>199</v>
      </c>
    </row>
    <row r="6230" spans="1:5" x14ac:dyDescent="0.2">
      <c r="A6230">
        <v>6169</v>
      </c>
      <c r="B6230" s="138">
        <f>'Acct Summary 7-8'!J20</f>
        <v>12591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12591</v>
      </c>
      <c r="D6263" s="2" t="str">
        <f t="shared" si="96"/>
        <v>Error?</v>
      </c>
      <c r="E6263" s="2" t="s">
        <v>199</v>
      </c>
    </row>
    <row r="6264" spans="1:5" x14ac:dyDescent="0.2">
      <c r="A6264">
        <v>6203</v>
      </c>
      <c r="B6264" s="138">
        <f>'Acct Summary 7-8'!J79</f>
        <v>42177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54768</v>
      </c>
      <c r="D6266" s="2" t="str">
        <f t="shared" si="96"/>
        <v>Error?</v>
      </c>
      <c r="E6266" s="2" t="s">
        <v>199</v>
      </c>
    </row>
    <row r="6267" spans="1:5" x14ac:dyDescent="0.2">
      <c r="A6267">
        <v>6206</v>
      </c>
      <c r="B6267" s="138">
        <f>'Acct Summary 7-8'!C82</f>
        <v>52559</v>
      </c>
      <c r="D6267" s="2" t="str">
        <f t="shared" si="96"/>
        <v>Error?</v>
      </c>
      <c r="E6267" s="2" t="s">
        <v>199</v>
      </c>
    </row>
    <row r="6268" spans="1:5" x14ac:dyDescent="0.2">
      <c r="A6268">
        <v>6207</v>
      </c>
      <c r="B6268" s="138">
        <f>'Acct Summary 7-8'!D82</f>
        <v>61422</v>
      </c>
      <c r="D6268" s="2" t="str">
        <f t="shared" si="96"/>
        <v>Error?</v>
      </c>
      <c r="E6268" s="2" t="s">
        <v>199</v>
      </c>
    </row>
    <row r="6269" spans="1:5" x14ac:dyDescent="0.2">
      <c r="A6269">
        <v>6208</v>
      </c>
      <c r="B6269" s="138">
        <f>'Acct Summary 7-8'!E82</f>
        <v>-35</v>
      </c>
      <c r="D6269" s="2" t="str">
        <f t="shared" si="96"/>
        <v>Error?</v>
      </c>
      <c r="E6269" s="2" t="s">
        <v>199</v>
      </c>
    </row>
    <row r="6270" spans="1:5" x14ac:dyDescent="0.2">
      <c r="A6270">
        <v>6209</v>
      </c>
      <c r="B6270" s="138">
        <f>'Acct Summary 7-8'!F82</f>
        <v>-6220</v>
      </c>
      <c r="D6270" s="2" t="str">
        <f t="shared" si="96"/>
        <v>Error?</v>
      </c>
      <c r="E6270" s="2" t="s">
        <v>199</v>
      </c>
    </row>
    <row r="6271" spans="1:5" x14ac:dyDescent="0.2">
      <c r="A6271">
        <v>6210</v>
      </c>
      <c r="B6271" s="138">
        <f>'Acct Summary 7-8'!G82</f>
        <v>2998</v>
      </c>
      <c r="D6271" s="2" t="str">
        <f t="shared" ref="D6271:D6334" si="97">IF(ISBLANK(B6271),"OK",IF(A6271-B6271=0,"OK","Error?"))</f>
        <v>Error?</v>
      </c>
      <c r="E6271" s="2" t="s">
        <v>199</v>
      </c>
    </row>
    <row r="6272" spans="1:5" x14ac:dyDescent="0.2">
      <c r="A6272">
        <v>6211</v>
      </c>
      <c r="B6272" s="138">
        <f>'Acct Summary 7-8'!H82</f>
        <v>42603</v>
      </c>
      <c r="D6272" s="2" t="str">
        <f t="shared" si="97"/>
        <v>Error?</v>
      </c>
      <c r="E6272" s="2" t="s">
        <v>199</v>
      </c>
    </row>
    <row r="6273" spans="1:5" x14ac:dyDescent="0.2">
      <c r="A6273">
        <v>6212</v>
      </c>
      <c r="B6273" s="138">
        <f>'Acct Summary 7-8'!I82</f>
        <v>-154613</v>
      </c>
      <c r="D6273" s="2" t="str">
        <f t="shared" si="97"/>
        <v>Error?</v>
      </c>
      <c r="E6273" s="2" t="s">
        <v>199</v>
      </c>
    </row>
    <row r="6274" spans="1:5" x14ac:dyDescent="0.2">
      <c r="A6274">
        <v>6213</v>
      </c>
      <c r="B6274" s="138">
        <f>'Acct Summary 7-8'!J82</f>
        <v>12591</v>
      </c>
      <c r="D6274" s="2" t="str">
        <f t="shared" si="97"/>
        <v>Error?</v>
      </c>
      <c r="E6274" s="2" t="s">
        <v>199</v>
      </c>
    </row>
    <row r="6275" spans="1:5" x14ac:dyDescent="0.2">
      <c r="A6275">
        <v>6214</v>
      </c>
      <c r="B6275" s="138">
        <f>'Acct Summary 7-8'!K82</f>
        <v>8017</v>
      </c>
      <c r="D6275" s="2" t="str">
        <f t="shared" si="97"/>
        <v>Error?</v>
      </c>
      <c r="E6275" s="2" t="s">
        <v>199</v>
      </c>
    </row>
    <row r="6276" spans="1:5" x14ac:dyDescent="0.2">
      <c r="A6276">
        <v>6215</v>
      </c>
      <c r="B6276" s="138">
        <f>'Acct Summary 7-8'!C83</f>
        <v>4.194378340763015E-2</v>
      </c>
      <c r="D6276" s="2" t="str">
        <f t="shared" si="97"/>
        <v>Error?</v>
      </c>
      <c r="E6276" s="2" t="s">
        <v>199</v>
      </c>
    </row>
    <row r="6277" spans="1:5" x14ac:dyDescent="0.2">
      <c r="A6277">
        <v>6216</v>
      </c>
      <c r="B6277" s="138">
        <f>'Acct Summary 7-8'!D83</f>
        <v>0.48769681522593555</v>
      </c>
      <c r="D6277" s="2" t="str">
        <f t="shared" si="97"/>
        <v>Error?</v>
      </c>
      <c r="E6277" s="2" t="s">
        <v>199</v>
      </c>
    </row>
    <row r="6278" spans="1:5" x14ac:dyDescent="0.2">
      <c r="A6278">
        <v>6217</v>
      </c>
      <c r="B6278" s="138">
        <f>'Acct Summary 7-8'!E83</f>
        <v>-6.1576354679802959E-3</v>
      </c>
      <c r="D6278" s="2" t="str">
        <f t="shared" si="97"/>
        <v>Error?</v>
      </c>
      <c r="E6278" s="2" t="s">
        <v>199</v>
      </c>
    </row>
    <row r="6279" spans="1:5" x14ac:dyDescent="0.2">
      <c r="A6279">
        <v>6218</v>
      </c>
      <c r="B6279" s="138">
        <f>'Acct Summary 7-8'!F83</f>
        <v>-0.11577046922404005</v>
      </c>
      <c r="D6279" s="2" t="str">
        <f t="shared" si="97"/>
        <v>Error?</v>
      </c>
      <c r="E6279" s="2" t="s">
        <v>199</v>
      </c>
    </row>
    <row r="6280" spans="1:5" x14ac:dyDescent="0.2">
      <c r="A6280">
        <v>6219</v>
      </c>
      <c r="B6280" s="138">
        <f>'Acct Summary 7-8'!G83</f>
        <v>0.1379532486655623</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-3.5372454815831618</v>
      </c>
      <c r="D6282" s="2" t="str">
        <f t="shared" si="97"/>
        <v>Error?</v>
      </c>
      <c r="E6282" s="2" t="s">
        <v>199</v>
      </c>
    </row>
    <row r="6283" spans="1:5" x14ac:dyDescent="0.2">
      <c r="A6283">
        <v>6222</v>
      </c>
      <c r="B6283" s="138">
        <f>'Acct Summary 7-8'!J83</f>
        <v>0.22989702015775634</v>
      </c>
      <c r="D6283" s="2" t="str">
        <f t="shared" si="97"/>
        <v>Error?</v>
      </c>
      <c r="E6283" s="2" t="s">
        <v>199</v>
      </c>
    </row>
    <row r="6284" spans="1:5" x14ac:dyDescent="0.2">
      <c r="A6284">
        <v>6223</v>
      </c>
      <c r="B6284" s="138">
        <f>'Acct Summary 7-8'!K83</f>
        <v>0.35406085766020401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48224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48224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231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231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48455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66635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1424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80280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1424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294326</v>
      </c>
      <c r="D6983" s="2" t="str">
        <f t="shared" si="108"/>
        <v>Error?</v>
      </c>
    </row>
    <row r="6984" spans="1:4" x14ac:dyDescent="0.2">
      <c r="A6984">
        <v>6923</v>
      </c>
      <c r="B6984" s="138">
        <f>'Expenditures 15-22'!K86</f>
        <v>294326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294326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1350</v>
      </c>
      <c r="D7016" s="2" t="str">
        <f t="shared" si="108"/>
        <v>Error?</v>
      </c>
    </row>
    <row r="7017" spans="1:4" x14ac:dyDescent="0.2">
      <c r="A7017">
        <v>6956</v>
      </c>
      <c r="B7017" s="138">
        <f>'Expenditures 15-22'!K111</f>
        <v>1350</v>
      </c>
      <c r="D7017" s="2" t="str">
        <f t="shared" si="108"/>
        <v>Error?</v>
      </c>
    </row>
    <row r="7018" spans="1:4" x14ac:dyDescent="0.2">
      <c r="A7018">
        <v>6957</v>
      </c>
      <c r="B7018" s="138">
        <f>'Expenditures 15-22'!H112</f>
        <v>1350</v>
      </c>
      <c r="D7018" s="2" t="str">
        <f t="shared" si="108"/>
        <v>Error?</v>
      </c>
    </row>
    <row r="7019" spans="1:4" x14ac:dyDescent="0.2">
      <c r="A7019">
        <v>6958</v>
      </c>
      <c r="B7019" s="138">
        <f>'Expenditures 15-22'!K112</f>
        <v>1350</v>
      </c>
      <c r="D7019" s="2" t="str">
        <f t="shared" si="108"/>
        <v>Error?</v>
      </c>
    </row>
    <row r="7020" spans="1:4" x14ac:dyDescent="0.2">
      <c r="A7020">
        <v>6959</v>
      </c>
      <c r="B7020" s="138">
        <f>'Expenditures 15-22'!I114</f>
        <v>1424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2750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2750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2750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35864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2750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48455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3958</v>
      </c>
      <c r="D7073" s="2" t="str">
        <f t="shared" si="109"/>
        <v>Error?</v>
      </c>
    </row>
    <row r="7074" spans="1:4" x14ac:dyDescent="0.2">
      <c r="A7074">
        <v>7013</v>
      </c>
      <c r="B7074" s="138">
        <f>'Expenditures 15-22'!K216</f>
        <v>3958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8778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8778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3581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3581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3180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3180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35864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35864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35864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35864</v>
      </c>
      <c r="D7224" s="2" t="str">
        <f t="shared" si="111"/>
        <v>Error?</v>
      </c>
    </row>
    <row r="7225" spans="1:4" x14ac:dyDescent="0.2">
      <c r="A7225">
        <v>7164</v>
      </c>
      <c r="B7225" s="138">
        <f>'Expenditures 15-22'!K343</f>
        <v>12591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13645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4174</v>
      </c>
      <c r="D7624" s="2" t="str">
        <f t="shared" si="124"/>
        <v>Error?</v>
      </c>
      <c r="E7624" s="2" t="s">
        <v>19</v>
      </c>
    </row>
    <row r="7625" spans="1:5" x14ac:dyDescent="0.2">
      <c r="A7625">
        <f t="shared" si="123"/>
        <v>7564</v>
      </c>
      <c r="B7625" s="138">
        <f>'Cap Outlay Deprec 26'!I17</f>
        <v>417.4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130637.4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6692</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20325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20325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52999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52999</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3239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10396</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10396</v>
      </c>
      <c r="D7730" s="2" t="str">
        <f t="shared" si="126"/>
        <v>Error?</v>
      </c>
      <c r="E7730" s="2" t="s">
        <v>881</v>
      </c>
    </row>
    <row r="7731" spans="1:6" x14ac:dyDescent="0.2">
      <c r="A7731">
        <v>7670</v>
      </c>
      <c r="B7731" s="138">
        <f>'Revenues 9-14'!H103</f>
        <v>52999</v>
      </c>
      <c r="D7731" s="2" t="str">
        <f t="shared" si="126"/>
        <v>Error?</v>
      </c>
      <c r="E7731" s="2" t="s">
        <v>881</v>
      </c>
    </row>
    <row r="7732" spans="1:6" x14ac:dyDescent="0.2">
      <c r="A7732">
        <v>7671</v>
      </c>
      <c r="B7732" s="138">
        <f>'Rest Tax Levies-Tort Im 25'!J24</f>
        <v>42603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42603</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15000</v>
      </c>
      <c r="D7748" s="2" t="str">
        <f t="shared" si="127"/>
        <v>Error?</v>
      </c>
      <c r="E7748" s="4" t="s">
        <v>1400</v>
      </c>
    </row>
    <row r="7749" spans="1:6" x14ac:dyDescent="0.2">
      <c r="A7749">
        <v>7688</v>
      </c>
      <c r="B7749" s="138">
        <f>'Acct Summary 7-8'!D25</f>
        <v>88000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60000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276256</v>
      </c>
      <c r="D7797" s="2" t="str">
        <f t="shared" si="127"/>
        <v>Error?</v>
      </c>
      <c r="E7797" s="4" t="s">
        <v>2020</v>
      </c>
    </row>
    <row r="7798" spans="1:5" x14ac:dyDescent="0.2">
      <c r="A7798">
        <v>7737</v>
      </c>
      <c r="B7798" s="138">
        <f>'Contracts Paid in CY 29'!F141</f>
        <v>75000</v>
      </c>
      <c r="D7798" s="2" t="str">
        <f t="shared" si="127"/>
        <v>Error?</v>
      </c>
      <c r="E7798" s="4" t="s">
        <v>2020</v>
      </c>
    </row>
    <row r="7799" spans="1:5" x14ac:dyDescent="0.2">
      <c r="A7799">
        <v>7738</v>
      </c>
      <c r="B7799" s="138">
        <f>'Contracts Paid in CY 29'!G141</f>
        <v>201256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Pleasant Hill Grade School District No. 69</v>
      </c>
      <c r="B7" s="2404"/>
      <c r="C7" s="2404"/>
      <c r="D7" s="2441"/>
      <c r="E7" s="2442">
        <f>COVER!A13</f>
        <v>48072069002</v>
      </c>
      <c r="F7" s="2443"/>
      <c r="G7" s="2410" t="str">
        <f>COVER!T23</f>
        <v>066-004769</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Meister, Hilton, Chitwood &amp;  Associates, Inc.</v>
      </c>
      <c r="H9" s="2417"/>
      <c r="I9" s="2417"/>
      <c r="J9" s="2417"/>
      <c r="K9" s="2417"/>
      <c r="L9" s="2418"/>
    </row>
    <row r="10" spans="1:29" ht="13.5" customHeight="1" x14ac:dyDescent="0.2">
      <c r="A10" s="2400" t="str">
        <f>COVER!A38</f>
        <v>Lisa Weaver</v>
      </c>
      <c r="B10" s="2401"/>
      <c r="C10" s="2401"/>
      <c r="D10" s="2401"/>
      <c r="E10" s="2401"/>
      <c r="F10" s="2402"/>
      <c r="G10" s="2416" t="str">
        <f>COVER!T17</f>
        <v>809 W.  Detweiller Drive, Suite 804</v>
      </c>
      <c r="H10" s="2429"/>
      <c r="I10" s="2429"/>
      <c r="J10" s="2429"/>
      <c r="K10" s="2429"/>
      <c r="L10" s="2430"/>
    </row>
    <row r="11" spans="1:29" ht="13.5" customHeight="1" x14ac:dyDescent="0.2">
      <c r="A11" s="1185" t="s">
        <v>1599</v>
      </c>
      <c r="B11" s="1186"/>
      <c r="C11" s="1187"/>
      <c r="D11" s="1192"/>
      <c r="E11" s="1187"/>
      <c r="F11" s="1191"/>
      <c r="G11" s="2416" t="str">
        <f>COVER!T19</f>
        <v>Peoria</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ron.hilton1@comcast.net</v>
      </c>
      <c r="J13" s="2438"/>
      <c r="K13" s="2438"/>
      <c r="L13" s="2439"/>
    </row>
    <row r="14" spans="1:29" ht="13.5" customHeight="1" x14ac:dyDescent="0.2">
      <c r="A14" s="2416" t="str">
        <f>COVER!A19</f>
        <v>3717 West Malone Street</v>
      </c>
      <c r="B14" s="2429"/>
      <c r="C14" s="2429"/>
      <c r="D14" s="2429"/>
      <c r="E14" s="2429"/>
      <c r="F14" s="2430"/>
      <c r="G14" s="1196" t="s">
        <v>1247</v>
      </c>
      <c r="H14" s="1194"/>
      <c r="I14" s="1194"/>
      <c r="J14" s="1194"/>
      <c r="K14" s="1194"/>
      <c r="L14" s="1195"/>
    </row>
    <row r="15" spans="1:29" ht="13.5" customHeight="1" x14ac:dyDescent="0.2">
      <c r="A15" s="2416" t="str">
        <f>COVER!A21</f>
        <v>Peoria</v>
      </c>
      <c r="B15" s="2429"/>
      <c r="C15" s="2429"/>
      <c r="D15" s="2429"/>
      <c r="E15" s="2429"/>
      <c r="F15" s="2430"/>
      <c r="G15" s="2426" t="str">
        <f>COVER!T15</f>
        <v>Ron Hilton</v>
      </c>
      <c r="H15" s="2427"/>
      <c r="I15" s="2427"/>
      <c r="J15" s="2427"/>
      <c r="K15" s="2427"/>
      <c r="L15" s="2428"/>
    </row>
    <row r="16" spans="1:29" ht="12.2" customHeight="1" x14ac:dyDescent="0.2">
      <c r="A16" s="2406">
        <f>COVER!A25</f>
        <v>61605</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(309) 683-0441</v>
      </c>
      <c r="H18" s="2404"/>
      <c r="I18" s="2404"/>
      <c r="J18" s="2404"/>
      <c r="K18" s="2403" t="str">
        <f>COVER!X21</f>
        <v>(309) 683-0441</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Pleasant Hill Grade School District No. 69</v>
      </c>
      <c r="B1" s="2440"/>
      <c r="C1" s="2440"/>
      <c r="D1" s="2440"/>
    </row>
    <row r="2" spans="1:11" s="1215" customFormat="1" ht="12.75" x14ac:dyDescent="0.2">
      <c r="A2" s="2445">
        <f>'Single Audit Cover'!E7</f>
        <v>48072069002</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Pleasant Hill Grade School District No. 69</v>
      </c>
      <c r="B1" s="2448"/>
      <c r="C1" s="2448"/>
      <c r="D1" s="2448"/>
      <c r="E1" s="2448"/>
    </row>
    <row r="2" spans="1:5" x14ac:dyDescent="0.2">
      <c r="A2" s="2449">
        <f>'Single Audit Cover'!E7</f>
        <v>48072069002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339624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13372</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-23181</v>
      </c>
    </row>
    <row r="19" spans="1:4" ht="13.5" thickBot="1" x14ac:dyDescent="0.25">
      <c r="A19" s="1265" t="s">
        <v>1297</v>
      </c>
      <c r="D19" s="1266">
        <f>SUM(D10:D17)</f>
        <v>329815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329815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329815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Pleasant Hill Grade School District No. 69</v>
      </c>
      <c r="B1" s="2453"/>
      <c r="C1" s="2453"/>
      <c r="D1" s="2453"/>
      <c r="E1" s="2453"/>
      <c r="F1" s="2453"/>
    </row>
    <row r="2" spans="1:7" ht="13.5" customHeight="1" x14ac:dyDescent="0.2">
      <c r="A2" s="2454">
        <f>'Single Audit Cover'!E7</f>
        <v>48072069002</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Pleasant Hill Grade School District No. 69</v>
      </c>
      <c r="C1" s="2465"/>
      <c r="D1" s="2465"/>
      <c r="E1" s="2465"/>
      <c r="F1" s="2465"/>
      <c r="G1" s="2465"/>
      <c r="H1" s="2465"/>
      <c r="I1" s="2465"/>
      <c r="J1" s="2465"/>
      <c r="K1" s="2465"/>
      <c r="L1" s="2465"/>
      <c r="M1" s="2465"/>
    </row>
    <row r="2" spans="2:14" ht="15" x14ac:dyDescent="0.2">
      <c r="B2" s="2454">
        <f>'Single Audit Cover'!E7</f>
        <v>48072069002</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Pleasant Hill Grade School District No. 69</v>
      </c>
      <c r="C1" s="2473"/>
      <c r="D1" s="2473"/>
      <c r="E1" s="2473"/>
      <c r="F1" s="2473"/>
      <c r="G1" s="2473"/>
      <c r="H1" s="2473"/>
      <c r="I1" s="2473"/>
      <c r="J1" s="1422"/>
    </row>
    <row r="2" spans="2:10" s="317" customFormat="1" ht="12.75" customHeight="1" x14ac:dyDescent="0.2">
      <c r="B2" s="2474">
        <f>'Single Audit Cover'!E7</f>
        <v>48072069002</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1952</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N30" sqref="N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Pleasant Hill Grade School District No. 69</v>
      </c>
      <c r="C1" s="2472"/>
      <c r="D1" s="2472"/>
      <c r="E1" s="2472"/>
      <c r="F1" s="2472"/>
      <c r="G1" s="2472"/>
      <c r="H1" s="2472"/>
      <c r="I1" s="2472"/>
      <c r="J1" s="2472"/>
      <c r="K1" s="2472"/>
      <c r="L1" s="1374"/>
      <c r="M1" s="1374"/>
    </row>
    <row r="2" spans="1:13" ht="12" customHeight="1" x14ac:dyDescent="0.2">
      <c r="B2" s="2474">
        <f>'Single Audit Cover'!E7</f>
        <v>48072069002</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2085</v>
      </c>
      <c r="J10" s="1390" t="s">
        <v>1360</v>
      </c>
      <c r="K10" s="322"/>
      <c r="L10" s="1381"/>
    </row>
    <row r="11" spans="1:13" ht="13.5" customHeight="1" x14ac:dyDescent="0.2">
      <c r="B11" s="322"/>
      <c r="C11" s="322"/>
      <c r="D11" s="322"/>
      <c r="E11" s="322"/>
      <c r="F11" s="322"/>
      <c r="G11" s="1383"/>
      <c r="H11" s="322"/>
      <c r="I11" s="1391" t="s">
        <v>1359</v>
      </c>
      <c r="J11" s="322"/>
      <c r="K11" s="1392">
        <v>1990</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t="s">
        <v>2111</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t="s">
        <v>2112</v>
      </c>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t="s">
        <v>2113</v>
      </c>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t="s">
        <v>2114</v>
      </c>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t="s">
        <v>2115</v>
      </c>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t="s">
        <v>2116</v>
      </c>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t="s">
        <v>2117</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35&amp;R&amp;8Page 35</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L34" sqref="L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Pleasant Hill Grade School District No. 69</v>
      </c>
      <c r="C1" s="2472"/>
      <c r="D1" s="2472"/>
      <c r="E1" s="2472"/>
      <c r="F1" s="2472"/>
      <c r="G1" s="2472"/>
      <c r="H1" s="2472"/>
      <c r="I1" s="2472"/>
      <c r="J1" s="2472"/>
      <c r="K1" s="2472"/>
      <c r="L1" s="1374"/>
      <c r="M1" s="1374"/>
    </row>
    <row r="2" spans="1:13" ht="12" customHeight="1" x14ac:dyDescent="0.2">
      <c r="B2" s="2474">
        <f>'Single Audit Cover'!E7</f>
        <v>48072069002</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956"/>
      <c r="M3" s="1956"/>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2085</v>
      </c>
      <c r="J10" s="1390" t="s">
        <v>1360</v>
      </c>
      <c r="K10" s="322"/>
      <c r="L10" s="1381"/>
    </row>
    <row r="11" spans="1:13" ht="13.5" customHeight="1" x14ac:dyDescent="0.2">
      <c r="B11" s="322"/>
      <c r="C11" s="322"/>
      <c r="D11" s="322"/>
      <c r="E11" s="322"/>
      <c r="F11" s="322"/>
      <c r="G11" s="1383"/>
      <c r="H11" s="322"/>
      <c r="I11" s="1391" t="s">
        <v>1359</v>
      </c>
      <c r="J11" s="322"/>
      <c r="K11" s="1392">
        <v>2006</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54" customHeight="1" x14ac:dyDescent="0.2">
      <c r="B14" s="2494" t="s">
        <v>2118</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70.5" customHeight="1" x14ac:dyDescent="0.2">
      <c r="B17" s="2494" t="s">
        <v>2119</v>
      </c>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t="s">
        <v>2120</v>
      </c>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t="s">
        <v>2121</v>
      </c>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t="s">
        <v>2122</v>
      </c>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t="s">
        <v>2123</v>
      </c>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1.75" customHeight="1" x14ac:dyDescent="0.2">
      <c r="B32" s="2493" t="s">
        <v>2124</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36&amp;R&amp;8Page 36</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Pleasant Hill Grade School District No. 69</v>
      </c>
      <c r="C1" s="2499"/>
      <c r="D1" s="2499"/>
      <c r="E1" s="2499"/>
      <c r="F1" s="2499"/>
      <c r="G1" s="2499"/>
      <c r="H1" s="2499"/>
      <c r="I1" s="2499"/>
      <c r="J1" s="2499"/>
      <c r="K1" s="2499"/>
      <c r="L1" s="1465"/>
    </row>
    <row r="2" spans="1:12" ht="12.75" customHeight="1" x14ac:dyDescent="0.2">
      <c r="B2" s="2500">
        <f>'Single Audit Cover'!E7</f>
        <v>48072069002</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Pleasant Hill Grade School District No. 69</v>
      </c>
      <c r="C1" s="2472"/>
      <c r="D1" s="2472"/>
      <c r="E1" s="1491"/>
    </row>
    <row r="2" spans="2:5" s="1282" customFormat="1" ht="12.75" customHeight="1" x14ac:dyDescent="0.2">
      <c r="B2" s="2474">
        <f>'Single Audit Cover'!E7</f>
        <v>48072069002</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schemas.microsoft.com/sharepoint/v3"/>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4d435f69-8686-490b-bd6d-b153bf22ab50"/>
    <ds:schemaRef ds:uri="d21dc803-237d-4c68-8692-8d731fd29118"/>
    <ds:schemaRef ds:uri="6ce3111e-7420-4802-b50a-75d4e9a0b98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2018-10-02T17:23:11Z</cp:lastPrinted>
  <dcterms:created xsi:type="dcterms:W3CDTF">2003-10-29T19:06:34Z</dcterms:created>
  <dcterms:modified xsi:type="dcterms:W3CDTF">2018-10-09T16:09:44Z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