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83" r:id="rId31"/>
    <sheet name="Finding 2018-002" sheetId="175"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8" l="1"/>
  <c r="J31" i="8"/>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D24" i="37"/>
  <c r="B4270" i="106" s="1"/>
  <c r="D4270" i="106" s="1"/>
  <c r="F50" i="34" l="1"/>
  <c r="F46" i="34"/>
  <c r="D5" i="4"/>
  <c r="B3406" i="106" s="1"/>
  <c r="D3406" i="106" s="1"/>
  <c r="F36" i="108"/>
  <c r="L5" i="11"/>
  <c r="B2056" i="106" s="1"/>
  <c r="D2056" i="106" s="1"/>
  <c r="J22" i="37"/>
  <c r="H28" i="118"/>
  <c r="F49" i="34"/>
  <c r="B7078" i="106"/>
  <c r="D7078" i="106" s="1"/>
  <c r="F64" i="34"/>
  <c r="B1746" i="106"/>
  <c r="D1746" i="106" s="1"/>
  <c r="F26" i="108"/>
  <c r="D26" i="108"/>
  <c r="I24" i="12"/>
  <c r="I26" i="12" s="1"/>
  <c r="B7741" i="106" s="1"/>
  <c r="D7741" i="106" s="1"/>
  <c r="D36" i="108"/>
  <c r="J210" i="29"/>
  <c r="B7072" i="106" s="1"/>
  <c r="D7072" i="106" s="1"/>
  <c r="N22" i="3"/>
  <c r="B283" i="106" s="1"/>
  <c r="D283" i="106" s="1"/>
  <c r="D13" i="7"/>
  <c r="B3726" i="106" s="1"/>
  <c r="D3726" i="106" s="1"/>
  <c r="F70" i="34"/>
  <c r="F42" i="34"/>
  <c r="G172" i="5"/>
  <c r="G173" i="5" s="1"/>
  <c r="B5778" i="106" s="1"/>
  <c r="D5778" i="106" s="1"/>
  <c r="F68" i="34"/>
  <c r="F131" i="34"/>
  <c r="F38" i="34"/>
  <c r="F35" i="34"/>
  <c r="G35" i="108"/>
  <c r="B7047" i="106"/>
  <c r="D7047" i="106" s="1"/>
  <c r="E35" i="108"/>
  <c r="G33" i="108"/>
  <c r="F31" i="108"/>
  <c r="C129" i="29"/>
  <c r="I210" i="29"/>
  <c r="B7071" i="106" s="1"/>
  <c r="D7071" i="106" s="1"/>
  <c r="L15" i="11"/>
  <c r="B3459" i="106" s="1"/>
  <c r="D3459" i="106" s="1"/>
  <c r="H33" i="118"/>
  <c r="D31" i="36"/>
  <c r="D11" i="37"/>
  <c r="B4268" i="106"/>
  <c r="D4268"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B5770" i="106" l="1"/>
  <c r="D5770" i="106" s="1"/>
  <c r="D7251" i="106"/>
  <c r="D7253" i="106"/>
  <c r="D7256" i="106"/>
  <c r="D41" i="108"/>
  <c r="E43" i="108" s="1"/>
  <c r="D7250" i="106"/>
  <c r="I7" i="4"/>
  <c r="B4444" i="106" s="1"/>
  <c r="D4444" i="106" s="1"/>
  <c r="F66" i="34"/>
  <c r="I6" i="4"/>
  <c r="B5011" i="106" s="1"/>
  <c r="D5011"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<sst xmlns="http://schemas.openxmlformats.org/spreadsheetml/2006/main" count="5093" uniqueCount="2134">
  <si>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</si>
  <si>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</si>
  <si>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</si>
  <si>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</si>
  <si>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</si>
  <si>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</si>
  <si>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</si>
  <si>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</si>
  <si>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</si>
  <si>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</si>
  <si>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</si>
  <si>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</si>
  <si>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</si>
  <si>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</si>
  <si>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</si>
  <si>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</si>
  <si>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</si>
  <si>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</si>
  <si>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</si>
  <si>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</si>
  <si>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</si>
  <si>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</si>
  <si>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</si>
  <si>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</si>
  <si>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</si>
  <si>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</si>
  <si>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</si>
  <si>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</si>
  <si>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</si>
  <si>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</si>
  <si>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</si>
  <si>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</si>
  <si>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</si>
  <si>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</si>
  <si>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</si>
  <si>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</si>
  <si>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</si>
  <si>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</si>
  <si>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</si>
  <si>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</si>
  <si>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</si>
  <si>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</si>
  <si>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</si>
  <si>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</si>
  <si>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</si>
  <si>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</si>
  <si>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</si>
  <si>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</si>
  <si>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</si>
  <si>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</si>
  <si>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</si>
  <si>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</si>
  <si>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</si>
  <si>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</si>
  <si>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</si>
  <si>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</si>
  <si>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</si>
  <si>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</si>
  <si>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</si>
  <si>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</si>
  <si>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</si>
  <si>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</si>
  <si>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</si>
  <si>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</si>
  <si>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</si>
  <si>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</si>
  <si>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</si>
  <si>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</si>
  <si>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</si>
  <si>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</si>
  <si>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</si>
  <si>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</si>
  <si>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</si>
  <si>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</si>
  <si>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</si>
  <si>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</si>
  <si>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</si>
  <si>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</si>
  <si>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</si>
  <si>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</si>
  <si>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</si>
  <si>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</si>
  <si>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</si>
  <si>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</si>
  <si>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</si>
  <si>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</si>
  <si>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</si>
  <si>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</si>
  <si>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</si>
  <si>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</si>
  <si>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</si>
  <si>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</si>
  <si>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</si>
  <si>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</si>
  <si>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</si>
  <si>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</si>
  <si>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</si>
  <si>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</si>
  <si>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</si>
  <si>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</si>
  <si>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</si>
  <si>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</si>
  <si>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</si>
  <si>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</si>
  <si>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</si>
  <si>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</si>
  <si>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</si>
  <si>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</si>
  <si>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</si>
  <si>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</si>
  <si>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</si>
  <si>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</si>
  <si>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</si>
  <si>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</si>
  <si>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</si>
  <si>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</si>
  <si>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</si>
  <si>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</si>
  <si>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</si>
  <si>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</si>
  <si>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</si>
  <si>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</si>
  <si>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</si>
  <si>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</si>
  <si>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</si>
  <si>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</si>
  <si>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</si>
  <si>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</si>
  <si>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</si>
  <si>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</si>
  <si>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</si>
  <si>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</si>
  <si>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</si>
  <si>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</si>
  <si>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</si>
  <si>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</si>
  <si>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</si>
  <si>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</si>
  <si>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</si>
  <si>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</si>
  <si>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</si>
  <si>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</si>
  <si>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</si>
  <si>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</si>
  <si>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</si>
  <si>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</si>
  <si>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</si>
  <si>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</si>
  <si>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</si>
  <si>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</si>
  <si>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</si>
  <si>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</si>
  <si>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</si>
  <si>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</si>
  <si>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</si>
  <si>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</si>
  <si>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</si>
  <si>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</si>
  <si>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</si>
  <si>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</si>
  <si>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</si>
  <si>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</si>
  <si>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</si>
  <si>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</si>
  <si>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</si>
  <si>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</si>
  <si>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</si>
  <si>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</si>
  <si>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</si>
  <si>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</si>
  <si>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</si>
  <si>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</si>
  <si>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</si>
  <si>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</si>
  <si>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</si>
  <si>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</si>
  <si>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</si>
  <si>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</si>
  <si>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</si>
  <si>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</si>
  <si>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</si>
  <si>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</si>
  <si>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</si>
  <si>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</si>
  <si>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</si>
  <si>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</si>
  <si>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</si>
  <si>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</si>
  <si>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</si>
  <si>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</si>
  <si>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</si>
  <si>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</si>
  <si>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</si>
  <si>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</si>
  <si>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</si>
  <si>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</si>
  <si>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</si>
  <si>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</si>
  <si>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</si>
  <si>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</si>
  <si>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</si>
  <si>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</si>
  <si>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</si>
  <si>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</si>
  <si>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</si>
  <si>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</si>
  <si>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</si>
  <si>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</si>
  <si>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</si>
  <si>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</si>
  <si>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</si>
  <si>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</si>
  <si>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</si>
  <si>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</si>
  <si>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</si>
  <si>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</si>
  <si>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</si>
  <si>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</si>
  <si>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</si>
  <si>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</si>
  <si>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</si>
  <si>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</si>
  <si>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</si>
  <si>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</si>
  <si>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</si>
  <si>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</si>
  <si>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</si>
  <si>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</si>
  <si>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</si>
  <si>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</si>
  <si>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</si>
  <si>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</si>
  <si>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</si>
  <si>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</si>
  <si>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</si>
  <si>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</si>
  <si>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</si>
  <si>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</si>
  <si>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</si>
  <si>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</si>
  <si>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</si>
  <si>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</si>
  <si>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</si>
  <si>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</si>
  <si>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</si>
  <si>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</si>
  <si>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</si>
  <si>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</si>
  <si>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</si>
  <si>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</si>
  <si>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</si>
  <si>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</si>
  <si>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</si>
  <si>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</si>
  <si>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</si>
  <si>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</si>
  <si>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</si>
  <si>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</si>
  <si>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</si>
  <si>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</si>
  <si>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</si>
  <si>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</si>
  <si>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</si>
  <si>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</si>
  <si>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</si>
  <si>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</si>
  <si>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</si>
  <si>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</si>
  <si>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</si>
  <si>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</si>
  <si>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</si>
  <si>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</si>
  <si>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</si>
  <si>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</si>
  <si>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</si>
  <si>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</si>
  <si>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</si>
  <si>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</si>
  <si>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</si>
  <si>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</si>
  <si>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</si>
  <si>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</si>
  <si>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</si>
  <si>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</si>
  <si>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</si>
  <si>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</si>
  <si>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</si>
  <si>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</si>
  <si>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</si>
  <si>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</si>
  <si>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</si>
  <si>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</si>
  <si>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</si>
  <si>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</si>
  <si>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</si>
  <si>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</si>
  <si>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</si>
  <si>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</si>
  <si>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</si>
  <si>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</si>
  <si>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</si>
  <si>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</si>
  <si>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</si>
  <si>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</si>
  <si>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</si>
  <si>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</si>
  <si>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</si>
  <si>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</si>
  <si>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</si>
  <si>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</si>
  <si>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</si>
  <si>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</si>
  <si>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</si>
  <si>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</si>
  <si>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</si>
  <si>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</si>
  <si>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</si>
  <si>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</si>
  <si>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</si>
  <si>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</si>
  <si>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</si>
  <si>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</si>
  <si>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</si>
  <si>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</si>
  <si>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</si>
  <si>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</si>
  <si>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</si>
  <si>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</si>
  <si>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</si>
  <si>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</si>
  <si>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</si>
  <si>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</si>
  <si>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</si>
  <si>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</si>
  <si>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</si>
  <si>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</si>
  <si>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</si>
  <si>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</si>
  <si>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</si>
  <si>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</si>
  <si>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</si>
  <si>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</si>
  <si>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</si>
  <si>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</si>
  <si>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</si>
  <si>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</si>
  <si>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</si>
  <si>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</si>
  <si>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</si>
  <si>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</si>
  <si>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</si>
  <si>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</si>
  <si>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</si>
  <si>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</si>
  <si>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</si>
  <si>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</si>
  <si>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</si>
  <si>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</si>
  <si>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</si>
  <si>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</si>
  <si>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</si>
  <si>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</si>
  <si>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</si>
  <si>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</si>
  <si>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</si>
  <si>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</si>
  <si>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</si>
  <si>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</si>
  <si>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</si>
  <si>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</si>
  <si>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</si>
  <si>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</si>
  <si>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</si>
  <si>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</si>
  <si>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</si>
  <si>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</si>
  <si>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</si>
  <si>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</si>
  <si>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</si>
  <si>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</si>
  <si>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</si>
  <si>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</si>
  <si>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</si>
  <si>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</si>
  <si>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</si>
  <si>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</si>
  <si>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</si>
  <si>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</si>
  <si>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</si>
  <si>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</si>
  <si>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</si>
  <si>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</si>
  <si>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</si>
  <si>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</si>
  <si>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</si>
  <si>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</si>
  <si>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</si>
  <si>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</si>
  <si>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</si>
  <si>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</si>
  <si>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</si>
  <si>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</si>
  <si>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</si>
  <si>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</si>
  <si>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</si>
  <si>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</si>
  <si>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</si>
  <si>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</si>
  <si>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</si>
  <si>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</si>
  <si>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</si>
  <si>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</si>
  <si>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</si>
  <si>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</si>
  <si>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</si>
  <si>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</si>
  <si>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</si>
  <si>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</si>
  <si>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</si>
  <si>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</si>
  <si>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</si>
  <si>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</si>
  <si>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</si>
  <si>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</si>
  <si>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</si>
  <si>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</si>
  <si>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</si>
  <si>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</si>
  <si>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</si>
  <si>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</si>
  <si>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</si>
  <si>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</si>
  <si>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</si>
  <si>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</si>
  <si>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</si>
  <si>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</si>
  <si>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</si>
  <si>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</si>
  <si>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</si>
  <si>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</si>
  <si>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</si>
  <si>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</si>
  <si>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</si>
  <si>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</si>
  <si>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</si>
  <si>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</si>
  <si>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</si>
  <si>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</si>
  <si>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</si>
  <si>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</si>
  <si>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</si>
  <si>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</si>
  <si>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</si>
  <si>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</si>
  <si>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</si>
  <si>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</si>
  <si>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</si>
  <si>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</si>
  <si>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</si>
  <si>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</si>
  <si>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</si>
  <si>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</si>
  <si>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</si>
  <si>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</si>
  <si>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</si>
  <si>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</si>
  <si>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</si>
  <si>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</si>
  <si>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</si>
  <si>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</si>
  <si>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</si>
  <si>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</si>
  <si>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</si>
  <si>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</si>
  <si>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</si>
  <si>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</si>
  <si>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</si>
  <si>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</si>
  <si>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</si>
  <si>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</si>
  <si>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</si>
  <si>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</si>
  <si>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</si>
  <si>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</si>
  <si>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</si>
  <si>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</si>
  <si>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</si>
  <si>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</si>
  <si>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</si>
  <si>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</si>
  <si>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</si>
  <si>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</si>
  <si>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</si>
  <si>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</si>
  <si>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</si>
  <si>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</si>
  <si>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</si>
  <si>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</si>
  <si>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</si>
  <si>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</si>
  <si>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</si>
  <si>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</si>
  <si>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</si>
  <si>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</si>
  <si>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</si>
  <si>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</si>
  <si>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</si>
  <si>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</si>
  <si>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</si>
  <si>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</si>
  <si>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</si>
  <si>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</si>
  <si>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</si>
  <si>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</si>
  <si>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</si>
  <si>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</si>
  <si>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</si>
  <si>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</si>
  <si>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</si>
  <si>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</si>
  <si>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</si>
  <si>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</si>
  <si>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</si>
  <si>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</si>
  <si>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</si>
  <si>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</si>
  <si>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</si>
  <si>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</si>
  <si>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</si>
  <si>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</si>
  <si>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</si>
  <si>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</si>
  <si>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</si>
  <si>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</si>
  <si>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</si>
  <si>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</si>
  <si>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</si>
  <si>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</si>
  <si>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</si>
  <si>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</si>
  <si>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</si>
  <si>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</si>
  <si>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</si>
  <si>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</si>
  <si>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</si>
  <si>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</si>
  <si>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</si>
  <si>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</si>
  <si>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</si>
  <si>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</si>
  <si>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</si>
  <si>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</si>
  <si>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</si>
  <si>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</si>
  <si>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</si>
  <si>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</si>
  <si>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</si>
  <si>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</si>
  <si>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</si>
  <si>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</si>
  <si>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</si>
  <si>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</si>
  <si>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</si>
  <si>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</si>
  <si>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</si>
  <si>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</si>
  <si>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</si>
  <si>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</si>
  <si>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</si>
  <si>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</si>
  <si>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</si>
  <si>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</si>
  <si>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</si>
  <si>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</si>
  <si>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</si>
  <si>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</si>
  <si>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</si>
  <si>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</si>
  <si>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</si>
  <si>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</si>
  <si>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</si>
  <si>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</si>
  <si>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</si>
  <si>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</si>
  <si>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</si>
  <si>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</si>
  <si>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</si>
  <si>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</si>
  <si>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</si>
  <si>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</si>
  <si>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</si>
  <si>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</si>
  <si>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</si>
  <si>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</si>
  <si>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</si>
  <si>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</si>
  <si>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</si>
  <si>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</si>
  <si>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</si>
  <si>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</si>
  <si>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</si>
  <si>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</si>
  <si>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</si>
  <si>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</si>
  <si>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</si>
  <si>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</si>
  <si>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</si>
  <si>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</si>
  <si>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</si>
  <si>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</si>
  <si>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</si>
  <si>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</si>
  <si>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</si>
  <si>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</si>
  <si>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</si>
  <si>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</si>
  <si>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</si>
  <si>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</si>
  <si>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</si>
  <si>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</si>
  <si>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</si>
  <si>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</si>
  <si>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</si>
  <si>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</si>
  <si>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</si>
  <si>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</si>
  <si>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</si>
  <si>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</si>
  <si>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</si>
  <si>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</si>
  <si>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</si>
  <si>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</si>
  <si>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</si>
  <si>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</si>
  <si>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</si>
  <si>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</si>
  <si>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</si>
  <si>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</si>
  <si>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</si>
  <si>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</si>
  <si>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</si>
  <si>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</si>
  <si>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</si>
  <si>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</si>
  <si>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</si>
  <si>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</si>
  <si>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</si>
  <si>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</si>
  <si>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</si>
  <si>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</si>
  <si>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</si>
  <si>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</si>
  <si>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</si>
  <si>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</si>
  <si>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</si>
  <si>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</si>
  <si>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</si>
  <si>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</si>
  <si>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</si>
  <si>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</si>
  <si>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</si>
  <si>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</si>
  <si>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</si>
  <si>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</si>
  <si>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</si>
  <si>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</si>
  <si>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</si>
  <si>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</si>
  <si>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</si>
  <si>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</si>
  <si>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</si>
  <si>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</si>
  <si>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</si>
  <si>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</si>
  <si>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</si>
  <si>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</si>
  <si>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</si>
  <si>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</si>
  <si>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</si>
  <si>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</si>
  <si>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</si>
  <si>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</si>
  <si>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</si>
  <si>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</si>
  <si>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</si>
  <si>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</si>
  <si>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</si>
  <si>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</si>
  <si>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</si>
  <si>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</si>
  <si>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</si>
  <si>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</si>
  <si>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</si>
  <si>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</si>
  <si>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</si>
  <si>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</si>
  <si>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</si>
  <si>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</si>
  <si>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</si>
  <si>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</si>
  <si>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</si>
  <si>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</si>
  <si>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</si>
  <si>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</si>
  <si>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</si>
  <si>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</si>
  <si>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</si>
  <si>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</si>
  <si>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</si>
  <si>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</si>
  <si>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</si>
  <si>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</si>
  <si>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</si>
  <si>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</si>
  <si>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</si>
  <si>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</si>
  <si>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</si>
  <si>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</si>
  <si>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</si>
  <si>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</si>
  <si>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</si>
  <si>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</si>
  <si>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</si>
  <si>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</si>
  <si>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</si>
  <si>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</si>
  <si>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</si>
  <si>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</si>
  <si>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</si>
  <si>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</si>
  <si>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</si>
  <si>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</si>
  <si>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</si>
  <si>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</si>
  <si>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</si>
  <si>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</si>
  <si>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</si>
  <si>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</si>
  <si>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</si>
  <si>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</si>
  <si>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</si>
  <si>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</si>
  <si>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</si>
  <si>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</si>
  <si>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</si>
  <si>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</si>
  <si>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</si>
  <si>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</si>
  <si>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</si>
  <si>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</si>
  <si>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</si>
  <si>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</si>
  <si>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</si>
  <si>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</si>
  <si>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</si>
  <si>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</si>
  <si>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</si>
  <si>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</si>
  <si>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</si>
  <si>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</si>
  <si>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</si>
  <si>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</si>
  <si>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</si>
  <si>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</si>
  <si>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</si>
  <si>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</si>
  <si>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</si>
  <si>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</si>
  <si>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</si>
  <si>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</si>
  <si>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</si>
  <si>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</si>
  <si>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</si>
  <si>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</si>
  <si>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</si>
  <si>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</si>
  <si>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</si>
  <si>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</si>
  <si>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</si>
  <si>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</si>
  <si>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</si>
  <si>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</si>
  <si>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</si>
  <si>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</si>
  <si>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</si>
  <si>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</si>
  <si>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</si>
  <si>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</si>
  <si>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</si>
  <si>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</si>
  <si>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</si>
  <si>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</si>
  <si>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</si>
  <si>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</si>
  <si>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</si>
  <si>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</si>
  <si>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</si>
  <si>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</si>
  <si>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</si>
  <si>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</si>
  <si>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</si>
  <si>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</si>
  <si>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</si>
  <si>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</si>
  <si>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</si>
  <si>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</si>
  <si>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</si>
  <si>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</si>
  <si>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</si>
  <si>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</si>
  <si>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</si>
  <si>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</si>
  <si>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</si>
  <si>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</si>
  <si>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</si>
  <si>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</si>
  <si>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</si>
  <si>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</si>
  <si>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</si>
  <si>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</si>
  <si>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</si>
  <si>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</si>
  <si>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</si>
  <si>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</si>
  <si>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</si>
  <si>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</si>
  <si>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</si>
  <si>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</si>
  <si>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</si>
  <si>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</si>
  <si>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</si>
  <si>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</si>
  <si>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</si>
  <si>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</si>
  <si>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</si>
  <si>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</si>
  <si>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</si>
  <si>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</si>
  <si>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</si>
  <si>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</si>
  <si>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</si>
  <si>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</si>
  <si>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</si>
  <si>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</si>
  <si>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</si>
  <si>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</si>
  <si>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</si>
  <si>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</si>
  <si>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</si>
  <si>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</si>
  <si>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</si>
  <si>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</si>
  <si>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</si>
  <si>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</si>
  <si>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</si>
  <si>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</si>
  <si>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</si>
  <si>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</si>
  <si>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</si>
  <si>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</si>
  <si>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</si>
  <si>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</si>
  <si>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</si>
  <si>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</si>
  <si>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</si>
  <si>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</si>
  <si>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</si>
  <si>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</si>
  <si>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</si>
  <si>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</si>
  <si>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</si>
  <si>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</si>
  <si>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</si>
  <si>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</si>
  <si>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</si>
  <si>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</si>
  <si>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</si>
  <si>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</si>
  <si>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</si>
  <si>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</si>
  <si>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</si>
  <si>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</si>
  <si>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</si>
  <si>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</si>
  <si>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</si>
  <si>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</si>
  <si>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</si>
  <si>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</si>
  <si>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</si>
  <si>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</si>
  <si>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</si>
  <si>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</si>
  <si>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</si>
  <si>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</si>
  <si>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</si>
  <si>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</si>
  <si>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</si>
  <si>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</si>
  <si>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</si>
  <si>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</si>
  <si>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</si>
  <si>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</si>
  <si>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</si>
  <si>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</si>
  <si>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</si>
  <si>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</si>
  <si>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</si>
  <si>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</si>
  <si>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</si>
  <si>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</si>
  <si>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</si>
  <si>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</si>
  <si>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</si>
  <si>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</si>
  <si>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</si>
  <si>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</si>
  <si>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</si>
  <si>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</si>
  <si>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</si>
  <si>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</si>
  <si>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</si>
  <si>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</si>
  <si>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</si>
  <si>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</si>
  <si>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</si>
  <si>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</si>
  <si>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</si>
  <si>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</si>
  <si>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</si>
  <si>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</si>
  <si>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</si>
  <si>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</si>
  <si>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</si>
  <si>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</si>
  <si>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</si>
  <si>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</si>
  <si>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</si>
  <si>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</si>
  <si>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</si>
  <si>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</si>
  <si>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</si>
  <si>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</si>
  <si>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</si>
  <si>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</si>
  <si>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</si>
  <si>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</si>
  <si>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</si>
  <si>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</si>
  <si>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</si>
  <si>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</si>
  <si>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</si>
  <si>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</si>
  <si>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</si>
  <si>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</si>
  <si>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</si>
  <si>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</si>
  <si>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</si>
  <si>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</si>
  <si>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</si>
  <si>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</si>
  <si>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</si>
  <si>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</si>
  <si>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</si>
  <si>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</si>
  <si>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</si>
  <si>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</si>
  <si>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</si>
  <si>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</si>
  <si>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</si>
  <si>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</si>
  <si>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</si>
  <si>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</si>
  <si>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</si>
  <si>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</si>
  <si>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</si>
  <si>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</si>
  <si>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</si>
  <si>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</si>
  <si>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</si>
  <si>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</si>
  <si>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</si>
  <si>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</si>
  <si>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</si>
  <si>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</si>
  <si>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</si>
  <si>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</si>
  <si>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</si>
  <si>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</si>
  <si>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</si>
  <si>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</si>
  <si>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</si>
  <si>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</si>
  <si>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</si>
  <si>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</si>
  <si>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</si>
  <si>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</si>
  <si>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</si>
  <si>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</si>
  <si>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</si>
  <si>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</si>
  <si>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</si>
  <si>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</si>
  <si>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</si>
  <si>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</si>
  <si>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</si>
  <si>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</si>
  <si>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</si>
  <si>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</si>
  <si>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</si>
  <si>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</si>
  <si>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</si>
  <si>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</si>
  <si>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</si>
  <si>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</si>
  <si>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</si>
  <si>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</si>
  <si>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</si>
  <si>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</si>
  <si>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</si>
  <si>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</si>
  <si>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</si>
  <si>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</si>
  <si>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</si>
  <si>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</si>
  <si>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</si>
  <si>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</si>
  <si>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</si>
  <si>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</si>
  <si>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</si>
  <si>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</si>
  <si>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</si>
  <si>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</si>
  <si>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</si>
  <si>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</si>
  <si>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</si>
  <si>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</si>
  <si>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</si>
  <si>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</si>
  <si>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</si>
  <si>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</si>
  <si>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</si>
  <si>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</si>
  <si>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</si>
  <si>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</si>
  <si>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</si>
  <si>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</si>
  <si>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</si>
  <si>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</si>
  <si>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</si>
  <si>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</si>
  <si>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</si>
  <si>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</si>
  <si>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</si>
  <si>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</si>
  <si>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</si>
  <si>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</si>
  <si>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</si>
  <si>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</si>
  <si>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</si>
  <si>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</si>
  <si>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</si>
  <si>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</si>
  <si>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</si>
  <si>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</si>
  <si>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</si>
  <si>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</si>
  <si>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</si>
  <si>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</si>
  <si>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</si>
  <si>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</si>
  <si>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</si>
  <si>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</si>
  <si>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</si>
  <si>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</si>
  <si>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</si>
  <si>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</si>
  <si>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</si>
  <si>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</si>
  <si>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</si>
  <si>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</si>
  <si>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</si>
  <si>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</si>
  <si>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</si>
  <si>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</si>
  <si>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</si>
  <si>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</si>
  <si>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</si>
  <si>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</si>
  <si>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</si>
  <si>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</si>
  <si>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</si>
  <si>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</si>
  <si>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</si>
  <si>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</si>
  <si>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</si>
  <si>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</si>
  <si>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</si>
  <si>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</si>
  <si>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</si>
  <si>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</si>
  <si>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</si>
  <si>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</si>
  <si>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</si>
  <si>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</si>
  <si>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</si>
  <si>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</si>
  <si>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</si>
  <si>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</si>
  <si>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</si>
  <si>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</si>
  <si>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</si>
  <si>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</si>
  <si>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</si>
  <si>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</si>
  <si>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</si>
  <si>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</si>
  <si>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</si>
  <si>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</si>
  <si>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</si>
  <si>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</si>
  <si>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</si>
  <si>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</si>
  <si>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</si>
  <si>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</si>
  <si>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</si>
  <si>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</si>
  <si>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</si>
  <si>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</si>
  <si>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</si>
  <si>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</si>
  <si>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</si>
  <si>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</si>
  <si>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</si>
  <si>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</si>
  <si>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</si>
  <si>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</si>
  <si>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</si>
  <si>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</si>
  <si>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</si>
  <si>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</si>
  <si>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</si>
  <si>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</si>
  <si>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</si>
  <si>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</si>
  <si>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</si>
  <si>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</si>
  <si>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</si>
  <si>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</si>
  <si>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</si>
  <si>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</si>
  <si>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</si>
  <si>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</si>
  <si>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</si>
  <si>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</si>
  <si>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</si>
  <si>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</si>
  <si>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</si>
  <si>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</si>
  <si>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</si>
  <si>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</si>
  <si>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</si>
  <si>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</si>
  <si>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</si>
  <si>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</si>
  <si>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</si>
  <si>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</si>
  <si>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</si>
  <si>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</si>
  <si>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</si>
  <si>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</si>
  <si>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</si>
  <si>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</si>
  <si>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</si>
  <si>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</si>
  <si>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</si>
  <si>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</si>
  <si>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</si>
  <si>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</si>
  <si>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</si>
  <si>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</si>
  <si>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</si>
  <si>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</si>
  <si>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</si>
  <si>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</si>
  <si>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</si>
  <si>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</si>
  <si>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</si>
  <si>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</si>
  <si>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</si>
  <si>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</si>
  <si>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</si>
  <si>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</si>
  <si>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</si>
  <si>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</si>
  <si>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</si>
  <si>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</si>
  <si>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</si>
  <si>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</si>
  <si>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</si>
  <si>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</si>
  <si>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</si>
  <si>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</si>
  <si>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</si>
  <si>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</si>
  <si>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</si>
  <si>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</si>
  <si>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</si>
  <si>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</si>
  <si>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</si>
  <si>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</si>
  <si>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</si>
  <si>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</si>
  <si>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</si>
  <si>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</si>
  <si>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</si>
  <si>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</si>
  <si>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</si>
  <si>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</si>
  <si>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</si>
  <si>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</si>
  <si>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</si>
  <si>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</si>
  <si>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</si>
  <si>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</si>
  <si>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</si>
  <si>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</si>
  <si>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</si>
  <si>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</si>
  <si>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</si>
  <si>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</si>
  <si>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</si>
  <si>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</si>
  <si>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</si>
  <si>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</si>
  <si>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</si>
  <si>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</si>
  <si>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</si>
  <si>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</si>
  <si>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</si>
  <si>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</si>
  <si>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</si>
  <si>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</si>
  <si>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</si>
  <si>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</si>
  <si>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</si>
  <si>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</si>
  <si>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</si>
  <si>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</si>
  <si>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</si>
  <si>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</si>
  <si>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</si>
  <si>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</si>
  <si>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</si>
  <si>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</si>
  <si>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</si>
  <si>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</si>
  <si>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</si>
  <si>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</si>
  <si>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</si>
  <si>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</si>
  <si>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</si>
  <si>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</si>
  <si>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</si>
  <si>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</si>
  <si>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</si>
  <si>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</si>
  <si>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</si>
  <si>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</si>
  <si>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</si>
  <si>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</si>
  <si>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</si>
  <si>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</si>
  <si>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</si>
  <si>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</si>
  <si>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</si>
  <si>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</si>
  <si>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</si>
  <si>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</si>
  <si>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</si>
  <si>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</si>
  <si>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</si>
  <si>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</si>
  <si>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</si>
  <si>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</si>
  <si>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</si>
  <si>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</si>
  <si>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</si>
  <si>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</si>
  <si>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</si>
  <si>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</si>
  <si>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</si>
  <si>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</si>
  <si>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</si>
  <si>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</si>
  <si>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</si>
  <si>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</si>
  <si>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</si>
  <si>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</si>
  <si>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</si>
  <si>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</si>
  <si>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</si>
  <si>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</si>
  <si>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</si>
  <si>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</si>
  <si>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</si>
  <si>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</si>
  <si>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</si>
  <si>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</si>
  <si>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</si>
  <si>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</si>
  <si>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</si>
  <si>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</si>
  <si>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</si>
  <si>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</si>
  <si>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</si>
  <si>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</si>
  <si>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</si>
  <si>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</si>
  <si>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</si>
  <si>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</si>
  <si>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</si>
  <si>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</si>
  <si>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</si>
  <si>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</si>
  <si>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</si>
  <si>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</si>
  <si>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</si>
  <si>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</si>
  <si>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</si>
  <si>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</si>
  <si>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</si>
  <si>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</si>
  <si>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</si>
  <si>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</si>
  <si>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</si>
  <si>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</si>
  <si>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</si>
  <si>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</si>
  <si>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</si>
  <si>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</si>
  <si>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</si>
  <si>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</si>
  <si>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</si>
  <si>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</si>
  <si>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</si>
  <si>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</si>
  <si>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</si>
  <si>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</si>
  <si>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</si>
  <si>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</si>
  <si>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</si>
  <si>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</si>
  <si>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</si>
  <si>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</si>
  <si>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</si>
  <si>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</si>
  <si>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</si>
  <si>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</si>
  <si>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</si>
  <si>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</si>
  <si>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</si>
  <si>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</si>
  <si>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</si>
  <si>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</si>
  <si>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</si>
  <si>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</si>
  <si>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</si>
  <si>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</si>
  <si>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</si>
  <si>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</si>
  <si>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</si>
  <si>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</si>
  <si>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</si>
  <si>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</si>
  <si>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</si>
  <si>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</si>
  <si>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</si>
  <si>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</si>
  <si>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</si>
  <si>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</si>
  <si>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</si>
  <si>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</si>
  <si>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</si>
  <si>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</si>
  <si>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</si>
  <si>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</si>
  <si>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</si>
  <si>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</si>
  <si>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</si>
  <si>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</si>
  <si>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</si>
  <si>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</si>
  <si>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</si>
  <si>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</si>
  <si>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</si>
  <si>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</si>
  <si>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</si>
  <si>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</si>
  <si>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</si>
  <si>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</si>
  <si>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</si>
  <si>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</si>
  <si>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</si>
  <si>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</si>
  <si>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</si>
  <si>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</si>
  <si>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</si>
  <si>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</si>
  <si>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</si>
  <si>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</si>
  <si>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</si>
  <si>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</si>
  <si>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</si>
  <si>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</si>
  <si>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</si>
  <si>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</si>
  <si>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</si>
  <si>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</si>
  <si>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</si>
  <si>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</si>
  <si>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</si>
  <si>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</si>
  <si>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</si>
  <si>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</si>
  <si>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</si>
  <si>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</si>
  <si>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</si>
  <si>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</si>
  <si>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</si>
  <si>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</si>
  <si>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</si>
  <si>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</si>
  <si>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</si>
  <si>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</si>
  <si>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</si>
  <si>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</si>
  <si>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</si>
  <si>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</si>
  <si>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</si>
  <si>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</si>
  <si>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</si>
  <si>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</si>
  <si>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</si>
  <si>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</si>
  <si>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</si>
  <si>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</si>
  <si>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</si>
  <si>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</si>
  <si>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</si>
  <si>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</si>
  <si>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</si>
  <si>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</si>
  <si>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</si>
  <si>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</si>
  <si>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</si>
  <si>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</si>
  <si>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</si>
  <si>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</si>
  <si>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</si>
  <si>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</si>
  <si>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</si>
  <si>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</si>
  <si>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</si>
  <si>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</si>
  <si>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</si>
  <si>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</si>
  <si>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</si>
  <si>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</si>
  <si>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</si>
  <si>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</si>
  <si>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</si>
  <si>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</si>
  <si>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</si>
  <si>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</si>
  <si>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</si>
  <si>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</si>
  <si>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</si>
  <si>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</si>
  <si>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</si>
  <si>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</si>
  <si>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</si>
  <si>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</si>
  <si>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</si>
  <si>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</si>
  <si>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</si>
  <si>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</si>
  <si>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</si>
  <si>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</si>
  <si>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</si>
  <si>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</si>
  <si>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</si>
  <si>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</si>
  <si>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</si>
  <si>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</si>
  <si>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</si>
  <si>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</si>
  <si>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</si>
  <si>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</si>
  <si>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</si>
  <si>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</si>
  <si>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</si>
  <si>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</si>
  <si>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</si>
  <si>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</si>
  <si>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</si>
  <si>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</si>
  <si>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</si>
  <si>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</si>
  <si>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</si>
  <si>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</si>
  <si>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</si>
  <si>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</si>
  <si>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</si>
  <si>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</si>
  <si>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</si>
  <si>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</si>
  <si>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</si>
  <si>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</si>
  <si>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</si>
  <si>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</si>
  <si>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</si>
  <si>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</si>
  <si>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</si>
  <si>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</si>
  <si>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</si>
  <si>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</si>
  <si>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</si>
  <si>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</si>
  <si>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</si>
  <si>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</si>
  <si>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</si>
  <si>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</si>
  <si>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</si>
  <si>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</si>
  <si>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</si>
  <si>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</si>
  <si>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</si>
  <si>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</si>
  <si>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</si>
  <si>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</si>
  <si>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</si>
  <si>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</si>
  <si>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</si>
  <si>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</si>
  <si>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</si>
  <si>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</si>
  <si>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</si>
  <si>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</si>
  <si>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</si>
  <si>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</si>
  <si>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</si>
  <si>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</si>
  <si>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</si>
  <si>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</si>
  <si>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</si>
  <si>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</si>
  <si>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</si>
  <si>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</si>
  <si>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</si>
  <si>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</si>
  <si>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</si>
  <si>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</si>
  <si>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</si>
  <si>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</si>
  <si>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</si>
  <si>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</si>
  <si>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</si>
  <si>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</si>
  <si>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</si>
  <si>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</si>
  <si>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</si>
  <si>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</si>
  <si>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</si>
  <si>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</si>
  <si>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</si>
  <si>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</si>
  <si>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</si>
  <si>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</si>
  <si>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</si>
  <si>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</si>
  <si>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</si>
  <si>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</si>
  <si>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</si>
  <si>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</si>
  <si>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</si>
  <si>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</si>
  <si>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</si>
  <si>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</si>
  <si>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</si>
  <si>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</si>
  <si>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</si>
  <si>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</si>
  <si>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</si>
  <si>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</si>
  <si>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</si>
  <si>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</si>
  <si>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</si>
  <si>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</si>
  <si>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</si>
  <si>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</si>
  <si>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</si>
  <si>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</si>
  <si>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</si>
  <si>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</si>
  <si>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</si>
  <si>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</si>
  <si>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</si>
  <si>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</si>
  <si>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</si>
  <si>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</si>
  <si>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</si>
  <si>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</si>
  <si>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</si>
  <si>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</si>
  <si>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</si>
  <si>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</si>
  <si>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</si>
  <si>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</si>
  <si>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</si>
  <si>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</si>
  <si>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</si>
  <si>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</si>
  <si>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</si>
  <si>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</si>
  <si>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</si>
  <si>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</si>
  <si>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</si>
  <si>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</si>
  <si>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</si>
  <si>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</si>
  <si>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</si>
  <si>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</si>
  <si>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</si>
  <si>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</si>
  <si>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</si>
  <si>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</si>
  <si>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</si>
  <si>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</si>
  <si>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</si>
  <si>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</si>
  <si>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</si>
  <si>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</si>
  <si>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</si>
  <si>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</si>
  <si>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</si>
  <si>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</si>
  <si>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</si>
  <si>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</si>
  <si>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</si>
  <si>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</si>
  <si>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</si>
  <si>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</si>
  <si>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</si>
  <si>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</si>
  <si>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</si>
  <si>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</si>
  <si>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</si>
  <si>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</si>
  <si>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</si>
  <si>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</si>
  <si>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</si>
  <si>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</si>
  <si>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</si>
  <si>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</si>
  <si>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</si>
  <si>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</si>
  <si>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</si>
  <si>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</si>
  <si>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</si>
  <si>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</si>
  <si>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</si>
  <si>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</si>
  <si>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</si>
  <si>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</si>
  <si>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</si>
  <si>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</si>
  <si>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</si>
  <si>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</si>
  <si>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</si>
  <si>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</si>
  <si>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</si>
  <si>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</si>
  <si>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</si>
  <si>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</si>
  <si>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</si>
  <si>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</si>
  <si>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</si>
  <si>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</si>
  <si>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</si>
  <si>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</si>
  <si>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</si>
  <si>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</si>
  <si>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</si>
  <si>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</si>
  <si>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</si>
  <si>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</si>
  <si>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</si>
  <si>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</si>
  <si>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</si>
  <si>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</si>
  <si>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</si>
  <si>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</si>
  <si>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</si>
  <si>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</si>
  <si>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</si>
  <si>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</si>
  <si>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</si>
  <si>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</si>
  <si>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</si>
  <si>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</si>
  <si>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</si>
  <si>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</si>
  <si>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</si>
  <si>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</si>
  <si>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</si>
  <si>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</si>
  <si>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</si>
  <si>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</si>
  <si>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</si>
  <si>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</si>
  <si>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</si>
  <si>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</si>
  <si>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</si>
  <si>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</si>
  <si>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</si>
  <si>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</si>
  <si>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</si>
  <si>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</si>
  <si>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</si>
  <si>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</si>
  <si>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</si>
  <si>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</si>
  <si>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</si>
  <si>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</si>
  <si>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</si>
  <si>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</si>
  <si>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</si>
  <si>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</si>
  <si>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</si>
  <si>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</si>
  <si>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</si>
  <si>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</si>
  <si>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</si>
  <si>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</si>
  <si>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</si>
  <si>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</si>
  <si>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</si>
  <si>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</si>
  <si>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</si>
  <si>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</si>
  <si>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</si>
  <si>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</si>
  <si>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</si>
  <si>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</si>
  <si>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</si>
  <si>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</si>
  <si>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</si>
  <si>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</si>
  <si>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</si>
  <si>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</si>
  <si>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</si>
  <si>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</si>
  <si>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</si>
  <si>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</si>
  <si>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</si>
  <si>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</si>
  <si>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</si>
  <si>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</si>
  <si>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</si>
  <si>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</si>
  <si>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</si>
  <si>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</si>
  <si>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</si>
  <si>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</si>
  <si>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</si>
  <si>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</si>
  <si>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</si>
  <si>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</si>
  <si>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</si>
  <si>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</si>
  <si>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</si>
  <si>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</si>
  <si>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</si>
  <si>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</si>
  <si>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</si>
  <si>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</si>
  <si>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</si>
  <si>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</si>
  <si>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</si>
  <si>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</si>
  <si>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</si>
  <si>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</si>
  <si>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</si>
  <si>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</si>
  <si>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</si>
  <si>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</si>
  <si>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</si>
  <si>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</si>
  <si>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</si>
  <si>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</si>
  <si>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</si>
  <si>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</si>
  <si>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</si>
  <si>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</si>
  <si>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</si>
  <si>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</si>
  <si>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</si>
  <si>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</si>
  <si>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</si>
  <si>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</si>
  <si>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</si>
  <si>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</si>
  <si>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</si>
  <si>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</si>
  <si>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</si>
  <si>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</si>
  <si>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</si>
  <si>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</si>
  <si>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</si>
  <si>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</si>
  <si>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</si>
  <si>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</si>
  <si>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</si>
  <si>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</si>
  <si>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</si>
  <si>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</si>
  <si>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</si>
  <si>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</si>
  <si>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</si>
  <si>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</si>
  <si>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</si>
  <si>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</si>
  <si>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</si>
  <si>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</si>
  <si>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</si>
  <si>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</si>
  <si>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</si>
  <si>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</si>
  <si>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</si>
  <si>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</si>
  <si>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</si>
  <si>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</si>
  <si>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</si>
  <si>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</si>
  <si>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</si>
  <si>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</si>
  <si>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</si>
  <si>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</si>
  <si>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</si>
  <si>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</si>
  <si>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</si>
  <si>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</si>
  <si>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</si>
  <si>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</si>
  <si>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</si>
  <si>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</si>
  <si>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</si>
  <si>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</si>
  <si>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</si>
  <si>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</si>
  <si>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</si>
  <si>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</si>
  <si>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</si>
  <si>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</si>
  <si>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</si>
  <si>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</si>
  <si>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</si>
  <si>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</si>
  <si>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</si>
  <si>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</si>
  <si>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</si>
  <si>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</si>
  <si>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</si>
  <si>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</si>
  <si>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</si>
  <si>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</si>
  <si>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</si>
  <si>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</si>
  <si>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</si>
  <si>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</si>
  <si>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</si>
  <si>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</si>
  <si>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</si>
  <si>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</si>
  <si>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</si>
  <si>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</si>
  <si>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</si>
  <si>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</si>
  <si>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</si>
  <si>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</si>
  <si>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</si>
  <si>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</si>
  <si>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</si>
  <si>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</si>
  <si>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</si>
  <si>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</si>
  <si>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</si>
  <si>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</si>
  <si>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</si>
  <si>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</si>
  <si>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</si>
  <si>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</si>
  <si>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</si>
  <si>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</si>
  <si>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</si>
  <si>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</si>
  <si>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</si>
  <si>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</si>
  <si>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</si>
  <si>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</si>
  <si>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</si>
  <si>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</si>
  <si>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</si>
  <si>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</si>
  <si>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</si>
  <si>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</si>
  <si>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</si>
  <si>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</si>
  <si>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</si>
  <si>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</si>
  <si>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</si>
  <si>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</si>
  <si>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</si>
  <si>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</si>
  <si>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</si>
  <si>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</si>
  <si>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</si>
  <si>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</si>
  <si>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</si>
  <si>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</si>
  <si>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</si>
  <si>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</si>
  <si>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</si>
  <si>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</si>
  <si>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</si>
  <si>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</si>
  <si>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</si>
  <si>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</si>
  <si>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</si>
  <si>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</si>
  <si>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</si>
  <si>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</si>
  <si>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</si>
  <si>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</si>
  <si>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</si>
  <si>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</si>
  <si>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</si>
  <si>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</si>
  <si>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</si>
  <si>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</si>
  <si>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</si>
  <si>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</si>
  <si>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</si>
  <si>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</si>
  <si>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</si>
  <si>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</si>
  <si>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</si>
  <si>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</si>
  <si>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</si>
  <si>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</si>
  <si>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</si>
  <si>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</si>
  <si>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</si>
  <si>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</si>
  <si>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</si>
  <si>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</si>
  <si>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</si>
  <si>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</si>
  <si>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</si>
  <si>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</si>
  <si>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</si>
  <si>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</si>
  <si>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</si>
  <si>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</si>
  <si>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</si>
  <si>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</si>
  <si>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</si>
  <si>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</si>
  <si>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</si>
  <si>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</si>
  <si>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</si>
  <si>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</si>
  <si>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</si>
  <si>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</si>
  <si>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</si>
  <si>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</si>
  <si>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</si>
  <si>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</si>
  <si>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</si>
  <si>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</si>
  <si>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</si>
  <si>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</si>
  <si>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</si>
  <si>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</si>
  <si>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</si>
  <si>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</si>
  <si>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</si>
  <si>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</si>
  <si>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</si>
  <si>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</si>
  <si>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</si>
  <si>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</si>
  <si>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</si>
  <si>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</si>
  <si>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</si>
  <si>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</si>
  <si>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</si>
  <si>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</si>
  <si>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</si>
  <si>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</si>
  <si>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</si>
  <si>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</si>
  <si>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</si>
  <si>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</si>
  <si>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</si>
  <si>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</si>
  <si>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</si>
  <si>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</si>
  <si>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</si>
  <si>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</si>
  <si>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</si>
  <si>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</si>
  <si>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</si>
  <si>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</si>
  <si>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</si>
  <si>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</si>
  <si>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</si>
  <si>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</si>
  <si>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</si>
  <si>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</si>
  <si>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</si>
  <si>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</si>
  <si>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</si>
  <si>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</si>
  <si>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</si>
  <si>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</si>
  <si>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</si>
  <si>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</si>
  <si>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</si>
  <si>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</si>
  <si>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</si>
  <si>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</si>
  <si>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</si>
  <si>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</si>
  <si>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</si>
  <si>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</si>
  <si>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</si>
  <si>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</si>
  <si>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</si>
  <si>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</si>
  <si>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</si>
  <si>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</si>
  <si>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</si>
  <si>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</si>
  <si>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</si>
  <si>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</si>
  <si>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</si>
  <si>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</si>
  <si>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</si>
  <si>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</si>
  <si>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</si>
  <si>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</si>
  <si>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</si>
  <si>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</si>
  <si>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</si>
  <si>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</si>
  <si>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</si>
  <si>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</si>
  <si>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</si>
  <si>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</si>
  <si>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</si>
  <si>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</si>
  <si>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</si>
  <si>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</si>
  <si>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</si>
  <si>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</si>
  <si>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</si>
  <si>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</si>
  <si>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</si>
  <si>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</si>
  <si>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</si>
  <si>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</si>
  <si>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</si>
  <si>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</si>
  <si>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</si>
  <si>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</si>
  <si>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Whiteside</t>
  </si>
  <si>
    <t>9415 Hoover Road</t>
  </si>
  <si>
    <t>Rock Falls</t>
  </si>
  <si>
    <t>amoore@mgs145.net</t>
  </si>
  <si>
    <t>Alex Moore</t>
  </si>
  <si>
    <t>815-625-6616</t>
  </si>
  <si>
    <t>815-625-8432</t>
  </si>
  <si>
    <t>Jason A. Hohulin, CPA</t>
  </si>
  <si>
    <t>jhohulin@gorenzcpa.com</t>
  </si>
  <si>
    <t>2013 Funding Bonds</t>
  </si>
  <si>
    <t>2016 Working Cash Bonds</t>
  </si>
  <si>
    <t>Rock Falls Elementary District No. 13</t>
  </si>
  <si>
    <t>Dave's Mowing</t>
  </si>
  <si>
    <t>Rock Falls Elementary</t>
  </si>
  <si>
    <t>Bi-County Special Ed Co-op</t>
  </si>
  <si>
    <t>First Student</t>
  </si>
  <si>
    <t>Rock Falls Elementary Athletics</t>
  </si>
  <si>
    <t>2017-001</t>
  </si>
  <si>
    <t>Lack of segregation of duties.</t>
  </si>
  <si>
    <t>Unresolved - See Finding 2018-001</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</si>
  <si>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</si>
  <si>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</si>
  <si>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</si>
  <si>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t>One individual has the ability to complete and record accounting functions which ideally would be segregated.</t>
  </si>
  <si>
    <t>The Board of Education has determined that one individual is sufficient to preform the required duties.</t>
  </si>
  <si>
    <t>The Board should take steps it considers necessary to limit the risks that a lack of segregation of duties presents; such as but not limited to hiring additional staff.</t>
  </si>
  <si>
    <t>The District will take the auditor's recommendation under consideration.</t>
  </si>
  <si>
    <t xml:space="preserve">In accordance with the Illinois Truth in Taxation Act (35 ILCS 200/Article 18, Division 2), any district proposing to increase its aggregate levy more than 105% of its prior year's extension, exclusive of election costs, must publish a notice, as prescribed by law, in a newspaper of general local circulation.        </t>
  </si>
  <si>
    <t xml:space="preserve">The District's 2013 levy request exceeded 105% of the prior year extension, exclusive of the debt service fund extension and election costs.     </t>
  </si>
  <si>
    <t>"Prior year adjusted extension - $1,187,102 * 1.05                       1,246,457
2017 Levy Request                                                                                      1,246,719                                                                                                                  Excess over 105%                                                                                                    262</t>
  </si>
  <si>
    <t xml:space="preserve">The District did not comply with the provisions of the Illinois Truth in Taxation Act. The non-compliance did not affect the amount of the District's actual 2013 extension.        </t>
  </si>
  <si>
    <t xml:space="preserve">The District did not publish a required notice in a newspaper of general local circulation or hold the required public hearing.      </t>
  </si>
  <si>
    <t xml:space="preserve">The District should closely monitor levy requests and comply with the Illinois Truth in Taxation Act.        </t>
  </si>
  <si>
    <t xml:space="preserve">The District will monitor levy requests and related requirements set forth by the Truth in Taxation Act.  </t>
  </si>
  <si>
    <t>The opinion is adverse due to the use of the Regulatory Basis of Accounting.</t>
  </si>
  <si>
    <t>Part C - Line 20 - See Finding 2018-001</t>
  </si>
  <si>
    <t>2018 Working Cash Bonds</t>
  </si>
  <si>
    <t>ED-Food Services-Purchased Service</t>
  </si>
  <si>
    <t>10-2560-300</t>
  </si>
  <si>
    <t>Page 10 Line 81 - Other District/School Activity Revenue - Cap and Gown Deposit</t>
  </si>
  <si>
    <t>Page 10 Line 107 - Other Local Revenues - Refunds</t>
  </si>
  <si>
    <t>Page 15 Line 41 - Other Support Services - Pupils - Diplomas, Yearbooks, and Awards</t>
  </si>
  <si>
    <t>Page 16 Line 83 - Other Payments to In-State Gov't. Units - Title II Coop Paid to Lee/Ogle/Whiteside ROE #47</t>
  </si>
  <si>
    <t>Page 24 Line 31 - Any Differences - Costs of Issuance Including Underwriter's Discount</t>
  </si>
  <si>
    <t xml:space="preserve">Page 12 Line 183 - Other Restricted Grants-In-Aid Received Directly from the Federal Gov't - REAP Grant   </t>
  </si>
  <si>
    <t>066-005027</t>
  </si>
  <si>
    <t>see embedded PDF version</t>
  </si>
  <si>
    <t>Montmorency CCSD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</si>
</sst>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2085</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2076</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47098145004</v>
      </c>
      <c r="B13" s="2038"/>
      <c r="C13" s="2038"/>
      <c r="D13" s="2038"/>
      <c r="E13" s="2038"/>
      <c r="F13" s="2038"/>
      <c r="G13" s="2038"/>
      <c r="H13" s="2039"/>
      <c r="I13" s="31"/>
      <c r="J13" s="30"/>
      <c r="K13" s="28"/>
      <c r="L13" s="30"/>
      <c r="M13" s="30"/>
      <c r="N13" s="30"/>
      <c r="O13" s="30"/>
      <c r="P13" s="30"/>
      <c r="Q13" s="30"/>
      <c r="R13" s="30"/>
      <c r="S13" s="30"/>
      <c r="T13" s="2042" t="s">
        <v>2077</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2086</v>
      </c>
      <c r="B15" s="2040"/>
      <c r="C15" s="2040"/>
      <c r="D15" s="2040"/>
      <c r="E15" s="2040"/>
      <c r="F15" s="2040"/>
      <c r="G15" s="2040"/>
      <c r="H15" s="2041"/>
      <c r="T15" s="2046" t="s">
        <v>2093</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2133</v>
      </c>
      <c r="B17" s="1997"/>
      <c r="C17" s="1997"/>
      <c r="D17" s="1997"/>
      <c r="E17" s="1997"/>
      <c r="F17" s="1997"/>
      <c r="G17" s="1997"/>
      <c r="H17" s="2022"/>
      <c r="T17" s="2053" t="s">
        <v>2078</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2087</v>
      </c>
      <c r="B19" s="1982"/>
      <c r="C19" s="1982"/>
      <c r="D19" s="1982"/>
      <c r="E19" s="1982"/>
      <c r="F19" s="1982"/>
      <c r="G19" s="1982"/>
      <c r="H19" s="1962"/>
      <c r="I19" s="30"/>
      <c r="J19" s="99"/>
      <c r="K19" s="40"/>
      <c r="L19" s="38"/>
      <c r="M19" s="112" t="s">
        <v>333</v>
      </c>
      <c r="P19" s="27"/>
      <c r="Q19" s="27"/>
      <c r="R19" s="27"/>
      <c r="S19" s="31"/>
      <c r="T19" s="2036" t="s">
        <v>2079</v>
      </c>
      <c r="U19" s="1961"/>
      <c r="V19" s="1961"/>
      <c r="W19" s="1962"/>
      <c r="X19" s="2051" t="s">
        <v>2080</v>
      </c>
      <c r="Y19" s="2052"/>
      <c r="Z19" s="2049">
        <v>61614</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2088</v>
      </c>
      <c r="B21" s="1961"/>
      <c r="C21" s="1961"/>
      <c r="D21" s="1961"/>
      <c r="E21" s="1961"/>
      <c r="F21" s="1961"/>
      <c r="G21" s="1961"/>
      <c r="H21" s="1962"/>
      <c r="I21" s="2016" t="s">
        <v>699</v>
      </c>
      <c r="J21" s="2011"/>
      <c r="K21" s="2011"/>
      <c r="L21" s="2011"/>
      <c r="M21" s="2011"/>
      <c r="N21" s="2011"/>
      <c r="O21" s="2011"/>
      <c r="P21" s="2011"/>
      <c r="Q21" s="2011"/>
      <c r="R21" s="2011"/>
      <c r="S21" s="2017"/>
      <c r="T21" s="2060" t="s">
        <v>2081</v>
      </c>
      <c r="U21" s="2061"/>
      <c r="V21" s="2061"/>
      <c r="W21" s="2061"/>
      <c r="X21" s="2066" t="s">
        <v>2082</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2089</v>
      </c>
      <c r="B23" s="2014"/>
      <c r="C23" s="2014"/>
      <c r="D23" s="2014"/>
      <c r="E23" s="2014"/>
      <c r="F23" s="2014"/>
      <c r="G23" s="2014"/>
      <c r="H23" s="2015"/>
      <c r="T23" s="1996" t="s">
        <v>2131</v>
      </c>
      <c r="U23" s="2059"/>
      <c r="V23" s="2059"/>
      <c r="W23" s="2059"/>
      <c r="X23" s="2063">
        <v>44530</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61071</v>
      </c>
      <c r="B25" s="1961"/>
      <c r="C25" s="1961"/>
      <c r="D25" s="1961"/>
      <c r="E25" s="1961"/>
      <c r="F25" s="1961"/>
      <c r="G25" s="1961"/>
      <c r="H25" s="1962"/>
      <c r="I25" s="113"/>
      <c r="J25" s="1985"/>
      <c r="K25" s="1985"/>
      <c r="L25" s="1985"/>
      <c r="M25" s="1985"/>
      <c r="N25" s="1985"/>
      <c r="O25" s="1985"/>
      <c r="P25" s="1985"/>
      <c r="Q25" s="1985"/>
      <c r="R25" s="1985"/>
      <c r="S25" s="1986"/>
      <c r="T25" s="2056" t="s">
        <v>2094</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2085</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2090</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2089</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2091</v>
      </c>
      <c r="B42" s="1980"/>
      <c r="C42" s="1981"/>
      <c r="D42" s="1979" t="s">
        <v>2092</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2085</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2120</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2121</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t="s">
        <v>2132</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45395815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1.8200000000000001E-2</v>
      </c>
      <c r="E10" s="356" t="s">
        <v>1062</v>
      </c>
      <c r="F10" s="355">
        <v>2.5000000000000001E-3</v>
      </c>
      <c r="G10" s="356" t="s">
        <v>1062</v>
      </c>
      <c r="H10" s="355">
        <v>1.1999999999999999E-3</v>
      </c>
      <c r="I10" s="356" t="s">
        <v>1063</v>
      </c>
      <c r="J10" s="1752">
        <f>ROUND(D10+F10+H10,5)</f>
        <v>2.1899999999999999E-2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2383294</v>
      </c>
      <c r="E16" s="356"/>
      <c r="F16" s="1753">
        <f>SUM('Acct Summary 7-8'!C17,'Acct Summary 7-8'!D17,'Acct Summary 7-8'!F17)</f>
        <v>2228728</v>
      </c>
      <c r="G16" s="356"/>
      <c r="H16" s="1753">
        <f>SUM(D16-F16)</f>
        <v>154566</v>
      </c>
      <c r="I16" s="222"/>
      <c r="J16" s="1753">
        <f>SUM('Acct Summary 7-8'!C81,'Acct Summary 7-8'!D81,'Acct Summary 7-8'!F81,'Acct Summary 7-8'!I81)</f>
        <v>1868985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2085</v>
      </c>
      <c r="C31" s="367" t="s">
        <v>607</v>
      </c>
      <c r="D31" s="237" t="s">
        <v>1132</v>
      </c>
      <c r="E31" s="222"/>
      <c r="F31" s="222"/>
      <c r="G31" s="363"/>
      <c r="H31" s="1755">
        <f>IF(B31="X",(J7*0.069),IF(B32="X",(J7*0.138),"Enter x in a.or b."))</f>
        <v>3132311.2350000003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1445000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Montmorency CCSD 145</v>
      </c>
      <c r="E7" s="391"/>
      <c r="G7" s="252"/>
      <c r="H7" s="387"/>
      <c r="I7" s="387"/>
      <c r="J7" s="387"/>
      <c r="K7" s="387"/>
      <c r="L7" s="329"/>
      <c r="M7" s="329"/>
      <c r="N7" s="329"/>
      <c r="O7" s="329"/>
      <c r="P7" s="329"/>
    </row>
    <row r="8" spans="1:18" ht="12.75" x14ac:dyDescent="0.2">
      <c r="A8" s="329"/>
      <c r="B8" s="329"/>
      <c r="C8" s="389" t="s">
        <v>1187</v>
      </c>
      <c r="D8" s="392">
        <f>COVER!A13</f>
        <v>47098145004</v>
      </c>
      <c r="E8" s="393"/>
      <c r="G8" s="329"/>
      <c r="H8" s="329"/>
      <c r="I8" s="329"/>
      <c r="J8" s="329"/>
      <c r="K8" s="329"/>
      <c r="L8" s="329"/>
      <c r="M8" s="329"/>
      <c r="N8" s="329"/>
      <c r="O8" s="329"/>
      <c r="P8" s="329"/>
    </row>
    <row r="9" spans="1:18" ht="12.75" x14ac:dyDescent="0.2">
      <c r="A9" s="329"/>
      <c r="B9" s="329"/>
      <c r="C9" s="389" t="s">
        <v>737</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1868985</v>
      </c>
      <c r="I12" s="404"/>
      <c r="J12" s="404"/>
      <c r="K12" s="405">
        <f>TRUNC((H12/H13*100000),5)/100000</f>
        <v>0.78420245250000009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2383294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2228728</v>
      </c>
      <c r="I17" s="404"/>
      <c r="J17" s="416"/>
      <c r="K17" s="405">
        <f>TRUNC((H17/H18*100000),5)/100000</f>
        <v>0.93514606249999999</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2383294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1868985</v>
      </c>
      <c r="I24" s="422"/>
      <c r="J24" s="422"/>
      <c r="K24" s="423">
        <f>TRUNC(((H24/H25*100000)/100000),2)</f>
        <v>301.89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6190.91111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845043.09623000002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1445000</v>
      </c>
      <c r="I32" s="420"/>
      <c r="J32" s="420"/>
      <c r="K32" s="423">
        <f>TRUNC(100-((((H32/H33*100))*100)/100),2)</f>
        <v>53.86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3132311.2350000003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9"/>
      <c r="D3" s="1580"/>
      <c r="E3" s="1580"/>
      <c r="F3" s="1580"/>
      <c r="G3" s="1580"/>
      <c r="H3" s="1580"/>
      <c r="I3" s="1580"/>
      <c r="J3" s="1580"/>
      <c r="K3" s="1580"/>
      <c r="L3" s="1580"/>
      <c r="M3" s="1581"/>
      <c r="N3" s="1582"/>
    </row>
    <row r="4" spans="1:14" ht="13.5" customHeight="1" x14ac:dyDescent="0.2">
      <c r="A4" s="463" t="s">
        <v>1750</v>
      </c>
      <c r="B4" s="464"/>
      <c r="C4" s="465">
        <v>847855</v>
      </c>
      <c r="D4" s="465">
        <v>240882</v>
      </c>
      <c r="E4" s="466">
        <v>128108</v>
      </c>
      <c r="F4" s="466">
        <v>124670</v>
      </c>
      <c r="G4" s="466">
        <v>164436</v>
      </c>
      <c r="H4" s="466">
        <v>279379</v>
      </c>
      <c r="I4" s="466">
        <v>655578</v>
      </c>
      <c r="J4" s="467">
        <v>157326</v>
      </c>
      <c r="K4" s="466">
        <v>131537</v>
      </c>
      <c r="L4" s="466">
        <v>18111</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847855</v>
      </c>
      <c r="D13" s="1757">
        <f t="shared" ref="D13:L13" si="0">SUM(D4:D12)</f>
        <v>240882</v>
      </c>
      <c r="E13" s="1757">
        <f t="shared" si="0"/>
        <v>128108</v>
      </c>
      <c r="F13" s="1757">
        <f t="shared" si="0"/>
        <v>124670</v>
      </c>
      <c r="G13" s="1757">
        <f t="shared" si="0"/>
        <v>164436</v>
      </c>
      <c r="H13" s="1757">
        <f t="shared" si="0"/>
        <v>279379</v>
      </c>
      <c r="I13" s="1757">
        <f t="shared" si="0"/>
        <v>655578</v>
      </c>
      <c r="J13" s="1757">
        <f t="shared" si="0"/>
        <v>157326</v>
      </c>
      <c r="K13" s="1757">
        <f t="shared" si="0"/>
        <v>131537</v>
      </c>
      <c r="L13" s="1757">
        <f t="shared" si="0"/>
        <v>18111</v>
      </c>
      <c r="M13" s="468"/>
      <c r="N13" s="469"/>
    </row>
    <row r="14" spans="1:14" ht="18" customHeight="1" thickTop="1" x14ac:dyDescent="0.2">
      <c r="A14" s="2129" t="s">
        <v>149</v>
      </c>
      <c r="B14" s="2130"/>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8150</v>
      </c>
      <c r="N16" s="483"/>
    </row>
    <row r="17" spans="1:14" s="484" customFormat="1" ht="12.75" customHeight="1" x14ac:dyDescent="0.2">
      <c r="A17" s="481" t="s">
        <v>1470</v>
      </c>
      <c r="B17" s="482">
        <v>230</v>
      </c>
      <c r="C17" s="476"/>
      <c r="D17" s="476"/>
      <c r="E17" s="476"/>
      <c r="F17" s="476"/>
      <c r="G17" s="476"/>
      <c r="H17" s="476"/>
      <c r="I17" s="476"/>
      <c r="J17" s="476"/>
      <c r="K17" s="476"/>
      <c r="L17" s="476"/>
      <c r="M17" s="467">
        <v>4231504</v>
      </c>
      <c r="N17" s="483"/>
    </row>
    <row r="18" spans="1:14" s="484" customFormat="1" ht="12.75" customHeight="1" x14ac:dyDescent="0.2">
      <c r="A18" s="481" t="s">
        <v>1471</v>
      </c>
      <c r="B18" s="482">
        <v>240</v>
      </c>
      <c r="C18" s="476"/>
      <c r="D18" s="476"/>
      <c r="E18" s="476"/>
      <c r="F18" s="476"/>
      <c r="G18" s="476"/>
      <c r="H18" s="476"/>
      <c r="I18" s="476"/>
      <c r="J18" s="476"/>
      <c r="K18" s="476"/>
      <c r="L18" s="476"/>
      <c r="M18" s="467">
        <v>45261</v>
      </c>
      <c r="N18" s="483"/>
    </row>
    <row r="19" spans="1:14" s="484" customFormat="1" ht="12.75" customHeight="1" x14ac:dyDescent="0.2">
      <c r="A19" s="481" t="s">
        <v>1472</v>
      </c>
      <c r="B19" s="482">
        <v>250</v>
      </c>
      <c r="C19" s="476"/>
      <c r="D19" s="476"/>
      <c r="E19" s="476"/>
      <c r="F19" s="476"/>
      <c r="G19" s="476"/>
      <c r="H19" s="476"/>
      <c r="I19" s="476"/>
      <c r="J19" s="476"/>
      <c r="K19" s="476"/>
      <c r="L19" s="476"/>
      <c r="M19" s="467">
        <v>170487</v>
      </c>
      <c r="N19" s="483"/>
    </row>
    <row r="20" spans="1:14" s="484" customFormat="1" ht="12.75" customHeight="1" x14ac:dyDescent="0.2">
      <c r="A20" s="481" t="s">
        <v>1473</v>
      </c>
      <c r="B20" s="482">
        <v>260</v>
      </c>
      <c r="C20" s="476"/>
      <c r="D20" s="476"/>
      <c r="E20" s="476"/>
      <c r="F20" s="476"/>
      <c r="G20" s="476"/>
      <c r="H20" s="476"/>
      <c r="I20" s="476"/>
      <c r="J20" s="476"/>
      <c r="K20" s="476"/>
      <c r="L20" s="476"/>
      <c r="M20" s="467">
        <v>2016</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128108</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1316892</v>
      </c>
    </row>
    <row r="23" spans="1:14" ht="13.5" customHeight="1" thickBot="1" x14ac:dyDescent="0.25">
      <c r="A23" s="1756" t="s">
        <v>664</v>
      </c>
      <c r="B23" s="1761"/>
      <c r="C23" s="468"/>
      <c r="D23" s="468"/>
      <c r="E23" s="468"/>
      <c r="F23" s="468"/>
      <c r="G23" s="468"/>
      <c r="H23" s="468"/>
      <c r="I23" s="468"/>
      <c r="J23" s="468"/>
      <c r="K23" s="468"/>
      <c r="L23" s="468"/>
      <c r="M23" s="1708">
        <f>SUM(M15:M22)</f>
        <v>4457418</v>
      </c>
      <c r="N23" s="1708">
        <f>SUM(N21:N22)</f>
        <v>1445000</v>
      </c>
    </row>
    <row r="24" spans="1:14" ht="18" customHeight="1" thickTop="1" x14ac:dyDescent="0.2">
      <c r="A24" s="2131" t="s">
        <v>619</v>
      </c>
      <c r="B24" s="2132"/>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18111</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18111</v>
      </c>
      <c r="M34" s="468"/>
      <c r="N34" s="479"/>
    </row>
    <row r="35" spans="1:14" ht="18" customHeight="1" thickTop="1" x14ac:dyDescent="0.2">
      <c r="A35" s="2133" t="s">
        <v>550</v>
      </c>
      <c r="B35" s="2134"/>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1445000</v>
      </c>
    </row>
    <row r="37" spans="1:14" ht="13.5" thickBot="1" x14ac:dyDescent="0.25">
      <c r="A37" s="1756" t="s">
        <v>674</v>
      </c>
      <c r="B37" s="1761"/>
      <c r="C37" s="476"/>
      <c r="D37" s="476"/>
      <c r="E37" s="476"/>
      <c r="F37" s="476"/>
      <c r="G37" s="476"/>
      <c r="H37" s="476"/>
      <c r="I37" s="476"/>
      <c r="J37" s="476"/>
      <c r="K37" s="476"/>
      <c r="L37" s="479"/>
      <c r="M37" s="468"/>
      <c r="N37" s="1708">
        <f>SUM(N36:N36)</f>
        <v>1445000</v>
      </c>
    </row>
    <row r="38" spans="1:14" s="329" customFormat="1" ht="13.5" customHeight="1" thickTop="1" x14ac:dyDescent="0.2">
      <c r="A38" s="494" t="s">
        <v>440</v>
      </c>
      <c r="B38" s="482">
        <v>714</v>
      </c>
      <c r="C38" s="465">
        <v>54426</v>
      </c>
      <c r="D38" s="465">
        <v>0</v>
      </c>
      <c r="E38" s="465">
        <v>0</v>
      </c>
      <c r="F38" s="465">
        <v>0</v>
      </c>
      <c r="G38" s="465">
        <v>98667</v>
      </c>
      <c r="H38" s="465">
        <v>279379</v>
      </c>
      <c r="I38" s="465">
        <v>0</v>
      </c>
      <c r="J38" s="465">
        <v>0</v>
      </c>
      <c r="K38" s="465">
        <v>0</v>
      </c>
      <c r="L38" s="465">
        <v>0</v>
      </c>
      <c r="M38" s="495"/>
      <c r="N38" s="495"/>
    </row>
    <row r="39" spans="1:14" s="329" customFormat="1" ht="13.5" customHeight="1" x14ac:dyDescent="0.2">
      <c r="A39" s="494" t="s">
        <v>360</v>
      </c>
      <c r="B39" s="482">
        <v>730</v>
      </c>
      <c r="C39" s="465">
        <v>793429</v>
      </c>
      <c r="D39" s="465">
        <v>240882</v>
      </c>
      <c r="E39" s="465">
        <v>128108</v>
      </c>
      <c r="F39" s="465">
        <v>124670</v>
      </c>
      <c r="G39" s="465">
        <v>65769</v>
      </c>
      <c r="H39" s="465">
        <v>0</v>
      </c>
      <c r="I39" s="465">
        <v>655578</v>
      </c>
      <c r="J39" s="465">
        <v>157326</v>
      </c>
      <c r="K39" s="465">
        <v>131537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4457418</v>
      </c>
      <c r="N40" s="495"/>
    </row>
    <row r="41" spans="1:14" ht="13.5" customHeight="1" thickBot="1" x14ac:dyDescent="0.25">
      <c r="A41" s="1756" t="s">
        <v>676</v>
      </c>
      <c r="B41" s="1726"/>
      <c r="C41" s="1708">
        <f>(SUM(C34,C37,C38,C39))</f>
        <v>847855</v>
      </c>
      <c r="D41" s="1708">
        <f t="shared" ref="D41:L41" si="2">SUM(D34,D37,D38:D39)</f>
        <v>240882</v>
      </c>
      <c r="E41" s="1708">
        <f t="shared" si="2"/>
        <v>128108</v>
      </c>
      <c r="F41" s="1708">
        <f t="shared" si="2"/>
        <v>124670</v>
      </c>
      <c r="G41" s="1708">
        <f t="shared" si="2"/>
        <v>164436</v>
      </c>
      <c r="H41" s="1708">
        <f t="shared" si="2"/>
        <v>279379</v>
      </c>
      <c r="I41" s="1708">
        <f t="shared" si="2"/>
        <v>655578</v>
      </c>
      <c r="J41" s="1708">
        <f t="shared" si="2"/>
        <v>157326</v>
      </c>
      <c r="K41" s="1708">
        <f t="shared" si="2"/>
        <v>131537</v>
      </c>
      <c r="L41" s="1708">
        <f t="shared" si="2"/>
        <v>18111</v>
      </c>
      <c r="M41" s="1708">
        <f>SUM(M40)</f>
        <v>4457418</v>
      </c>
      <c r="N41" s="1708">
        <f>SUM(N37)</f>
        <v>1445000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K31" sqref="K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3"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5" t="s">
        <v>1237</v>
      </c>
      <c r="B3" s="2156"/>
      <c r="C3" s="1593"/>
      <c r="D3" s="1594"/>
      <c r="E3" s="1594"/>
      <c r="F3" s="1594"/>
      <c r="G3" s="1594"/>
      <c r="H3" s="1594"/>
      <c r="I3" s="1594"/>
      <c r="J3" s="1594"/>
      <c r="K3" s="1595"/>
      <c r="L3" s="504"/>
    </row>
    <row r="4" spans="1:13" ht="15.75" customHeight="1" x14ac:dyDescent="0.2">
      <c r="A4" s="1952" t="s">
        <v>1579</v>
      </c>
      <c r="B4" s="1953">
        <v>1000</v>
      </c>
      <c r="C4" s="1762">
        <f>'Revenues 9-14'!C109</f>
        <v>946677</v>
      </c>
      <c r="D4" s="1762">
        <f>'Revenues 9-14'!D109</f>
        <v>130821</v>
      </c>
      <c r="E4" s="1762">
        <f>'Revenues 9-14'!E109</f>
        <v>217686</v>
      </c>
      <c r="F4" s="1762">
        <f>'Revenues 9-14'!F109</f>
        <v>54370</v>
      </c>
      <c r="G4" s="1762">
        <f>'Revenues 9-14'!G109</f>
        <v>30140</v>
      </c>
      <c r="H4" s="1762">
        <f>'Revenues 9-14'!H109</f>
        <v>136245</v>
      </c>
      <c r="I4" s="1762">
        <f>'Revenues 9-14'!I109</f>
        <v>26359</v>
      </c>
      <c r="J4" s="1762">
        <f>'Revenues 9-14'!J109</f>
        <v>172283</v>
      </c>
      <c r="K4" s="1762">
        <f>'Revenues 9-14'!K109</f>
        <v>23326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973053</v>
      </c>
      <c r="D6" s="1763">
        <f>'Revenues 9-14'!D173</f>
        <v>0</v>
      </c>
      <c r="E6" s="1763">
        <f>'Revenues 9-14'!E173</f>
        <v>0</v>
      </c>
      <c r="F6" s="1763">
        <f>'Revenues 9-14'!F173</f>
        <v>120444</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131570</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2051300</v>
      </c>
      <c r="D8" s="1708">
        <f t="shared" ref="D8:K8" si="0">SUM(D4:D7)</f>
        <v>130821</v>
      </c>
      <c r="E8" s="1708">
        <f t="shared" si="0"/>
        <v>217686</v>
      </c>
      <c r="F8" s="1708">
        <f t="shared" si="0"/>
        <v>174814</v>
      </c>
      <c r="G8" s="1708">
        <f t="shared" si="0"/>
        <v>30140</v>
      </c>
      <c r="H8" s="1708">
        <f t="shared" si="0"/>
        <v>136245</v>
      </c>
      <c r="I8" s="1708">
        <f t="shared" si="0"/>
        <v>26359</v>
      </c>
      <c r="J8" s="1708">
        <f t="shared" si="0"/>
        <v>172283</v>
      </c>
      <c r="K8" s="1708">
        <f t="shared" si="0"/>
        <v>23326</v>
      </c>
      <c r="L8" s="347"/>
    </row>
    <row r="9" spans="1:13" ht="15.75" thickTop="1" x14ac:dyDescent="0.2">
      <c r="A9" s="512" t="s">
        <v>1752</v>
      </c>
      <c r="B9" s="513">
        <v>3998</v>
      </c>
      <c r="C9" s="465">
        <v>998281</v>
      </c>
      <c r="D9" s="514"/>
      <c r="E9" s="480"/>
      <c r="F9" s="480"/>
      <c r="G9" s="515"/>
      <c r="H9" s="480"/>
      <c r="I9" s="507" t="s">
        <v>1231</v>
      </c>
      <c r="J9" s="477"/>
      <c r="K9" s="480"/>
      <c r="L9" s="347"/>
    </row>
    <row r="10" spans="1:13" s="517" customFormat="1" ht="13.5" thickBot="1" x14ac:dyDescent="0.25">
      <c r="A10" s="1756" t="s">
        <v>1235</v>
      </c>
      <c r="B10" s="1729"/>
      <c r="C10" s="1708">
        <f>SUM(C8:C9)</f>
        <v>3049581</v>
      </c>
      <c r="D10" s="1708">
        <f t="shared" ref="D10:K10" si="1">SUM(D8:D9)</f>
        <v>130821</v>
      </c>
      <c r="E10" s="1708">
        <f t="shared" si="1"/>
        <v>217686</v>
      </c>
      <c r="F10" s="1708">
        <f t="shared" si="1"/>
        <v>174814</v>
      </c>
      <c r="G10" s="1708">
        <f t="shared" si="1"/>
        <v>30140</v>
      </c>
      <c r="H10" s="1708">
        <f t="shared" si="1"/>
        <v>136245</v>
      </c>
      <c r="I10" s="1708">
        <f t="shared" si="1"/>
        <v>26359</v>
      </c>
      <c r="J10" s="1708">
        <f t="shared" si="1"/>
        <v>172283</v>
      </c>
      <c r="K10" s="1708">
        <f t="shared" si="1"/>
        <v>23326</v>
      </c>
      <c r="L10" s="516"/>
    </row>
    <row r="11" spans="1:13" s="517" customFormat="1" ht="16.7" customHeight="1" thickTop="1" x14ac:dyDescent="0.2">
      <c r="A11" s="2129" t="s">
        <v>1238</v>
      </c>
      <c r="B11" s="2130"/>
      <c r="C11" s="1590"/>
      <c r="D11" s="1591"/>
      <c r="E11" s="1591"/>
      <c r="F11" s="1591"/>
      <c r="G11" s="1591"/>
      <c r="H11" s="1591"/>
      <c r="I11" s="1591"/>
      <c r="J11" s="1591"/>
      <c r="K11" s="1592"/>
      <c r="L11" s="516"/>
    </row>
    <row r="12" spans="1:13" ht="15.75" customHeight="1" x14ac:dyDescent="0.2">
      <c r="A12" s="1596" t="s">
        <v>476</v>
      </c>
      <c r="B12" s="1598">
        <v>1000</v>
      </c>
      <c r="C12" s="1762">
        <f>'Expenditures 15-22'!K33</f>
        <v>1412180</v>
      </c>
      <c r="D12" s="518" t="s">
        <v>1231</v>
      </c>
      <c r="E12" s="468" t="s">
        <v>1231</v>
      </c>
      <c r="F12" s="468" t="s">
        <v>1231</v>
      </c>
      <c r="G12" s="1762">
        <f>'Expenditures 15-22'!K229</f>
        <v>21910</v>
      </c>
      <c r="H12" s="519"/>
      <c r="I12" s="468" t="s">
        <v>1231</v>
      </c>
      <c r="J12" s="468" t="s">
        <v>1231</v>
      </c>
      <c r="K12" s="519" t="s">
        <v>1231</v>
      </c>
      <c r="L12" s="347"/>
    </row>
    <row r="13" spans="1:13" ht="15.75" customHeight="1" x14ac:dyDescent="0.2">
      <c r="A13" s="1596" t="s">
        <v>477</v>
      </c>
      <c r="B13" s="1598">
        <v>2000</v>
      </c>
      <c r="C13" s="1763">
        <f>'Expenditures 15-22'!K74</f>
        <v>460137</v>
      </c>
      <c r="D13" s="1763">
        <f>'Expenditures 15-22'!K129</f>
        <v>95458</v>
      </c>
      <c r="E13" s="469" t="s">
        <v>1231</v>
      </c>
      <c r="F13" s="1763">
        <f>'Expenditures 15-22'!K184</f>
        <v>170613</v>
      </c>
      <c r="G13" s="1763">
        <f>'Expenditures 15-22'!K279</f>
        <v>32269</v>
      </c>
      <c r="H13" s="1763">
        <f>'Expenditures 15-22'!K303</f>
        <v>29634</v>
      </c>
      <c r="I13" s="468" t="s">
        <v>1231</v>
      </c>
      <c r="J13" s="1763">
        <f>'Expenditures 15-22'!K330</f>
        <v>166076</v>
      </c>
      <c r="K13" s="1767">
        <f>'Expenditures 15-22'!K352</f>
        <v>18328</v>
      </c>
      <c r="L13" s="347"/>
    </row>
    <row r="14" spans="1:13" ht="15.75" customHeight="1" x14ac:dyDescent="0.2">
      <c r="A14" s="1596" t="s">
        <v>469</v>
      </c>
      <c r="B14" s="1598">
        <v>3000</v>
      </c>
      <c r="C14" s="1763">
        <f>'Expenditures 15-22'!K75</f>
        <v>640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89700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209001</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1962657</v>
      </c>
      <c r="D17" s="1708">
        <f t="shared" si="2"/>
        <v>95458</v>
      </c>
      <c r="E17" s="1708">
        <f t="shared" si="2"/>
        <v>209001</v>
      </c>
      <c r="F17" s="1708">
        <f t="shared" si="2"/>
        <v>170613</v>
      </c>
      <c r="G17" s="1708">
        <f t="shared" si="2"/>
        <v>54179</v>
      </c>
      <c r="H17" s="1708">
        <f t="shared" si="2"/>
        <v>29634</v>
      </c>
      <c r="I17" s="468"/>
      <c r="J17" s="1708">
        <f>SUM(J12:J16)</f>
        <v>166076</v>
      </c>
      <c r="K17" s="1708">
        <f>SUM(K12:K16)</f>
        <v>18328</v>
      </c>
      <c r="L17" s="347"/>
    </row>
    <row r="18" spans="1:12" ht="15" customHeight="1" thickTop="1" x14ac:dyDescent="0.2">
      <c r="A18" s="1764" t="s">
        <v>1753</v>
      </c>
      <c r="B18" s="1765">
        <v>4180</v>
      </c>
      <c r="C18" s="1762">
        <f t="shared" ref="C18:H18" si="3">C9</f>
        <v>998281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2960938</v>
      </c>
      <c r="D19" s="1708">
        <f t="shared" si="4"/>
        <v>95458</v>
      </c>
      <c r="E19" s="1708">
        <f t="shared" si="4"/>
        <v>209001</v>
      </c>
      <c r="F19" s="1708">
        <f t="shared" si="4"/>
        <v>170613</v>
      </c>
      <c r="G19" s="1708">
        <f t="shared" si="4"/>
        <v>54179</v>
      </c>
      <c r="H19" s="1708">
        <f t="shared" si="4"/>
        <v>29634</v>
      </c>
      <c r="I19" s="468"/>
      <c r="J19" s="1708">
        <f>SUM(J17:J18)</f>
        <v>166076</v>
      </c>
      <c r="K19" s="1708">
        <f>SUM(K17:K18)</f>
        <v>18328</v>
      </c>
      <c r="L19" s="347"/>
    </row>
    <row r="20" spans="1:12" ht="16.5" thickTop="1" thickBot="1" x14ac:dyDescent="0.25">
      <c r="A20" s="2145" t="s">
        <v>1754</v>
      </c>
      <c r="B20" s="2146"/>
      <c r="C20" s="1766">
        <f>C8-C17</f>
        <v>88643</v>
      </c>
      <c r="D20" s="1766">
        <f t="shared" ref="D20:K20" si="5">D8-D17</f>
        <v>35363</v>
      </c>
      <c r="E20" s="1766">
        <f t="shared" si="5"/>
        <v>8685</v>
      </c>
      <c r="F20" s="1766">
        <f t="shared" si="5"/>
        <v>4201</v>
      </c>
      <c r="G20" s="1766">
        <f t="shared" si="5"/>
        <v>-24039</v>
      </c>
      <c r="H20" s="1766">
        <f t="shared" si="5"/>
        <v>106611</v>
      </c>
      <c r="I20" s="1766">
        <f t="shared" si="5"/>
        <v>26359</v>
      </c>
      <c r="J20" s="1766">
        <f t="shared" si="5"/>
        <v>6207</v>
      </c>
      <c r="K20" s="1766">
        <f t="shared" si="5"/>
        <v>4998</v>
      </c>
      <c r="L20" s="347"/>
    </row>
    <row r="21" spans="1:12" ht="16.7" customHeight="1" thickTop="1" x14ac:dyDescent="0.2">
      <c r="A21" s="2157" t="s">
        <v>616</v>
      </c>
      <c r="B21" s="2158"/>
      <c r="C21" s="1590"/>
      <c r="D21" s="1591"/>
      <c r="E21" s="1591"/>
      <c r="F21" s="1591"/>
      <c r="G21" s="1591"/>
      <c r="H21" s="1591"/>
      <c r="I21" s="1591"/>
      <c r="J21" s="1591"/>
      <c r="K21" s="1592"/>
      <c r="L21" s="522"/>
    </row>
    <row r="22" spans="1:12" ht="15.75" customHeight="1" collapsed="1" x14ac:dyDescent="0.2">
      <c r="A22" s="2153" t="s">
        <v>617</v>
      </c>
      <c r="B22" s="2154"/>
      <c r="C22" s="476"/>
      <c r="D22" s="476"/>
      <c r="E22" s="476"/>
      <c r="F22" s="476"/>
      <c r="G22" s="476"/>
      <c r="H22" s="476"/>
      <c r="I22" s="476"/>
      <c r="J22" s="476"/>
      <c r="K22" s="476"/>
      <c r="L22" s="347"/>
    </row>
    <row r="23" spans="1:12" s="484" customFormat="1" ht="15.75" customHeight="1" x14ac:dyDescent="0.2">
      <c r="A23" s="2149" t="s">
        <v>311</v>
      </c>
      <c r="B23" s="2150"/>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51" t="s">
        <v>1038</v>
      </c>
      <c r="B32" s="2152"/>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185691</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9" t="s">
        <v>392</v>
      </c>
      <c r="B44" s="2160"/>
      <c r="C44" s="1723">
        <f>SUM(C24:C43)</f>
        <v>0</v>
      </c>
      <c r="D44" s="1723">
        <f t="shared" ref="D44:K44" si="6">SUM(D24:D43)</f>
        <v>0</v>
      </c>
      <c r="E44" s="1723">
        <f t="shared" si="6"/>
        <v>0</v>
      </c>
      <c r="F44" s="1723">
        <f t="shared" si="6"/>
        <v>0</v>
      </c>
      <c r="G44" s="1723">
        <f t="shared" si="6"/>
        <v>0</v>
      </c>
      <c r="H44" s="1723">
        <f t="shared" si="6"/>
        <v>0</v>
      </c>
      <c r="I44" s="1723">
        <f t="shared" si="6"/>
        <v>185691</v>
      </c>
      <c r="J44" s="1723">
        <f t="shared" si="6"/>
        <v>0</v>
      </c>
      <c r="K44" s="1723">
        <f t="shared" si="6"/>
        <v>0</v>
      </c>
      <c r="L44" s="522"/>
    </row>
    <row r="45" spans="1:12" ht="15.75" customHeight="1" thickTop="1" x14ac:dyDescent="0.2">
      <c r="A45" s="2153" t="s">
        <v>110</v>
      </c>
      <c r="B45" s="2154"/>
      <c r="C45" s="526"/>
      <c r="D45" s="526"/>
      <c r="E45" s="526"/>
      <c r="F45" s="526"/>
      <c r="G45" s="526"/>
      <c r="H45" s="526"/>
      <c r="I45" s="526"/>
      <c r="J45" s="526"/>
      <c r="K45" s="526"/>
      <c r="L45" s="347"/>
    </row>
    <row r="46" spans="1:12" s="484" customFormat="1" ht="15.75" customHeight="1" x14ac:dyDescent="0.2">
      <c r="A46" s="2161" t="s">
        <v>111</v>
      </c>
      <c r="B46" s="2162"/>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5" t="s">
        <v>460</v>
      </c>
      <c r="B76" s="2136"/>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7" t="s">
        <v>1239</v>
      </c>
      <c r="B77" s="2138"/>
      <c r="C77" s="1723">
        <f t="shared" ref="C77:K77" si="8">C44-C76</f>
        <v>0</v>
      </c>
      <c r="D77" s="1723">
        <f t="shared" si="8"/>
        <v>0</v>
      </c>
      <c r="E77" s="1723">
        <f t="shared" si="8"/>
        <v>0</v>
      </c>
      <c r="F77" s="1723">
        <f t="shared" si="8"/>
        <v>0</v>
      </c>
      <c r="G77" s="1723">
        <f t="shared" si="8"/>
        <v>0</v>
      </c>
      <c r="H77" s="1723">
        <f t="shared" si="8"/>
        <v>0</v>
      </c>
      <c r="I77" s="1723">
        <f t="shared" si="8"/>
        <v>185691</v>
      </c>
      <c r="J77" s="1723">
        <f t="shared" si="8"/>
        <v>0</v>
      </c>
      <c r="K77" s="1723">
        <f t="shared" si="8"/>
        <v>0</v>
      </c>
      <c r="L77" s="347"/>
    </row>
    <row r="78" spans="1:12" ht="21.75" customHeight="1" thickTop="1" thickBot="1" x14ac:dyDescent="0.25">
      <c r="A78" s="2141" t="s">
        <v>618</v>
      </c>
      <c r="B78" s="2142"/>
      <c r="C78" s="1722">
        <f t="shared" ref="C78:K78" si="9">C20+C77</f>
        <v>88643</v>
      </c>
      <c r="D78" s="1722">
        <f t="shared" si="9"/>
        <v>35363</v>
      </c>
      <c r="E78" s="1722">
        <f t="shared" si="9"/>
        <v>8685</v>
      </c>
      <c r="F78" s="1722">
        <f t="shared" si="9"/>
        <v>4201</v>
      </c>
      <c r="G78" s="1722">
        <f t="shared" si="9"/>
        <v>-24039</v>
      </c>
      <c r="H78" s="1722">
        <f t="shared" si="9"/>
        <v>106611</v>
      </c>
      <c r="I78" s="1722">
        <f t="shared" si="9"/>
        <v>212050</v>
      </c>
      <c r="J78" s="1722">
        <f t="shared" si="9"/>
        <v>6207</v>
      </c>
      <c r="K78" s="1722">
        <f t="shared" si="9"/>
        <v>4998</v>
      </c>
      <c r="L78" s="531"/>
    </row>
    <row r="79" spans="1:12" ht="13.5" thickTop="1" x14ac:dyDescent="0.2">
      <c r="A79" s="1514" t="s">
        <v>2072</v>
      </c>
      <c r="B79" s="532"/>
      <c r="C79" s="467">
        <v>759212</v>
      </c>
      <c r="D79" s="467">
        <v>205519</v>
      </c>
      <c r="E79" s="467">
        <v>119423</v>
      </c>
      <c r="F79" s="467">
        <v>120469</v>
      </c>
      <c r="G79" s="467">
        <v>188475</v>
      </c>
      <c r="H79" s="467">
        <v>172768</v>
      </c>
      <c r="I79" s="467">
        <v>443528</v>
      </c>
      <c r="J79" s="467">
        <v>151119</v>
      </c>
      <c r="K79" s="467">
        <v>126539</v>
      </c>
      <c r="L79" s="347"/>
    </row>
    <row r="80" spans="1:12" x14ac:dyDescent="0.2">
      <c r="A80" s="2147" t="s">
        <v>1897</v>
      </c>
      <c r="B80" s="2148"/>
      <c r="C80" s="467">
        <v>0</v>
      </c>
      <c r="D80" s="467">
        <v>0</v>
      </c>
      <c r="E80" s="467">
        <v>0</v>
      </c>
      <c r="F80" s="467">
        <v>0</v>
      </c>
      <c r="G80" s="467">
        <v>0</v>
      </c>
      <c r="H80" s="467">
        <v>0</v>
      </c>
      <c r="I80" s="467">
        <v>0</v>
      </c>
      <c r="J80" s="467">
        <v>0</v>
      </c>
      <c r="K80" s="467">
        <v>0</v>
      </c>
      <c r="L80" s="347"/>
    </row>
    <row r="81" spans="1:12" ht="13.5" thickBot="1" x14ac:dyDescent="0.25">
      <c r="A81" s="2139" t="s">
        <v>2073</v>
      </c>
      <c r="B81" s="2140"/>
      <c r="C81" s="1708">
        <f>(SUM(C78:C80))</f>
        <v>847855</v>
      </c>
      <c r="D81" s="1708">
        <f>SUM(D78:D80)</f>
        <v>240882</v>
      </c>
      <c r="E81" s="1708">
        <f t="shared" ref="E81:K81" si="10">SUM(E78:E80)</f>
        <v>128108</v>
      </c>
      <c r="F81" s="1708">
        <f t="shared" si="10"/>
        <v>124670</v>
      </c>
      <c r="G81" s="1708">
        <f t="shared" si="10"/>
        <v>164436</v>
      </c>
      <c r="H81" s="1708">
        <f t="shared" si="10"/>
        <v>279379</v>
      </c>
      <c r="I81" s="1708">
        <f t="shared" si="10"/>
        <v>655578</v>
      </c>
      <c r="J81" s="1708">
        <f t="shared" si="10"/>
        <v>157326</v>
      </c>
      <c r="K81" s="1708">
        <f t="shared" si="10"/>
        <v>131537</v>
      </c>
      <c r="L81" s="347"/>
    </row>
    <row r="82" spans="1:12" ht="0.75" customHeight="1" thickTop="1" thickBot="1" x14ac:dyDescent="0.25">
      <c r="A82" s="534" t="s">
        <v>361</v>
      </c>
      <c r="B82" s="535"/>
      <c r="C82" s="536">
        <f>(C81-C79)</f>
        <v>88643</v>
      </c>
      <c r="D82" s="536">
        <f t="shared" ref="D82:K82" si="11">(D81-D79)</f>
        <v>35363</v>
      </c>
      <c r="E82" s="536">
        <f t="shared" si="11"/>
        <v>8685</v>
      </c>
      <c r="F82" s="536">
        <f t="shared" si="11"/>
        <v>4201</v>
      </c>
      <c r="G82" s="536">
        <f t="shared" si="11"/>
        <v>-24039</v>
      </c>
      <c r="H82" s="536">
        <f t="shared" si="11"/>
        <v>106611</v>
      </c>
      <c r="I82" s="536">
        <f t="shared" si="11"/>
        <v>212050</v>
      </c>
      <c r="J82" s="536">
        <f t="shared" si="11"/>
        <v>6207</v>
      </c>
      <c r="K82" s="536">
        <f t="shared" si="11"/>
        <v>4998</v>
      </c>
    </row>
    <row r="83" spans="1:12" ht="14.25" hidden="1" thickTop="1" thickBot="1" x14ac:dyDescent="0.25">
      <c r="A83" s="537" t="s">
        <v>362</v>
      </c>
      <c r="B83" s="464"/>
      <c r="C83" s="538">
        <f>C82/C81</f>
        <v>0.10454971663786851</v>
      </c>
      <c r="D83" s="538">
        <f t="shared" ref="D83:K83" si="12">D82/D81</f>
        <v>0.14680632010694034</v>
      </c>
      <c r="E83" s="538">
        <f t="shared" si="12"/>
        <v>6.7794361007899581E-2</v>
      </c>
      <c r="F83" s="538">
        <f t="shared" si="12"/>
        <v>3.3696959974332238E-2</v>
      </c>
      <c r="G83" s="538">
        <f t="shared" si="12"/>
        <v>-0.1461906151937532</v>
      </c>
      <c r="H83" s="538">
        <f t="shared" si="12"/>
        <v>0.38159990550470868</v>
      </c>
      <c r="I83" s="538">
        <f t="shared" si="12"/>
        <v>0.32345502747194077</v>
      </c>
      <c r="J83" s="538">
        <f t="shared" si="12"/>
        <v>3.9453110102589527E-2</v>
      </c>
      <c r="K83" s="538">
        <f t="shared" si="12"/>
        <v>3.7996913415997022E-2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K31" sqref="K31"/>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1904</v>
      </c>
      <c r="B1" s="452"/>
      <c r="C1" s="453" t="s">
        <v>445</v>
      </c>
      <c r="D1" s="453" t="s">
        <v>446</v>
      </c>
      <c r="E1" s="453" t="s">
        <v>447</v>
      </c>
      <c r="F1" s="453" t="s">
        <v>448</v>
      </c>
      <c r="G1" s="453" t="s">
        <v>449</v>
      </c>
      <c r="H1" s="453" t="s">
        <v>450</v>
      </c>
      <c r="I1" s="453" t="s">
        <v>451</v>
      </c>
      <c r="J1" s="453" t="s">
        <v>452</v>
      </c>
      <c r="K1" s="453" t="s">
        <v>780</v>
      </c>
    </row>
    <row r="2" spans="1:12" ht="36" x14ac:dyDescent="0.2">
      <c r="A2" s="214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809532</v>
      </c>
      <c r="D5" s="480">
        <v>111200</v>
      </c>
      <c r="E5" s="480">
        <v>216479</v>
      </c>
      <c r="F5" s="546">
        <v>53376</v>
      </c>
      <c r="G5" s="466">
        <v>12850</v>
      </c>
      <c r="H5" s="466">
        <v>0</v>
      </c>
      <c r="I5" s="466">
        <v>22241</v>
      </c>
      <c r="J5" s="466">
        <v>170347</v>
      </c>
      <c r="K5" s="466">
        <v>22241</v>
      </c>
    </row>
    <row r="6" spans="1:12" ht="15" x14ac:dyDescent="0.2">
      <c r="A6" s="463" t="s">
        <v>1761</v>
      </c>
      <c r="B6" s="470">
        <v>1130</v>
      </c>
      <c r="C6" s="466">
        <v>11167</v>
      </c>
      <c r="D6" s="466">
        <v>0</v>
      </c>
      <c r="E6" s="475"/>
      <c r="F6" s="475"/>
      <c r="G6" s="468"/>
      <c r="H6" s="468"/>
      <c r="I6" s="468"/>
      <c r="J6" s="468"/>
      <c r="K6" s="468"/>
    </row>
    <row r="7" spans="1:12" x14ac:dyDescent="0.2">
      <c r="A7" s="463" t="s">
        <v>112</v>
      </c>
      <c r="B7" s="547">
        <v>1140</v>
      </c>
      <c r="C7" s="466">
        <v>8896</v>
      </c>
      <c r="D7" s="466">
        <v>0</v>
      </c>
      <c r="E7" s="468"/>
      <c r="F7" s="467">
        <v>0</v>
      </c>
      <c r="G7" s="467">
        <v>0</v>
      </c>
      <c r="H7" s="467">
        <v>0</v>
      </c>
      <c r="I7" s="468"/>
      <c r="J7" s="468"/>
      <c r="K7" s="468"/>
    </row>
    <row r="8" spans="1:12" x14ac:dyDescent="0.2">
      <c r="A8" s="463" t="s">
        <v>433</v>
      </c>
      <c r="B8" s="470">
        <v>1150</v>
      </c>
      <c r="C8" s="475"/>
      <c r="D8" s="475"/>
      <c r="E8" s="476"/>
      <c r="F8" s="476"/>
      <c r="G8" s="480">
        <v>12871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829595</v>
      </c>
      <c r="D12" s="1727">
        <f t="shared" si="0"/>
        <v>111200</v>
      </c>
      <c r="E12" s="1727">
        <f t="shared" si="0"/>
        <v>216479</v>
      </c>
      <c r="F12" s="1727">
        <f t="shared" si="0"/>
        <v>53376</v>
      </c>
      <c r="G12" s="1727">
        <f t="shared" si="0"/>
        <v>25721</v>
      </c>
      <c r="H12" s="1727">
        <f t="shared" si="0"/>
        <v>0</v>
      </c>
      <c r="I12" s="1727">
        <f t="shared" si="0"/>
        <v>22241</v>
      </c>
      <c r="J12" s="1727">
        <f t="shared" si="0"/>
        <v>170347</v>
      </c>
      <c r="K12" s="1708">
        <f t="shared" si="0"/>
        <v>22241</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262</v>
      </c>
      <c r="D14" s="466">
        <v>35</v>
      </c>
      <c r="E14" s="466">
        <v>69</v>
      </c>
      <c r="F14" s="466">
        <v>17</v>
      </c>
      <c r="G14" s="466">
        <v>13</v>
      </c>
      <c r="H14" s="466">
        <v>0</v>
      </c>
      <c r="I14" s="466">
        <v>7</v>
      </c>
      <c r="J14" s="467">
        <v>49</v>
      </c>
      <c r="K14" s="466">
        <v>7</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66497</v>
      </c>
      <c r="D16" s="466">
        <v>0</v>
      </c>
      <c r="E16" s="466">
        <v>0</v>
      </c>
      <c r="F16" s="466">
        <v>0</v>
      </c>
      <c r="G16" s="466">
        <v>2957</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66759</v>
      </c>
      <c r="D18" s="1730">
        <f t="shared" ref="D18:K18" si="1">SUM(D14:D17)</f>
        <v>35</v>
      </c>
      <c r="E18" s="1730">
        <f t="shared" si="1"/>
        <v>69</v>
      </c>
      <c r="F18" s="1730">
        <f t="shared" si="1"/>
        <v>17</v>
      </c>
      <c r="G18" s="1730">
        <f t="shared" si="1"/>
        <v>2970</v>
      </c>
      <c r="H18" s="1730">
        <f t="shared" si="1"/>
        <v>0</v>
      </c>
      <c r="I18" s="1730">
        <f t="shared" si="1"/>
        <v>7</v>
      </c>
      <c r="J18" s="1730">
        <f t="shared" si="1"/>
        <v>49</v>
      </c>
      <c r="K18" s="1731">
        <f t="shared" si="1"/>
        <v>7</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2694</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2694</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5219</v>
      </c>
      <c r="D65" s="466">
        <v>1758</v>
      </c>
      <c r="E65" s="466">
        <v>1138</v>
      </c>
      <c r="F65" s="467">
        <v>977</v>
      </c>
      <c r="G65" s="466">
        <v>1449</v>
      </c>
      <c r="H65" s="466">
        <v>1768</v>
      </c>
      <c r="I65" s="466">
        <v>4111</v>
      </c>
      <c r="J65" s="467">
        <v>1278</v>
      </c>
      <c r="K65" s="466">
        <v>1078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5219</v>
      </c>
      <c r="D67" s="1708">
        <f t="shared" ref="D67:K67" si="2">SUM(D65:D66)</f>
        <v>1758</v>
      </c>
      <c r="E67" s="1708">
        <f t="shared" si="2"/>
        <v>1138</v>
      </c>
      <c r="F67" s="1708">
        <f t="shared" si="2"/>
        <v>977</v>
      </c>
      <c r="G67" s="1708">
        <f t="shared" si="2"/>
        <v>1449</v>
      </c>
      <c r="H67" s="1708">
        <f t="shared" si="2"/>
        <v>1768</v>
      </c>
      <c r="I67" s="1708">
        <f t="shared" si="2"/>
        <v>4111</v>
      </c>
      <c r="J67" s="1708">
        <f t="shared" si="2"/>
        <v>1278</v>
      </c>
      <c r="K67" s="1708">
        <f t="shared" si="2"/>
        <v>1078</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5900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878</v>
      </c>
      <c r="D81" s="466">
        <v>0</v>
      </c>
      <c r="E81" s="468"/>
      <c r="F81" s="468"/>
      <c r="G81" s="468"/>
      <c r="H81" s="468"/>
      <c r="I81" s="468"/>
      <c r="J81" s="468"/>
      <c r="K81" s="468"/>
    </row>
    <row r="82" spans="1:11" ht="12.75" customHeight="1" thickBot="1" x14ac:dyDescent="0.25">
      <c r="A82" s="1728" t="s">
        <v>259</v>
      </c>
      <c r="B82" s="1729"/>
      <c r="C82" s="1727">
        <f>SUM(C77:C81)</f>
        <v>6778</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10523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10523</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12500</v>
      </c>
      <c r="E95" s="519"/>
      <c r="F95" s="519"/>
      <c r="G95" s="519"/>
      <c r="H95" s="519"/>
      <c r="I95" s="519"/>
      <c r="J95" s="519"/>
      <c r="K95" s="519"/>
    </row>
    <row r="96" spans="1:11" ht="12.75" customHeight="1" x14ac:dyDescent="0.2">
      <c r="A96" s="463" t="s">
        <v>409</v>
      </c>
      <c r="B96" s="470">
        <v>1920</v>
      </c>
      <c r="C96" s="549">
        <v>7000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16142</v>
      </c>
      <c r="D98" s="466">
        <v>0</v>
      </c>
      <c r="E98" s="510"/>
      <c r="F98" s="466">
        <v>0</v>
      </c>
      <c r="G98" s="510"/>
      <c r="H98" s="510"/>
      <c r="I98" s="508"/>
      <c r="J98" s="510"/>
      <c r="K98" s="510"/>
    </row>
    <row r="99" spans="1:12" ht="12.75" customHeight="1" x14ac:dyDescent="0.2">
      <c r="A99" s="463" t="s">
        <v>875</v>
      </c>
      <c r="B99" s="470">
        <v>1950</v>
      </c>
      <c r="C99" s="487">
        <v>1814</v>
      </c>
      <c r="D99" s="466">
        <v>5328</v>
      </c>
      <c r="E99" s="466">
        <v>0</v>
      </c>
      <c r="F99" s="466">
        <v>0</v>
      </c>
      <c r="G99" s="466">
        <v>0</v>
      </c>
      <c r="H99" s="466">
        <v>0</v>
      </c>
      <c r="I99" s="468"/>
      <c r="J99" s="467">
        <v>609</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134477</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153</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25109</v>
      </c>
      <c r="D108" s="1727">
        <f t="shared" ref="D108:K108" si="3">SUM(D95:D107)</f>
        <v>17828</v>
      </c>
      <c r="E108" s="1727">
        <f t="shared" si="3"/>
        <v>0</v>
      </c>
      <c r="F108" s="1727">
        <f t="shared" si="3"/>
        <v>0</v>
      </c>
      <c r="G108" s="1727">
        <f t="shared" si="3"/>
        <v>0</v>
      </c>
      <c r="H108" s="1727">
        <f t="shared" si="3"/>
        <v>134477</v>
      </c>
      <c r="I108" s="1727">
        <f t="shared" si="3"/>
        <v>0</v>
      </c>
      <c r="J108" s="1727">
        <f t="shared" si="3"/>
        <v>609</v>
      </c>
      <c r="K108" s="1708">
        <f t="shared" si="3"/>
        <v>0</v>
      </c>
    </row>
    <row r="109" spans="1:12" ht="14.25" thickTop="1" thickBot="1" x14ac:dyDescent="0.25">
      <c r="A109" s="1733" t="s">
        <v>266</v>
      </c>
      <c r="B109" s="1734" t="s">
        <v>591</v>
      </c>
      <c r="C109" s="1735">
        <f t="shared" ref="C109:K109" si="4">SUM(C12,C18,C40,C63,C67,C75,C82,C93,C108,)</f>
        <v>946677</v>
      </c>
      <c r="D109" s="1735">
        <f t="shared" si="4"/>
        <v>130821</v>
      </c>
      <c r="E109" s="1735">
        <f t="shared" si="4"/>
        <v>217686</v>
      </c>
      <c r="F109" s="1735">
        <f t="shared" si="4"/>
        <v>54370</v>
      </c>
      <c r="G109" s="1735">
        <f t="shared" si="4"/>
        <v>30140</v>
      </c>
      <c r="H109" s="1735">
        <f t="shared" si="4"/>
        <v>136245</v>
      </c>
      <c r="I109" s="1735">
        <f t="shared" si="4"/>
        <v>26359</v>
      </c>
      <c r="J109" s="1735">
        <f t="shared" si="4"/>
        <v>172283</v>
      </c>
      <c r="K109" s="1722">
        <f t="shared" si="4"/>
        <v>23326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933585</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933585</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18997</v>
      </c>
      <c r="D125" s="559"/>
      <c r="E125" s="468"/>
      <c r="F125" s="466">
        <v>0</v>
      </c>
      <c r="G125" s="468"/>
      <c r="H125" s="468"/>
      <c r="I125" s="468"/>
      <c r="J125" s="468"/>
      <c r="K125" s="468"/>
    </row>
    <row r="126" spans="1:11" ht="12.75" customHeight="1" x14ac:dyDescent="0.2">
      <c r="A126" s="463" t="s">
        <v>922</v>
      </c>
      <c r="B126" s="560">
        <v>3110</v>
      </c>
      <c r="C126" s="549">
        <v>19880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38877</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137</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137</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454</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72525</v>
      </c>
      <c r="G151" s="467">
        <v>0</v>
      </c>
      <c r="H151" s="468"/>
      <c r="I151" s="468"/>
      <c r="J151" s="468"/>
      <c r="K151" s="468"/>
    </row>
    <row r="152" spans="1:11" ht="12.75" customHeight="1" x14ac:dyDescent="0.2">
      <c r="A152" s="463" t="s">
        <v>1117</v>
      </c>
      <c r="B152" s="560">
        <v>3510</v>
      </c>
      <c r="C152" s="549">
        <v>0</v>
      </c>
      <c r="D152" s="466">
        <v>0</v>
      </c>
      <c r="E152" s="559"/>
      <c r="F152" s="466">
        <v>47919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120444</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3" t="s">
        <v>418</v>
      </c>
      <c r="B172" s="2164"/>
      <c r="C172" s="1742">
        <f t="shared" ref="C172:K172" si="6">SUM(C131,C140,C144,C145:C149,C154,C155:C170,C171)</f>
        <v>39468</v>
      </c>
      <c r="D172" s="1742">
        <f t="shared" si="6"/>
        <v>0</v>
      </c>
      <c r="E172" s="1742">
        <f t="shared" si="6"/>
        <v>0</v>
      </c>
      <c r="F172" s="1742">
        <f t="shared" si="6"/>
        <v>120444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973053</v>
      </c>
      <c r="D173" s="1735">
        <f>SUM(D121,D172)</f>
        <v>0</v>
      </c>
      <c r="E173" s="1735">
        <f>SUM(E121,E172)</f>
        <v>0</v>
      </c>
      <c r="F173" s="1735">
        <f t="shared" ref="F173:K173" si="7">SUM(F121,F172)</f>
        <v>120444</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5" t="s">
        <v>1572</v>
      </c>
      <c r="B175" s="216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9" t="s">
        <v>1764</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1763</v>
      </c>
      <c r="B179" s="217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32649</v>
      </c>
      <c r="D183" s="466">
        <v>0</v>
      </c>
      <c r="E183" s="468"/>
      <c r="F183" s="466">
        <v>0</v>
      </c>
      <c r="G183" s="466">
        <v>0</v>
      </c>
      <c r="H183" s="466">
        <v>0</v>
      </c>
      <c r="I183" s="468"/>
      <c r="J183" s="468"/>
      <c r="K183" s="466">
        <v>0</v>
      </c>
    </row>
    <row r="184" spans="1:11" ht="13.5" thickBot="1" x14ac:dyDescent="0.25">
      <c r="A184" s="2171" t="s">
        <v>818</v>
      </c>
      <c r="B184" s="2172"/>
      <c r="C184" s="1727">
        <f>SUM(C180:C183)</f>
        <v>32649</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1905</v>
      </c>
      <c r="B185" s="2168"/>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34481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34481</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27101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27101</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5000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5000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7979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5759</v>
      </c>
      <c r="D270" s="574">
        <v>0</v>
      </c>
      <c r="E270" s="468"/>
      <c r="F270" s="574">
        <v>0</v>
      </c>
      <c r="G270" s="574">
        <v>0</v>
      </c>
      <c r="H270" s="468"/>
      <c r="I270" s="468"/>
      <c r="J270" s="468"/>
      <c r="K270" s="468"/>
    </row>
    <row r="271" spans="1:11" ht="12.75" customHeight="1" thickTop="1" thickBot="1" x14ac:dyDescent="0.25">
      <c r="A271" s="463" t="s">
        <v>395</v>
      </c>
      <c r="B271" s="470">
        <v>4992</v>
      </c>
      <c r="C271" s="573">
        <v>18601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98921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131570</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2051300</v>
      </c>
      <c r="D275" s="1735">
        <f t="shared" si="12"/>
        <v>130821</v>
      </c>
      <c r="E275" s="1735">
        <f t="shared" si="12"/>
        <v>217686</v>
      </c>
      <c r="F275" s="1735">
        <f t="shared" si="12"/>
        <v>174814</v>
      </c>
      <c r="G275" s="1735">
        <f t="shared" si="12"/>
        <v>30140</v>
      </c>
      <c r="H275" s="1735">
        <f t="shared" si="12"/>
        <v>136245</v>
      </c>
      <c r="I275" s="1735">
        <f t="shared" si="12"/>
        <v>26359</v>
      </c>
      <c r="J275" s="1735">
        <f t="shared" si="12"/>
        <v>172283</v>
      </c>
      <c r="K275" s="1722">
        <f t="shared" si="12"/>
        <v>23326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K31" sqref="K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3"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7"/>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3" t="s">
        <v>315</v>
      </c>
      <c r="B3" s="2184"/>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928742</v>
      </c>
      <c r="D5" s="466">
        <v>244284</v>
      </c>
      <c r="E5" s="466">
        <v>45980</v>
      </c>
      <c r="F5" s="466">
        <v>19046</v>
      </c>
      <c r="G5" s="466">
        <v>0</v>
      </c>
      <c r="H5" s="466">
        <v>0</v>
      </c>
      <c r="I5" s="467">
        <v>0</v>
      </c>
      <c r="J5" s="467">
        <v>0</v>
      </c>
      <c r="K5" s="1691">
        <f>SUM(C5:J5)</f>
        <v>1238052</v>
      </c>
      <c r="L5" s="466">
        <v>1276808</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109446</v>
      </c>
      <c r="D8" s="466">
        <v>16975</v>
      </c>
      <c r="E8" s="466">
        <v>0</v>
      </c>
      <c r="F8" s="466">
        <v>0</v>
      </c>
      <c r="G8" s="466">
        <v>0</v>
      </c>
      <c r="H8" s="466">
        <v>1188</v>
      </c>
      <c r="I8" s="467">
        <v>0</v>
      </c>
      <c r="J8" s="467">
        <v>0</v>
      </c>
      <c r="K8" s="1691">
        <f t="shared" si="0"/>
        <v>127609</v>
      </c>
      <c r="L8" s="466">
        <v>137230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20000</v>
      </c>
      <c r="D10" s="466">
        <v>6809</v>
      </c>
      <c r="E10" s="466">
        <v>785</v>
      </c>
      <c r="F10" s="466">
        <v>4192</v>
      </c>
      <c r="G10" s="466">
        <v>0</v>
      </c>
      <c r="H10" s="466">
        <v>0</v>
      </c>
      <c r="I10" s="467">
        <v>0</v>
      </c>
      <c r="J10" s="467">
        <v>0</v>
      </c>
      <c r="K10" s="1691">
        <f t="shared" si="0"/>
        <v>31786</v>
      </c>
      <c r="L10" s="466">
        <v>39123</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79</v>
      </c>
      <c r="F13" s="466">
        <v>152</v>
      </c>
      <c r="G13" s="466">
        <v>0</v>
      </c>
      <c r="H13" s="466">
        <v>0</v>
      </c>
      <c r="I13" s="467">
        <v>0</v>
      </c>
      <c r="J13" s="467">
        <v>0</v>
      </c>
      <c r="K13" s="1691">
        <f t="shared" si="0"/>
        <v>231</v>
      </c>
      <c r="L13" s="466">
        <v>275</v>
      </c>
    </row>
    <row r="14" spans="1:14" x14ac:dyDescent="0.2">
      <c r="A14" s="1524" t="s">
        <v>1020</v>
      </c>
      <c r="B14" s="613">
        <v>1500</v>
      </c>
      <c r="C14" s="467">
        <v>10784</v>
      </c>
      <c r="D14" s="466">
        <v>806</v>
      </c>
      <c r="E14" s="466">
        <v>132</v>
      </c>
      <c r="F14" s="466">
        <v>0</v>
      </c>
      <c r="G14" s="466">
        <v>0</v>
      </c>
      <c r="H14" s="466">
        <v>2780</v>
      </c>
      <c r="I14" s="467">
        <v>0</v>
      </c>
      <c r="J14" s="467">
        <v>0</v>
      </c>
      <c r="K14" s="1691">
        <f t="shared" si="0"/>
        <v>14502</v>
      </c>
      <c r="L14" s="466">
        <v>14775</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1068972</v>
      </c>
      <c r="D33" s="1690">
        <f t="shared" ref="D33:L33" si="1">SUM(D5:D32)</f>
        <v>268874</v>
      </c>
      <c r="E33" s="1690">
        <f t="shared" si="1"/>
        <v>46976</v>
      </c>
      <c r="F33" s="1690">
        <f t="shared" si="1"/>
        <v>23390</v>
      </c>
      <c r="G33" s="1690">
        <f t="shared" si="1"/>
        <v>0</v>
      </c>
      <c r="H33" s="1690">
        <f t="shared" si="1"/>
        <v>3968</v>
      </c>
      <c r="I33" s="1690">
        <f t="shared" si="1"/>
        <v>0</v>
      </c>
      <c r="J33" s="1690">
        <f t="shared" si="1"/>
        <v>0</v>
      </c>
      <c r="K33" s="1690">
        <f t="shared" si="1"/>
        <v>1412180</v>
      </c>
      <c r="L33" s="1690">
        <f t="shared" si="1"/>
        <v>1468211</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5000</v>
      </c>
      <c r="F37" s="466">
        <v>0</v>
      </c>
      <c r="G37" s="466">
        <v>0</v>
      </c>
      <c r="H37" s="466">
        <v>0</v>
      </c>
      <c r="I37" s="467">
        <v>0</v>
      </c>
      <c r="J37" s="467">
        <v>0</v>
      </c>
      <c r="K37" s="1691">
        <f t="shared" si="2"/>
        <v>5000</v>
      </c>
      <c r="L37" s="466">
        <v>5000</v>
      </c>
    </row>
    <row r="38" spans="1:14" x14ac:dyDescent="0.2">
      <c r="A38" s="1524" t="s">
        <v>207</v>
      </c>
      <c r="B38" s="613">
        <v>2130</v>
      </c>
      <c r="C38" s="466">
        <v>0</v>
      </c>
      <c r="D38" s="466">
        <v>0</v>
      </c>
      <c r="E38" s="466">
        <v>95</v>
      </c>
      <c r="F38" s="466">
        <v>572</v>
      </c>
      <c r="G38" s="466">
        <v>0</v>
      </c>
      <c r="H38" s="466">
        <v>0</v>
      </c>
      <c r="I38" s="467">
        <v>0</v>
      </c>
      <c r="J38" s="467">
        <v>0</v>
      </c>
      <c r="K38" s="1691">
        <f t="shared" si="2"/>
        <v>667</v>
      </c>
      <c r="L38" s="466">
        <v>500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56225</v>
      </c>
      <c r="D40" s="466">
        <v>14080</v>
      </c>
      <c r="E40" s="466">
        <v>0</v>
      </c>
      <c r="F40" s="466">
        <v>0</v>
      </c>
      <c r="G40" s="466">
        <v>0</v>
      </c>
      <c r="H40" s="466">
        <v>0</v>
      </c>
      <c r="I40" s="467">
        <v>0</v>
      </c>
      <c r="J40" s="467">
        <v>0</v>
      </c>
      <c r="K40" s="1691">
        <f t="shared" si="2"/>
        <v>70305</v>
      </c>
      <c r="L40" s="466">
        <v>70085</v>
      </c>
    </row>
    <row r="41" spans="1:14" x14ac:dyDescent="0.2">
      <c r="A41" s="1524" t="s">
        <v>1768</v>
      </c>
      <c r="B41" s="613">
        <v>2190</v>
      </c>
      <c r="C41" s="466">
        <v>0</v>
      </c>
      <c r="D41" s="466">
        <v>0</v>
      </c>
      <c r="E41" s="466">
        <v>2242</v>
      </c>
      <c r="F41" s="466">
        <v>0</v>
      </c>
      <c r="G41" s="466">
        <v>0</v>
      </c>
      <c r="H41" s="466">
        <v>0</v>
      </c>
      <c r="I41" s="467">
        <v>0</v>
      </c>
      <c r="J41" s="467">
        <v>0</v>
      </c>
      <c r="K41" s="1691">
        <f t="shared" si="2"/>
        <v>2242</v>
      </c>
      <c r="L41" s="466">
        <v>2300</v>
      </c>
    </row>
    <row r="42" spans="1:14" ht="12.75" customHeight="1" thickBot="1" x14ac:dyDescent="0.25">
      <c r="A42" s="1688" t="s">
        <v>581</v>
      </c>
      <c r="B42" s="1689" t="s">
        <v>740</v>
      </c>
      <c r="C42" s="1690">
        <f>SUM(C36:C41)</f>
        <v>56225</v>
      </c>
      <c r="D42" s="1690">
        <f t="shared" ref="D42:L42" si="3">SUM(D36:D41)</f>
        <v>14080</v>
      </c>
      <c r="E42" s="1690">
        <f t="shared" si="3"/>
        <v>7337</v>
      </c>
      <c r="F42" s="1690">
        <f t="shared" si="3"/>
        <v>572</v>
      </c>
      <c r="G42" s="1690">
        <f t="shared" si="3"/>
        <v>0</v>
      </c>
      <c r="H42" s="1690">
        <f t="shared" si="3"/>
        <v>0</v>
      </c>
      <c r="I42" s="1690">
        <f t="shared" si="3"/>
        <v>0</v>
      </c>
      <c r="J42" s="1690">
        <f t="shared" si="3"/>
        <v>0</v>
      </c>
      <c r="K42" s="1690">
        <f t="shared" si="3"/>
        <v>78214</v>
      </c>
      <c r="L42" s="1690">
        <f t="shared" si="3"/>
        <v>77885</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690</v>
      </c>
      <c r="F44" s="480">
        <v>0</v>
      </c>
      <c r="G44" s="480">
        <v>0</v>
      </c>
      <c r="H44" s="480">
        <v>0</v>
      </c>
      <c r="I44" s="467">
        <v>0</v>
      </c>
      <c r="J44" s="467">
        <v>0</v>
      </c>
      <c r="K44" s="1692">
        <f>SUM(C44:J44)</f>
        <v>690</v>
      </c>
      <c r="L44" s="480">
        <v>5941</v>
      </c>
    </row>
    <row r="45" spans="1:14" x14ac:dyDescent="0.2">
      <c r="A45" s="1524" t="s">
        <v>869</v>
      </c>
      <c r="B45" s="613">
        <v>2220</v>
      </c>
      <c r="C45" s="467">
        <v>5003</v>
      </c>
      <c r="D45" s="466">
        <v>1468</v>
      </c>
      <c r="E45" s="466">
        <v>10390</v>
      </c>
      <c r="F45" s="466">
        <v>2004</v>
      </c>
      <c r="G45" s="466">
        <v>20255</v>
      </c>
      <c r="H45" s="466">
        <v>0</v>
      </c>
      <c r="I45" s="467">
        <v>0</v>
      </c>
      <c r="J45" s="467">
        <v>0</v>
      </c>
      <c r="K45" s="1692">
        <f>SUM(C45:J45)</f>
        <v>39120</v>
      </c>
      <c r="L45" s="466">
        <v>37305</v>
      </c>
    </row>
    <row r="46" spans="1:14" x14ac:dyDescent="0.2">
      <c r="A46" s="1524" t="s">
        <v>870</v>
      </c>
      <c r="B46" s="613">
        <v>2230</v>
      </c>
      <c r="C46" s="467">
        <v>0</v>
      </c>
      <c r="D46" s="466">
        <v>0</v>
      </c>
      <c r="E46" s="466">
        <v>3625</v>
      </c>
      <c r="F46" s="466">
        <v>99</v>
      </c>
      <c r="G46" s="466">
        <v>0</v>
      </c>
      <c r="H46" s="466">
        <v>0</v>
      </c>
      <c r="I46" s="467">
        <v>0</v>
      </c>
      <c r="J46" s="467">
        <v>0</v>
      </c>
      <c r="K46" s="1692">
        <f>SUM(C46:J46)</f>
        <v>3724</v>
      </c>
      <c r="L46" s="466">
        <v>2500</v>
      </c>
    </row>
    <row r="47" spans="1:14" ht="12.75" customHeight="1" thickBot="1" x14ac:dyDescent="0.25">
      <c r="A47" s="1688" t="s">
        <v>582</v>
      </c>
      <c r="B47" s="1689" t="s">
        <v>32</v>
      </c>
      <c r="C47" s="1690">
        <f>SUM(C44:C46)</f>
        <v>5003</v>
      </c>
      <c r="D47" s="1690">
        <f t="shared" ref="D47:K47" si="4">SUM(D44:D46)</f>
        <v>1468</v>
      </c>
      <c r="E47" s="1690">
        <f t="shared" si="4"/>
        <v>14705</v>
      </c>
      <c r="F47" s="1690">
        <f t="shared" si="4"/>
        <v>2103</v>
      </c>
      <c r="G47" s="1690">
        <f t="shared" si="4"/>
        <v>20255</v>
      </c>
      <c r="H47" s="1690">
        <f t="shared" si="4"/>
        <v>0</v>
      </c>
      <c r="I47" s="1690">
        <f t="shared" si="4"/>
        <v>0</v>
      </c>
      <c r="J47" s="1690">
        <f t="shared" si="4"/>
        <v>0</v>
      </c>
      <c r="K47" s="1690">
        <f t="shared" si="4"/>
        <v>43534</v>
      </c>
      <c r="L47" s="1690">
        <f>SUM(L44:L46)</f>
        <v>45746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750</v>
      </c>
      <c r="D49" s="480">
        <v>0</v>
      </c>
      <c r="E49" s="480">
        <v>10224</v>
      </c>
      <c r="F49" s="480">
        <v>1019</v>
      </c>
      <c r="G49" s="480">
        <v>0</v>
      </c>
      <c r="H49" s="480">
        <v>6741</v>
      </c>
      <c r="I49" s="467">
        <v>0</v>
      </c>
      <c r="J49" s="467">
        <v>0</v>
      </c>
      <c r="K49" s="1692">
        <f>SUM(C49:J49)</f>
        <v>18734</v>
      </c>
      <c r="L49" s="466">
        <v>26800</v>
      </c>
    </row>
    <row r="50" spans="1:14" x14ac:dyDescent="0.2">
      <c r="A50" s="1524" t="s">
        <v>872</v>
      </c>
      <c r="B50" s="613">
        <v>2320</v>
      </c>
      <c r="C50" s="466">
        <v>91448</v>
      </c>
      <c r="D50" s="466">
        <v>31954</v>
      </c>
      <c r="E50" s="466">
        <v>4074</v>
      </c>
      <c r="F50" s="466">
        <v>0</v>
      </c>
      <c r="G50" s="466">
        <v>0</v>
      </c>
      <c r="H50" s="466">
        <v>0</v>
      </c>
      <c r="I50" s="467">
        <v>0</v>
      </c>
      <c r="J50" s="467">
        <v>0</v>
      </c>
      <c r="K50" s="1692">
        <f>SUM(C50:J50)</f>
        <v>127476</v>
      </c>
      <c r="L50" s="466">
        <v>125193</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92198</v>
      </c>
      <c r="D53" s="1690">
        <f t="shared" ref="D53:L53" si="5">SUM(D49:D52)</f>
        <v>31954</v>
      </c>
      <c r="E53" s="1690">
        <f t="shared" si="5"/>
        <v>14298</v>
      </c>
      <c r="F53" s="1690">
        <f t="shared" si="5"/>
        <v>1019</v>
      </c>
      <c r="G53" s="1690">
        <f t="shared" si="5"/>
        <v>0</v>
      </c>
      <c r="H53" s="1690">
        <f t="shared" si="5"/>
        <v>6741</v>
      </c>
      <c r="I53" s="1690">
        <f t="shared" si="5"/>
        <v>0</v>
      </c>
      <c r="J53" s="1690">
        <f t="shared" si="5"/>
        <v>0</v>
      </c>
      <c r="K53" s="1690">
        <f t="shared" si="5"/>
        <v>146210</v>
      </c>
      <c r="L53" s="1690">
        <f t="shared" si="5"/>
        <v>151993</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23872</v>
      </c>
      <c r="D55" s="480">
        <v>6499</v>
      </c>
      <c r="E55" s="480">
        <v>4115</v>
      </c>
      <c r="F55" s="480">
        <v>2093</v>
      </c>
      <c r="G55" s="480">
        <v>0</v>
      </c>
      <c r="H55" s="480">
        <v>2215</v>
      </c>
      <c r="I55" s="467">
        <v>0</v>
      </c>
      <c r="J55" s="467">
        <v>0</v>
      </c>
      <c r="K55" s="1692">
        <f>SUM(C55:J55)</f>
        <v>38794</v>
      </c>
      <c r="L55" s="480">
        <v>39891</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23872</v>
      </c>
      <c r="D57" s="1694">
        <f t="shared" ref="D57:K57" si="6">SUM(D55:D56)</f>
        <v>6499</v>
      </c>
      <c r="E57" s="1694">
        <f t="shared" si="6"/>
        <v>4115</v>
      </c>
      <c r="F57" s="1694">
        <f t="shared" si="6"/>
        <v>2093</v>
      </c>
      <c r="G57" s="1694">
        <f t="shared" si="6"/>
        <v>0</v>
      </c>
      <c r="H57" s="1694">
        <f t="shared" si="6"/>
        <v>2215</v>
      </c>
      <c r="I57" s="1694">
        <f t="shared" si="6"/>
        <v>0</v>
      </c>
      <c r="J57" s="1694">
        <f t="shared" si="6"/>
        <v>0</v>
      </c>
      <c r="K57" s="1694">
        <f t="shared" si="6"/>
        <v>38794</v>
      </c>
      <c r="L57" s="1690">
        <f>SUM(L55:L56)</f>
        <v>39891</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39607</v>
      </c>
      <c r="D60" s="466">
        <v>10440</v>
      </c>
      <c r="E60" s="466">
        <v>6595</v>
      </c>
      <c r="F60" s="466">
        <v>120</v>
      </c>
      <c r="G60" s="466">
        <v>0</v>
      </c>
      <c r="H60" s="466">
        <v>0</v>
      </c>
      <c r="I60" s="467">
        <v>0</v>
      </c>
      <c r="J60" s="467">
        <v>0</v>
      </c>
      <c r="K60" s="1692">
        <f t="shared" si="7"/>
        <v>56762</v>
      </c>
      <c r="L60" s="466">
        <v>56975</v>
      </c>
      <c r="M60" s="608"/>
      <c r="N60" s="608"/>
    </row>
    <row r="61" spans="1:14" s="343" customFormat="1" x14ac:dyDescent="0.2">
      <c r="A61" s="1524" t="s">
        <v>206</v>
      </c>
      <c r="B61" s="613">
        <v>2540</v>
      </c>
      <c r="C61" s="467">
        <v>42605</v>
      </c>
      <c r="D61" s="466">
        <v>8019</v>
      </c>
      <c r="E61" s="466">
        <v>92</v>
      </c>
      <c r="F61" s="466">
        <v>0</v>
      </c>
      <c r="G61" s="466">
        <v>0</v>
      </c>
      <c r="H61" s="466">
        <v>0</v>
      </c>
      <c r="I61" s="467">
        <v>0</v>
      </c>
      <c r="J61" s="467">
        <v>0</v>
      </c>
      <c r="K61" s="1692">
        <f t="shared" si="7"/>
        <v>50716</v>
      </c>
      <c r="L61" s="466">
        <v>54540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45907</v>
      </c>
      <c r="F63" s="466">
        <v>0</v>
      </c>
      <c r="G63" s="466">
        <v>0</v>
      </c>
      <c r="H63" s="466">
        <v>0</v>
      </c>
      <c r="I63" s="467">
        <v>0</v>
      </c>
      <c r="J63" s="467">
        <v>0</v>
      </c>
      <c r="K63" s="1692">
        <f t="shared" si="7"/>
        <v>45907</v>
      </c>
      <c r="L63" s="466">
        <v>45000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82212</v>
      </c>
      <c r="D65" s="1690">
        <f t="shared" ref="D65:L65" si="8">SUM(D59:D64)</f>
        <v>18459</v>
      </c>
      <c r="E65" s="1690">
        <f t="shared" si="8"/>
        <v>52594</v>
      </c>
      <c r="F65" s="1690">
        <f t="shared" si="8"/>
        <v>120</v>
      </c>
      <c r="G65" s="1690">
        <f t="shared" si="8"/>
        <v>0</v>
      </c>
      <c r="H65" s="1690">
        <f t="shared" si="8"/>
        <v>0</v>
      </c>
      <c r="I65" s="1690">
        <f t="shared" si="8"/>
        <v>0</v>
      </c>
      <c r="J65" s="1690">
        <f t="shared" si="8"/>
        <v>0</v>
      </c>
      <c r="K65" s="1690">
        <f t="shared" si="8"/>
        <v>153385</v>
      </c>
      <c r="L65" s="1690">
        <f t="shared" si="8"/>
        <v>156515</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259510</v>
      </c>
      <c r="D74" s="1697">
        <f t="shared" ref="D74:K74" si="10">SUM(D42,D47,D53,D57,D65,D72,D73)</f>
        <v>72460</v>
      </c>
      <c r="E74" s="1697">
        <f t="shared" si="10"/>
        <v>93049</v>
      </c>
      <c r="F74" s="1697">
        <f t="shared" si="10"/>
        <v>5907</v>
      </c>
      <c r="G74" s="1697">
        <f t="shared" si="10"/>
        <v>20255</v>
      </c>
      <c r="H74" s="1697">
        <f t="shared" si="10"/>
        <v>8956</v>
      </c>
      <c r="I74" s="1697">
        <f t="shared" si="10"/>
        <v>0</v>
      </c>
      <c r="J74" s="1697">
        <f t="shared" si="10"/>
        <v>0</v>
      </c>
      <c r="K74" s="1697">
        <f t="shared" si="10"/>
        <v>460137</v>
      </c>
      <c r="L74" s="1697">
        <f>SUM(L42,L47,L53,L57,L65,L72,L73)</f>
        <v>472030</v>
      </c>
    </row>
    <row r="75" spans="1:14" s="259" customFormat="1" ht="15.75" customHeight="1" thickTop="1" thickBot="1" x14ac:dyDescent="0.25">
      <c r="A75" s="1630" t="s">
        <v>49</v>
      </c>
      <c r="B75" s="1631" t="s">
        <v>596</v>
      </c>
      <c r="C75" s="571">
        <v>0</v>
      </c>
      <c r="D75" s="571">
        <v>0</v>
      </c>
      <c r="E75" s="571">
        <v>498</v>
      </c>
      <c r="F75" s="571">
        <v>142</v>
      </c>
      <c r="G75" s="571">
        <v>0</v>
      </c>
      <c r="H75" s="571">
        <v>0</v>
      </c>
      <c r="I75" s="529">
        <v>0</v>
      </c>
      <c r="J75" s="529">
        <v>0</v>
      </c>
      <c r="K75" s="1690">
        <f>SUM(C75:J75)</f>
        <v>640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88571</v>
      </c>
      <c r="I79" s="476"/>
      <c r="J79" s="476"/>
      <c r="K79" s="1691">
        <f t="shared" si="11"/>
        <v>88571</v>
      </c>
      <c r="L79" s="466">
        <v>140000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1129</v>
      </c>
      <c r="F83" s="615"/>
      <c r="G83" s="615"/>
      <c r="H83" s="466">
        <v>0</v>
      </c>
      <c r="I83" s="476"/>
      <c r="J83" s="476"/>
      <c r="K83" s="1691">
        <f t="shared" si="11"/>
        <v>1129</v>
      </c>
      <c r="L83" s="466">
        <v>1129</v>
      </c>
    </row>
    <row r="84" spans="1:12" ht="13.5" thickBot="1" x14ac:dyDescent="0.25">
      <c r="A84" s="1688" t="s">
        <v>1565</v>
      </c>
      <c r="B84" s="1698">
        <v>4100</v>
      </c>
      <c r="C84" s="615"/>
      <c r="D84" s="615"/>
      <c r="E84" s="1690">
        <f>SUM(E78:E83)</f>
        <v>1129</v>
      </c>
      <c r="F84" s="615"/>
      <c r="G84" s="615"/>
      <c r="H84" s="1690">
        <f>SUM(H78:H83)</f>
        <v>88571</v>
      </c>
      <c r="I84" s="476"/>
      <c r="J84" s="476"/>
      <c r="K84" s="1690">
        <f>SUM(K78:K83)</f>
        <v>89700</v>
      </c>
      <c r="L84" s="1690">
        <f>SUM(L78:L83)</f>
        <v>141129</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1129</v>
      </c>
      <c r="F102" s="615"/>
      <c r="G102" s="615"/>
      <c r="H102" s="1697">
        <f>SUM(H84,H92,H100,H101)</f>
        <v>88571</v>
      </c>
      <c r="I102" s="476"/>
      <c r="J102" s="476"/>
      <c r="K102" s="1697">
        <f>SUM(K84,K92,K100,K101)</f>
        <v>89700</v>
      </c>
      <c r="L102" s="1697">
        <f>SUM(L84,L92,L100,L101)</f>
        <v>141129</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1328482</v>
      </c>
      <c r="D114" s="1690">
        <f t="shared" ref="D114:K114" si="13">SUM(D33,D74,D75,D102,D112,D113)</f>
        <v>341334</v>
      </c>
      <c r="E114" s="1690">
        <f t="shared" si="13"/>
        <v>141652</v>
      </c>
      <c r="F114" s="1690">
        <f t="shared" si="13"/>
        <v>29439</v>
      </c>
      <c r="G114" s="1690">
        <f t="shared" si="13"/>
        <v>20255</v>
      </c>
      <c r="H114" s="1690">
        <f>SUM(H33,H74,H75,H102,H112,H113)</f>
        <v>101495</v>
      </c>
      <c r="I114" s="1690">
        <f t="shared" si="13"/>
        <v>0</v>
      </c>
      <c r="J114" s="1690">
        <f t="shared" si="13"/>
        <v>0</v>
      </c>
      <c r="K114" s="1690">
        <f t="shared" si="13"/>
        <v>1962657</v>
      </c>
      <c r="L114" s="1690">
        <f>SUM(L33,L74,L75,L102,L112,L113)</f>
        <v>2081370</v>
      </c>
    </row>
    <row r="115" spans="1:14" ht="13.5" thickTop="1" x14ac:dyDescent="0.2">
      <c r="A115" s="2175" t="s">
        <v>1053</v>
      </c>
      <c r="B115" s="2176"/>
      <c r="C115" s="617"/>
      <c r="D115" s="617"/>
      <c r="E115" s="617"/>
      <c r="F115" s="617"/>
      <c r="G115" s="617"/>
      <c r="H115" s="617"/>
      <c r="I115" s="617"/>
      <c r="J115" s="617"/>
      <c r="K115" s="1704">
        <f>'Revenues 9-14'!C275-'Expenditures 15-22'!K114</f>
        <v>88643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0" t="s">
        <v>314</v>
      </c>
      <c r="B117" s="2181"/>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40463</v>
      </c>
      <c r="F124" s="466">
        <v>47426</v>
      </c>
      <c r="G124" s="466">
        <v>7569</v>
      </c>
      <c r="H124" s="466">
        <v>0</v>
      </c>
      <c r="I124" s="467">
        <v>0</v>
      </c>
      <c r="J124" s="467">
        <v>0</v>
      </c>
      <c r="K124" s="1690">
        <f>SUM(C124:J124)</f>
        <v>95458</v>
      </c>
      <c r="L124" s="466">
        <v>101300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40463</v>
      </c>
      <c r="F127" s="1690">
        <f t="shared" si="14"/>
        <v>47426</v>
      </c>
      <c r="G127" s="1690">
        <f t="shared" si="14"/>
        <v>7569</v>
      </c>
      <c r="H127" s="1690">
        <f t="shared" si="14"/>
        <v>0</v>
      </c>
      <c r="I127" s="1690">
        <f t="shared" si="14"/>
        <v>0</v>
      </c>
      <c r="J127" s="1690">
        <f t="shared" si="14"/>
        <v>0</v>
      </c>
      <c r="K127" s="1690">
        <f t="shared" si="14"/>
        <v>95458</v>
      </c>
      <c r="L127" s="1690">
        <f t="shared" si="14"/>
        <v>101300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40463</v>
      </c>
      <c r="F129" s="1697">
        <f t="shared" si="15"/>
        <v>47426</v>
      </c>
      <c r="G129" s="1697">
        <f t="shared" si="15"/>
        <v>7569</v>
      </c>
      <c r="H129" s="1697">
        <f t="shared" si="15"/>
        <v>0</v>
      </c>
      <c r="I129" s="1697">
        <f t="shared" si="15"/>
        <v>0</v>
      </c>
      <c r="J129" s="1697">
        <f t="shared" si="15"/>
        <v>0</v>
      </c>
      <c r="K129" s="1697">
        <f t="shared" si="15"/>
        <v>95458</v>
      </c>
      <c r="L129" s="1697">
        <f t="shared" si="15"/>
        <v>101300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92" t="s">
        <v>641</v>
      </c>
      <c r="B151" s="2172"/>
      <c r="C151" s="1690">
        <f>SUM(C129,C130,C139,C149,C150)</f>
        <v>0</v>
      </c>
      <c r="D151" s="1690">
        <f t="shared" ref="D151:K151" si="16">SUM(D129,D130,D139,D149,D150)</f>
        <v>0</v>
      </c>
      <c r="E151" s="1690">
        <f t="shared" si="16"/>
        <v>40463</v>
      </c>
      <c r="F151" s="1690">
        <f t="shared" si="16"/>
        <v>47426</v>
      </c>
      <c r="G151" s="1690">
        <f t="shared" si="16"/>
        <v>7569</v>
      </c>
      <c r="H151" s="1690">
        <f t="shared" si="16"/>
        <v>0</v>
      </c>
      <c r="I151" s="1690">
        <f t="shared" si="16"/>
        <v>0</v>
      </c>
      <c r="J151" s="1690">
        <f t="shared" si="16"/>
        <v>0</v>
      </c>
      <c r="K151" s="1690">
        <f t="shared" si="16"/>
        <v>95458</v>
      </c>
      <c r="L151" s="1690">
        <f>SUM(L129,L130,L139,L149,L150)</f>
        <v>101300</v>
      </c>
    </row>
    <row r="152" spans="1:14" ht="12.75" customHeight="1" thickTop="1" x14ac:dyDescent="0.2">
      <c r="A152" s="2195" t="s">
        <v>1240</v>
      </c>
      <c r="B152" s="2196"/>
      <c r="C152" s="617"/>
      <c r="D152" s="617"/>
      <c r="E152" s="617"/>
      <c r="F152" s="617"/>
      <c r="G152" s="617"/>
      <c r="H152" s="617"/>
      <c r="I152" s="617"/>
      <c r="J152" s="615"/>
      <c r="K152" s="1704">
        <f>'Revenues 9-14'!D275-'Expenditures 15-22'!K151</f>
        <v>35363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0" t="s">
        <v>642</v>
      </c>
      <c r="B154" s="2182"/>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54001</v>
      </c>
      <c r="I169" s="615"/>
      <c r="J169" s="615"/>
      <c r="K169" s="1691">
        <f>SUM(C169:H169)</f>
        <v>54001</v>
      </c>
      <c r="L169" s="655">
        <v>54002</v>
      </c>
    </row>
    <row r="170" spans="1:14" ht="33.75" customHeight="1" x14ac:dyDescent="0.2">
      <c r="A170" s="668" t="s">
        <v>1769</v>
      </c>
      <c r="B170" s="670" t="s">
        <v>31</v>
      </c>
      <c r="C170" s="615"/>
      <c r="D170" s="615"/>
      <c r="E170" s="615"/>
      <c r="F170" s="615"/>
      <c r="G170" s="615"/>
      <c r="H170" s="567">
        <v>155000</v>
      </c>
      <c r="I170" s="615"/>
      <c r="J170" s="615"/>
      <c r="K170" s="1691">
        <f>SUM(C170:J170)</f>
        <v>155000</v>
      </c>
      <c r="L170" s="567">
        <v>155000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209001</v>
      </c>
      <c r="I172" s="637"/>
      <c r="J172" s="615"/>
      <c r="K172" s="1697">
        <f>SUM(K168,K169,K170,K171)</f>
        <v>209001</v>
      </c>
      <c r="L172" s="1697">
        <f>SUM(L168,L169,L170,L171)</f>
        <v>209002</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209001</v>
      </c>
      <c r="I174" s="637"/>
      <c r="J174" s="615"/>
      <c r="K174" s="1697">
        <f>SUM(K160,K172,K173)</f>
        <v>209001</v>
      </c>
      <c r="L174" s="1697">
        <f>SUM(L160,L172,L173)</f>
        <v>209002</v>
      </c>
    </row>
    <row r="175" spans="1:14" ht="13.5" thickTop="1" x14ac:dyDescent="0.2">
      <c r="A175" s="2175" t="s">
        <v>1053</v>
      </c>
      <c r="B175" s="2176"/>
      <c r="C175" s="615"/>
      <c r="D175" s="615"/>
      <c r="E175" s="615"/>
      <c r="F175" s="615"/>
      <c r="G175" s="615"/>
      <c r="H175" s="617"/>
      <c r="I175" s="615"/>
      <c r="J175" s="615"/>
      <c r="K175" s="1704">
        <f>'Revenues 9-14'!E275-'Expenditures 15-22'!K174</f>
        <v>8685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158156</v>
      </c>
      <c r="F182" s="467">
        <v>12457</v>
      </c>
      <c r="G182" s="467">
        <v>0</v>
      </c>
      <c r="H182" s="466">
        <v>0</v>
      </c>
      <c r="I182" s="467">
        <v>0</v>
      </c>
      <c r="J182" s="467">
        <v>0</v>
      </c>
      <c r="K182" s="1691">
        <f>SUM(C182:J182)</f>
        <v>170613</v>
      </c>
      <c r="L182" s="466">
        <v>171000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158156</v>
      </c>
      <c r="F184" s="1697">
        <f t="shared" si="17"/>
        <v>12457</v>
      </c>
      <c r="G184" s="1697">
        <f t="shared" si="17"/>
        <v>0</v>
      </c>
      <c r="H184" s="1697">
        <f t="shared" si="17"/>
        <v>0</v>
      </c>
      <c r="I184" s="1697">
        <f t="shared" si="17"/>
        <v>0</v>
      </c>
      <c r="J184" s="1697">
        <f t="shared" si="17"/>
        <v>0</v>
      </c>
      <c r="K184" s="1697">
        <f>SUM(K180,K182,K183)</f>
        <v>170613</v>
      </c>
      <c r="L184" s="1697">
        <f>SUM(L180, L182:L183)</f>
        <v>171000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158156</v>
      </c>
      <c r="F210" s="1690">
        <f>SUM(F184,F185)</f>
        <v>12457</v>
      </c>
      <c r="G210" s="1690">
        <f>SUM(G184,G185)</f>
        <v>0</v>
      </c>
      <c r="H210" s="1690">
        <f>SUM(H184,H185,H196,H208,H209)</f>
        <v>0</v>
      </c>
      <c r="I210" s="1690">
        <f>SUM(I184,I185)</f>
        <v>0</v>
      </c>
      <c r="J210" s="1690">
        <f>SUM(J184,J185)</f>
        <v>0</v>
      </c>
      <c r="K210" s="1691">
        <f>SUM(K184,K185,K196,K208,K209)</f>
        <v>170613</v>
      </c>
      <c r="L210" s="1690">
        <f>SUM(L184,L185,L196,L208,L209)</f>
        <v>171000</v>
      </c>
    </row>
    <row r="211" spans="1:14" ht="13.5" thickTop="1" x14ac:dyDescent="0.2">
      <c r="A211" s="2175" t="s">
        <v>1053</v>
      </c>
      <c r="B211" s="2176"/>
      <c r="C211" s="617"/>
      <c r="D211" s="617"/>
      <c r="E211" s="617"/>
      <c r="F211" s="617"/>
      <c r="G211" s="617"/>
      <c r="H211" s="617"/>
      <c r="I211" s="615"/>
      <c r="J211" s="615"/>
      <c r="K211" s="1704">
        <f>'Revenues 9-14'!F275-'Expenditures 15-22'!K210</f>
        <v>4201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7" t="s">
        <v>1022</v>
      </c>
      <c r="B213" s="2198"/>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13609</v>
      </c>
      <c r="E215" s="615"/>
      <c r="F215" s="615"/>
      <c r="G215" s="615"/>
      <c r="H215" s="615"/>
      <c r="I215" s="615"/>
      <c r="J215" s="615"/>
      <c r="K215" s="1691">
        <f>D215</f>
        <v>13609</v>
      </c>
      <c r="L215" s="466">
        <v>13800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6906</v>
      </c>
      <c r="E217" s="615"/>
      <c r="F217" s="615"/>
      <c r="G217" s="615"/>
      <c r="H217" s="615"/>
      <c r="I217" s="615"/>
      <c r="J217" s="615"/>
      <c r="K217" s="1691">
        <f t="shared" si="19"/>
        <v>6906</v>
      </c>
      <c r="L217" s="466">
        <v>10000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290</v>
      </c>
      <c r="E219" s="615"/>
      <c r="F219" s="615"/>
      <c r="G219" s="615"/>
      <c r="H219" s="615"/>
      <c r="I219" s="615"/>
      <c r="J219" s="615"/>
      <c r="K219" s="1691">
        <f t="shared" si="19"/>
        <v>290</v>
      </c>
      <c r="L219" s="466">
        <v>300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1105</v>
      </c>
      <c r="E223" s="615"/>
      <c r="F223" s="615"/>
      <c r="G223" s="615"/>
      <c r="H223" s="615"/>
      <c r="I223" s="615"/>
      <c r="J223" s="615"/>
      <c r="K223" s="1691">
        <f t="shared" si="19"/>
        <v>1105</v>
      </c>
      <c r="L223" s="466">
        <v>1225</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21910</v>
      </c>
      <c r="E229" s="615"/>
      <c r="F229" s="615"/>
      <c r="G229" s="615"/>
      <c r="H229" s="615"/>
      <c r="I229" s="615"/>
      <c r="J229" s="615"/>
      <c r="K229" s="1690">
        <f>SUM(K215:K228)</f>
        <v>21910</v>
      </c>
      <c r="L229" s="1690">
        <f>SUM(L215:L228)</f>
        <v>25325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815</v>
      </c>
      <c r="E236" s="615"/>
      <c r="F236" s="615"/>
      <c r="G236" s="615"/>
      <c r="H236" s="615"/>
      <c r="I236" s="615"/>
      <c r="J236" s="615"/>
      <c r="K236" s="1691">
        <f t="shared" si="20"/>
        <v>815</v>
      </c>
      <c r="L236" s="466">
        <v>800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815</v>
      </c>
      <c r="E238" s="615"/>
      <c r="F238" s="615"/>
      <c r="G238" s="615"/>
      <c r="H238" s="615"/>
      <c r="I238" s="615"/>
      <c r="J238" s="615"/>
      <c r="K238" s="1690">
        <f>SUM(K232:K237)</f>
        <v>815</v>
      </c>
      <c r="L238" s="1690">
        <f>SUM(L232:L237)</f>
        <v>800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70</v>
      </c>
      <c r="E241" s="615"/>
      <c r="F241" s="615"/>
      <c r="G241" s="615"/>
      <c r="H241" s="615"/>
      <c r="I241" s="615"/>
      <c r="J241" s="615"/>
      <c r="K241" s="1692">
        <f>D241</f>
        <v>70</v>
      </c>
      <c r="L241" s="466">
        <v>75</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70</v>
      </c>
      <c r="E243" s="615"/>
      <c r="F243" s="615"/>
      <c r="G243" s="615"/>
      <c r="H243" s="615"/>
      <c r="I243" s="615"/>
      <c r="J243" s="615"/>
      <c r="K243" s="1690">
        <f>SUM(K240:K242)</f>
        <v>70</v>
      </c>
      <c r="L243" s="1690">
        <f>SUM(L240:L242)</f>
        <v>75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57</v>
      </c>
      <c r="E245" s="615"/>
      <c r="F245" s="615"/>
      <c r="G245" s="615"/>
      <c r="H245" s="615"/>
      <c r="I245" s="615"/>
      <c r="J245" s="615"/>
      <c r="K245" s="1692">
        <f>D245</f>
        <v>57</v>
      </c>
      <c r="L245" s="480">
        <v>75</v>
      </c>
    </row>
    <row r="246" spans="1:12" x14ac:dyDescent="0.2">
      <c r="A246" s="1524" t="s">
        <v>872</v>
      </c>
      <c r="B246" s="613">
        <v>2320</v>
      </c>
      <c r="C246" s="615"/>
      <c r="D246" s="466">
        <v>5423</v>
      </c>
      <c r="E246" s="615"/>
      <c r="F246" s="615"/>
      <c r="G246" s="615"/>
      <c r="H246" s="615"/>
      <c r="I246" s="615"/>
      <c r="J246" s="615"/>
      <c r="K246" s="1692">
        <f t="shared" ref="K246:K256" si="21">D246</f>
        <v>5423</v>
      </c>
      <c r="L246" s="466">
        <v>5760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9875</v>
      </c>
      <c r="E254" s="615"/>
      <c r="F254" s="615"/>
      <c r="G254" s="615"/>
      <c r="H254" s="615"/>
      <c r="I254" s="615"/>
      <c r="J254" s="615"/>
      <c r="K254" s="1692">
        <f t="shared" si="21"/>
        <v>9875</v>
      </c>
      <c r="L254" s="466">
        <v>10050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15355</v>
      </c>
      <c r="E257" s="615"/>
      <c r="F257" s="615"/>
      <c r="G257" s="615"/>
      <c r="H257" s="615"/>
      <c r="I257" s="615"/>
      <c r="J257" s="615"/>
      <c r="K257" s="1690">
        <f>SUM(K245:K256)</f>
        <v>15355</v>
      </c>
      <c r="L257" s="1690">
        <f>SUM(L245:L256)</f>
        <v>15885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324</v>
      </c>
      <c r="E259" s="615"/>
      <c r="F259" s="615"/>
      <c r="G259" s="615"/>
      <c r="H259" s="615"/>
      <c r="I259" s="615"/>
      <c r="J259" s="615"/>
      <c r="K259" s="1692">
        <f>D259</f>
        <v>324</v>
      </c>
      <c r="L259" s="480">
        <v>400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324</v>
      </c>
      <c r="E261" s="615"/>
      <c r="F261" s="615"/>
      <c r="G261" s="615"/>
      <c r="H261" s="615"/>
      <c r="I261" s="615"/>
      <c r="J261" s="615"/>
      <c r="K261" s="1690">
        <f>SUM(K259:K260)</f>
        <v>324</v>
      </c>
      <c r="L261" s="1690">
        <f>SUM(L259:L260)</f>
        <v>400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7675</v>
      </c>
      <c r="E264" s="615"/>
      <c r="F264" s="615"/>
      <c r="G264" s="615"/>
      <c r="H264" s="615"/>
      <c r="I264" s="615"/>
      <c r="J264" s="615"/>
      <c r="K264" s="1692">
        <f t="shared" ref="K264:K269" si="22">D264</f>
        <v>7675</v>
      </c>
      <c r="L264" s="466">
        <v>8000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8030</v>
      </c>
      <c r="E266" s="615"/>
      <c r="F266" s="615"/>
      <c r="G266" s="615"/>
      <c r="H266" s="615"/>
      <c r="I266" s="615"/>
      <c r="J266" s="615"/>
      <c r="K266" s="1692">
        <f t="shared" si="22"/>
        <v>8030</v>
      </c>
      <c r="L266" s="466">
        <v>8500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15705</v>
      </c>
      <c r="E270" s="615"/>
      <c r="F270" s="615"/>
      <c r="G270" s="615"/>
      <c r="H270" s="615"/>
      <c r="I270" s="615"/>
      <c r="J270" s="615"/>
      <c r="K270" s="1690">
        <f>SUM(K263:K269)</f>
        <v>15705</v>
      </c>
      <c r="L270" s="1690">
        <f>SUM(L263:L269)</f>
        <v>16500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32269</v>
      </c>
      <c r="E279" s="615"/>
      <c r="F279" s="615"/>
      <c r="G279" s="615"/>
      <c r="H279" s="615"/>
      <c r="I279" s="615"/>
      <c r="J279" s="615"/>
      <c r="K279" s="1697">
        <f>SUM(K238,K243,K257,K261,K270,K277,K278)</f>
        <v>32269</v>
      </c>
      <c r="L279" s="1697">
        <f>SUM(L238,L243,L257,L261,L270,L277,L278)</f>
        <v>33660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3" t="s">
        <v>526</v>
      </c>
      <c r="B295" s="2194"/>
      <c r="C295" s="615"/>
      <c r="D295" s="1690">
        <f>SUM(D229,D279,D280,D285)</f>
        <v>54179</v>
      </c>
      <c r="E295" s="615"/>
      <c r="F295" s="615"/>
      <c r="G295" s="615"/>
      <c r="H295" s="1690">
        <f>H293</f>
        <v>0</v>
      </c>
      <c r="I295" s="615"/>
      <c r="J295" s="615"/>
      <c r="K295" s="1690">
        <f>SUM(K229,K279,K280,K285,K293,K294)</f>
        <v>54179</v>
      </c>
      <c r="L295" s="1690">
        <f>SUM(L229,L279,L280,L285,L293,L294)</f>
        <v>58985</v>
      </c>
    </row>
    <row r="296" spans="1:14" ht="13.5" thickTop="1" x14ac:dyDescent="0.2">
      <c r="A296" s="2175" t="s">
        <v>1053</v>
      </c>
      <c r="B296" s="2176"/>
      <c r="C296" s="615"/>
      <c r="D296" s="617"/>
      <c r="E296" s="615"/>
      <c r="F296" s="615"/>
      <c r="G296" s="615"/>
      <c r="H296" s="686"/>
      <c r="I296" s="615"/>
      <c r="J296" s="615"/>
      <c r="K296" s="1704">
        <f>'Revenues 9-14'!G275-'Expenditures 15-22'!K295</f>
        <v>-24039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5" t="s">
        <v>145</v>
      </c>
      <c r="B298" s="2179"/>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1284</v>
      </c>
      <c r="F301" s="466">
        <v>0</v>
      </c>
      <c r="G301" s="466">
        <v>28350</v>
      </c>
      <c r="H301" s="466">
        <v>0</v>
      </c>
      <c r="I301" s="467">
        <v>0</v>
      </c>
      <c r="J301" s="467">
        <v>0</v>
      </c>
      <c r="K301" s="1691">
        <f>SUM(C301:J301)</f>
        <v>29634</v>
      </c>
      <c r="L301" s="467">
        <v>100000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1284</v>
      </c>
      <c r="F303" s="1697">
        <f t="shared" si="23"/>
        <v>0</v>
      </c>
      <c r="G303" s="1697">
        <f t="shared" si="23"/>
        <v>28350</v>
      </c>
      <c r="H303" s="1697">
        <f t="shared" si="23"/>
        <v>0</v>
      </c>
      <c r="I303" s="1697">
        <f t="shared" si="23"/>
        <v>0</v>
      </c>
      <c r="J303" s="1697">
        <f t="shared" si="23"/>
        <v>0</v>
      </c>
      <c r="K303" s="1697">
        <f t="shared" si="23"/>
        <v>29634</v>
      </c>
      <c r="L303" s="1697">
        <f t="shared" si="23"/>
        <v>100000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90" t="s">
        <v>295</v>
      </c>
      <c r="B312" s="2191"/>
      <c r="C312" s="1690">
        <f>SUM(C303)</f>
        <v>0</v>
      </c>
      <c r="D312" s="1690">
        <f>SUM(D303)</f>
        <v>0</v>
      </c>
      <c r="E312" s="1690">
        <f>SUM(E303,E310)</f>
        <v>1284</v>
      </c>
      <c r="F312" s="1690">
        <f>SUM(F303)</f>
        <v>0</v>
      </c>
      <c r="G312" s="1690">
        <f>SUM(G303)</f>
        <v>28350</v>
      </c>
      <c r="H312" s="1690">
        <f>SUM(H303,H310)</f>
        <v>0</v>
      </c>
      <c r="I312" s="1690">
        <f>SUM(I303)</f>
        <v>0</v>
      </c>
      <c r="J312" s="1690">
        <f>SUM(J303)</f>
        <v>0</v>
      </c>
      <c r="K312" s="1690">
        <f>SUM(K303,K310,K311)</f>
        <v>29634</v>
      </c>
      <c r="L312" s="1690">
        <f>SUM(L303,L310,L311)</f>
        <v>100000</v>
      </c>
      <c r="M312" s="664"/>
      <c r="N312" s="664"/>
    </row>
    <row r="313" spans="1:14" ht="13.5" thickTop="1" x14ac:dyDescent="0.2">
      <c r="A313" s="2186" t="s">
        <v>1053</v>
      </c>
      <c r="B313" s="2187"/>
      <c r="C313" s="625"/>
      <c r="D313" s="625"/>
      <c r="E313" s="625"/>
      <c r="F313" s="625"/>
      <c r="G313" s="625"/>
      <c r="H313" s="625"/>
      <c r="I313" s="625"/>
      <c r="J313" s="625"/>
      <c r="K313" s="1705">
        <f>'Revenues 9-14'!H275-'Expenditures 15-22'!K312</f>
        <v>106611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9" t="s">
        <v>151</v>
      </c>
      <c r="B315" s="2200"/>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1" t="s">
        <v>954</v>
      </c>
      <c r="B317" s="2200"/>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10375</v>
      </c>
      <c r="F320" s="467">
        <v>0</v>
      </c>
      <c r="G320" s="467">
        <v>0</v>
      </c>
      <c r="H320" s="467">
        <v>0</v>
      </c>
      <c r="I320" s="467">
        <v>0</v>
      </c>
      <c r="J320" s="467">
        <v>0</v>
      </c>
      <c r="K320" s="1691">
        <f t="shared" ref="K320:K327" si="24">SUM(C320:J320)</f>
        <v>10375</v>
      </c>
      <c r="L320" s="467">
        <v>10375</v>
      </c>
      <c r="M320" s="664"/>
      <c r="N320" s="664"/>
    </row>
    <row r="321" spans="1:14" s="673" customFormat="1" x14ac:dyDescent="0.2">
      <c r="A321" s="1539" t="s">
        <v>318</v>
      </c>
      <c r="B321" s="696" t="s">
        <v>301</v>
      </c>
      <c r="C321" s="467">
        <v>0</v>
      </c>
      <c r="D321" s="467">
        <v>0</v>
      </c>
      <c r="E321" s="467">
        <v>839</v>
      </c>
      <c r="F321" s="467">
        <v>0</v>
      </c>
      <c r="G321" s="467">
        <v>0</v>
      </c>
      <c r="H321" s="467">
        <v>0</v>
      </c>
      <c r="I321" s="467">
        <v>0</v>
      </c>
      <c r="J321" s="467">
        <v>0</v>
      </c>
      <c r="K321" s="1691">
        <f t="shared" si="24"/>
        <v>839</v>
      </c>
      <c r="L321" s="467">
        <v>1500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1421</v>
      </c>
      <c r="F323" s="467">
        <v>0</v>
      </c>
      <c r="G323" s="467">
        <v>0</v>
      </c>
      <c r="H323" s="467">
        <v>0</v>
      </c>
      <c r="I323" s="467">
        <v>0</v>
      </c>
      <c r="J323" s="467">
        <v>0</v>
      </c>
      <c r="K323" s="1691">
        <f t="shared" si="24"/>
        <v>1421</v>
      </c>
      <c r="L323" s="467">
        <v>4300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95798</v>
      </c>
      <c r="D325" s="467">
        <v>20936</v>
      </c>
      <c r="E325" s="467">
        <v>3898</v>
      </c>
      <c r="F325" s="467">
        <v>0</v>
      </c>
      <c r="G325" s="467">
        <v>8280</v>
      </c>
      <c r="H325" s="467">
        <v>0</v>
      </c>
      <c r="I325" s="467">
        <v>0</v>
      </c>
      <c r="J325" s="467">
        <v>0</v>
      </c>
      <c r="K325" s="1691">
        <f t="shared" si="24"/>
        <v>128912</v>
      </c>
      <c r="L325" s="467">
        <v>130455</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1653</v>
      </c>
      <c r="F327" s="467">
        <v>0</v>
      </c>
      <c r="G327" s="467">
        <v>0</v>
      </c>
      <c r="H327" s="467">
        <v>0</v>
      </c>
      <c r="I327" s="467">
        <v>0</v>
      </c>
      <c r="J327" s="467">
        <v>0</v>
      </c>
      <c r="K327" s="1691">
        <f t="shared" si="24"/>
        <v>1653</v>
      </c>
      <c r="L327" s="467">
        <v>40000</v>
      </c>
      <c r="M327" s="664"/>
      <c r="N327" s="664"/>
    </row>
    <row r="328" spans="1:14" s="673" customFormat="1" x14ac:dyDescent="0.2">
      <c r="A328" s="1540" t="s">
        <v>492</v>
      </c>
      <c r="B328" s="689" t="s">
        <v>1194</v>
      </c>
      <c r="C328" s="474">
        <v>0</v>
      </c>
      <c r="D328" s="474">
        <v>0</v>
      </c>
      <c r="E328" s="474">
        <v>22876</v>
      </c>
      <c r="F328" s="474">
        <v>0</v>
      </c>
      <c r="G328" s="474">
        <v>0</v>
      </c>
      <c r="H328" s="474">
        <v>0</v>
      </c>
      <c r="I328" s="474">
        <v>0</v>
      </c>
      <c r="J328" s="474">
        <v>0</v>
      </c>
      <c r="K328" s="1719">
        <f>SUM(C328:J328)</f>
        <v>22876</v>
      </c>
      <c r="L328" s="474">
        <v>22500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95798</v>
      </c>
      <c r="D330" s="1690">
        <f t="shared" ref="D330:J330" si="25">SUM(D319:D329)</f>
        <v>20936</v>
      </c>
      <c r="E330" s="1690">
        <f t="shared" si="25"/>
        <v>41062</v>
      </c>
      <c r="F330" s="1690">
        <f t="shared" si="25"/>
        <v>0</v>
      </c>
      <c r="G330" s="1690">
        <f t="shared" si="25"/>
        <v>8280</v>
      </c>
      <c r="H330" s="1690">
        <f t="shared" si="25"/>
        <v>0</v>
      </c>
      <c r="I330" s="1690">
        <f t="shared" si="25"/>
        <v>0</v>
      </c>
      <c r="J330" s="1690">
        <f t="shared" si="25"/>
        <v>0</v>
      </c>
      <c r="K330" s="1690">
        <f>SUM(K319:K329)</f>
        <v>166076</v>
      </c>
      <c r="L330" s="1690">
        <f>SUM(L319:L329)</f>
        <v>209130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95798</v>
      </c>
      <c r="D342" s="1690">
        <f>SUM(D330)</f>
        <v>20936</v>
      </c>
      <c r="E342" s="1690">
        <f>SUM(E330)</f>
        <v>41062</v>
      </c>
      <c r="F342" s="1690">
        <f>SUM(F330)</f>
        <v>0</v>
      </c>
      <c r="G342" s="1690">
        <f>SUM(G330)</f>
        <v>8280</v>
      </c>
      <c r="H342" s="1690">
        <f>SUM(H330,H334,H340)</f>
        <v>0</v>
      </c>
      <c r="I342" s="1690">
        <f>SUM(I330)</f>
        <v>0</v>
      </c>
      <c r="J342" s="1690">
        <f>SUM(J330)</f>
        <v>0</v>
      </c>
      <c r="K342" s="1690">
        <f>SUM(K330,K334,K340)</f>
        <v>166076</v>
      </c>
      <c r="L342" s="1697">
        <f>SUM(L330,L340,L341)</f>
        <v>209130</v>
      </c>
    </row>
    <row r="343" spans="1:14" ht="12.75" customHeight="1" thickTop="1" x14ac:dyDescent="0.2">
      <c r="A343" s="2188" t="s">
        <v>1053</v>
      </c>
      <c r="B343" s="2189"/>
      <c r="C343" s="615"/>
      <c r="D343" s="615"/>
      <c r="E343" s="615"/>
      <c r="F343" s="615"/>
      <c r="G343" s="615"/>
      <c r="H343" s="615"/>
      <c r="I343" s="615"/>
      <c r="J343" s="615"/>
      <c r="K343" s="1704">
        <f>'Revenues 9-14'!J275-'Expenditures 15-22'!K342</f>
        <v>6207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8" t="s">
        <v>1023</v>
      </c>
      <c r="B345" s="2179"/>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18328</v>
      </c>
      <c r="F348" s="466">
        <v>0</v>
      </c>
      <c r="G348" s="466">
        <v>0</v>
      </c>
      <c r="H348" s="466">
        <v>0</v>
      </c>
      <c r="I348" s="467">
        <v>0</v>
      </c>
      <c r="J348" s="467">
        <v>0</v>
      </c>
      <c r="K348" s="1691">
        <f>SUM(C348:J348)</f>
        <v>18328</v>
      </c>
      <c r="L348" s="466">
        <v>13000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18328</v>
      </c>
      <c r="F350" s="1690">
        <f t="shared" si="26"/>
        <v>0</v>
      </c>
      <c r="G350" s="1690">
        <f t="shared" si="26"/>
        <v>0</v>
      </c>
      <c r="H350" s="1690">
        <f t="shared" si="26"/>
        <v>0</v>
      </c>
      <c r="I350" s="1690">
        <f t="shared" si="26"/>
        <v>0</v>
      </c>
      <c r="J350" s="1690">
        <f t="shared" si="26"/>
        <v>0</v>
      </c>
      <c r="K350" s="1690">
        <f t="shared" si="26"/>
        <v>18328</v>
      </c>
      <c r="L350" s="1690">
        <f t="shared" si="26"/>
        <v>13000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18328</v>
      </c>
      <c r="F352" s="1690">
        <f t="shared" si="27"/>
        <v>0</v>
      </c>
      <c r="G352" s="1690">
        <f t="shared" si="27"/>
        <v>0</v>
      </c>
      <c r="H352" s="1690">
        <f t="shared" si="27"/>
        <v>0</v>
      </c>
      <c r="I352" s="1690">
        <f t="shared" si="27"/>
        <v>0</v>
      </c>
      <c r="J352" s="1690">
        <f t="shared" si="27"/>
        <v>0</v>
      </c>
      <c r="K352" s="1690">
        <f t="shared" si="27"/>
        <v>18328</v>
      </c>
      <c r="L352" s="1690">
        <f t="shared" si="27"/>
        <v>13000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18328</v>
      </c>
      <c r="F367" s="1690">
        <f t="shared" si="28"/>
        <v>0</v>
      </c>
      <c r="G367" s="1690">
        <f t="shared" si="28"/>
        <v>0</v>
      </c>
      <c r="H367" s="1690">
        <f t="shared" si="28"/>
        <v>0</v>
      </c>
      <c r="I367" s="1690">
        <f t="shared" si="28"/>
        <v>0</v>
      </c>
      <c r="J367" s="1690">
        <f t="shared" si="28"/>
        <v>0</v>
      </c>
      <c r="K367" s="1690">
        <f t="shared" si="28"/>
        <v>18328</v>
      </c>
      <c r="L367" s="1690">
        <f t="shared" si="28"/>
        <v>13000</v>
      </c>
    </row>
    <row r="368" spans="1:14" ht="13.5" thickTop="1" x14ac:dyDescent="0.2">
      <c r="A368" s="2175" t="s">
        <v>1053</v>
      </c>
      <c r="B368" s="2176"/>
      <c r="C368" s="653"/>
      <c r="D368" s="653"/>
      <c r="E368" s="625"/>
      <c r="F368" s="625"/>
      <c r="G368" s="625"/>
      <c r="H368" s="625"/>
      <c r="I368" s="625"/>
      <c r="J368" s="622"/>
      <c r="K368" s="1691">
        <f>'Revenues 9-14'!K275-'Expenditures 15-22'!K367</f>
        <v>4998</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2" t="s">
        <v>1904</v>
      </c>
      <c r="B2" s="1548" t="s">
        <v>2036</v>
      </c>
      <c r="C2" s="713" t="s">
        <v>1909</v>
      </c>
      <c r="D2" s="713" t="s">
        <v>1910</v>
      </c>
      <c r="E2" s="713" t="s">
        <v>1911</v>
      </c>
      <c r="F2" s="713" t="s">
        <v>1912</v>
      </c>
    </row>
    <row r="3" spans="1:6" ht="12" customHeight="1" x14ac:dyDescent="0.2">
      <c r="A3" s="2203"/>
      <c r="B3" s="1545"/>
      <c r="C3" s="1546"/>
      <c r="D3" s="1547" t="s">
        <v>274</v>
      </c>
      <c r="E3" s="1546"/>
      <c r="F3" s="1547" t="s">
        <v>275</v>
      </c>
    </row>
    <row r="4" spans="1:6" ht="13.7" customHeight="1" x14ac:dyDescent="0.2">
      <c r="A4" s="714" t="s">
        <v>1217</v>
      </c>
      <c r="B4" s="1769">
        <f>'Revenues 9-14'!C5</f>
        <v>809532</v>
      </c>
      <c r="C4" s="1544">
        <v>412152</v>
      </c>
      <c r="D4" s="1772">
        <f>B4-C4</f>
        <v>397380</v>
      </c>
      <c r="E4" s="1544">
        <v>826204</v>
      </c>
      <c r="F4" s="1772">
        <f>E4-C4</f>
        <v>414052</v>
      </c>
    </row>
    <row r="5" spans="1:6" ht="13.7" customHeight="1" x14ac:dyDescent="0.2">
      <c r="A5" s="714" t="s">
        <v>925</v>
      </c>
      <c r="B5" s="1770">
        <f>'Revenues 9-14'!D5</f>
        <v>111200</v>
      </c>
      <c r="C5" s="583">
        <v>56614</v>
      </c>
      <c r="D5" s="1773">
        <f t="shared" ref="D5:D18" si="0">B5-C5</f>
        <v>54586</v>
      </c>
      <c r="E5" s="583">
        <v>113490</v>
      </c>
      <c r="F5" s="1773">
        <f>E5-C5</f>
        <v>56876</v>
      </c>
    </row>
    <row r="6" spans="1:6" ht="13.7" customHeight="1" x14ac:dyDescent="0.2">
      <c r="A6" s="714" t="s">
        <v>431</v>
      </c>
      <c r="B6" s="1770">
        <f>'Revenues 9-14'!E5</f>
        <v>216479</v>
      </c>
      <c r="C6" s="583">
        <v>107861</v>
      </c>
      <c r="D6" s="1773">
        <f t="shared" si="0"/>
        <v>108618</v>
      </c>
      <c r="E6" s="583">
        <v>216220</v>
      </c>
      <c r="F6" s="1773">
        <f t="shared" ref="F6:F18" si="1">E6-C6</f>
        <v>108359</v>
      </c>
    </row>
    <row r="7" spans="1:6" ht="13.7" customHeight="1" x14ac:dyDescent="0.2">
      <c r="A7" s="714" t="s">
        <v>157</v>
      </c>
      <c r="B7" s="1770">
        <f>'Revenues 9-14'!F5</f>
        <v>53376</v>
      </c>
      <c r="C7" s="583">
        <v>27175</v>
      </c>
      <c r="D7" s="1773">
        <f t="shared" si="0"/>
        <v>26201</v>
      </c>
      <c r="E7" s="583">
        <v>54475</v>
      </c>
      <c r="F7" s="1773">
        <f t="shared" si="1"/>
        <v>27300</v>
      </c>
    </row>
    <row r="8" spans="1:6" ht="13.7" customHeight="1" x14ac:dyDescent="0.2">
      <c r="A8" s="714" t="s">
        <v>1241</v>
      </c>
      <c r="B8" s="1770">
        <f>'Revenues 9-14'!G5</f>
        <v>12850</v>
      </c>
      <c r="C8" s="583">
        <v>2491</v>
      </c>
      <c r="D8" s="1773">
        <f t="shared" si="0"/>
        <v>10359</v>
      </c>
      <c r="E8" s="583">
        <v>4994</v>
      </c>
      <c r="F8" s="1773">
        <f t="shared" si="1"/>
        <v>2503</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22241</v>
      </c>
      <c r="C10" s="583">
        <v>11323</v>
      </c>
      <c r="D10" s="1773">
        <f t="shared" si="0"/>
        <v>10918</v>
      </c>
      <c r="E10" s="583">
        <v>22698</v>
      </c>
      <c r="F10" s="1773">
        <f t="shared" si="1"/>
        <v>11375</v>
      </c>
    </row>
    <row r="11" spans="1:6" x14ac:dyDescent="0.2">
      <c r="A11" s="714" t="s">
        <v>429</v>
      </c>
      <c r="B11" s="1770">
        <f>'Revenues 9-14'!J5</f>
        <v>170347</v>
      </c>
      <c r="C11" s="583">
        <v>92779</v>
      </c>
      <c r="D11" s="1773">
        <f t="shared" si="0"/>
        <v>77568</v>
      </c>
      <c r="E11" s="583">
        <v>185987</v>
      </c>
      <c r="F11" s="1773">
        <f t="shared" si="1"/>
        <v>93208</v>
      </c>
    </row>
    <row r="12" spans="1:6" ht="13.7" customHeight="1" x14ac:dyDescent="0.2">
      <c r="A12" s="714" t="s">
        <v>159</v>
      </c>
      <c r="B12" s="1770">
        <f>'Revenues 9-14'!K5</f>
        <v>22241</v>
      </c>
      <c r="C12" s="583">
        <v>11323</v>
      </c>
      <c r="D12" s="1773">
        <f t="shared" si="0"/>
        <v>10918</v>
      </c>
      <c r="E12" s="583">
        <v>22698</v>
      </c>
      <c r="F12" s="1773">
        <f t="shared" si="1"/>
        <v>11375</v>
      </c>
    </row>
    <row r="13" spans="1:6" ht="13.7" customHeight="1" x14ac:dyDescent="0.2">
      <c r="A13" s="714" t="s">
        <v>993</v>
      </c>
      <c r="B13" s="1770">
        <f>SUM('Revenues 9-14'!C6:D6)</f>
        <v>11167</v>
      </c>
      <c r="C13" s="583">
        <v>249</v>
      </c>
      <c r="D13" s="1773">
        <f t="shared" si="0"/>
        <v>10918</v>
      </c>
      <c r="E13" s="583">
        <v>499</v>
      </c>
      <c r="F13" s="1773">
        <f t="shared" si="1"/>
        <v>250</v>
      </c>
    </row>
    <row r="14" spans="1:6" ht="13.7" customHeight="1" x14ac:dyDescent="0.2">
      <c r="A14" s="714" t="s">
        <v>430</v>
      </c>
      <c r="B14" s="1770">
        <f>SUM('Revenues 9-14'!C7:D7,'Revenues 9-14'!F7:H7)</f>
        <v>8896</v>
      </c>
      <c r="C14" s="583">
        <v>4529</v>
      </c>
      <c r="D14" s="1773">
        <f t="shared" si="0"/>
        <v>4367</v>
      </c>
      <c r="E14" s="583">
        <v>9079</v>
      </c>
      <c r="F14" s="1773">
        <f t="shared" si="1"/>
        <v>4550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12871</v>
      </c>
      <c r="C16" s="583">
        <v>2491</v>
      </c>
      <c r="D16" s="1773">
        <f t="shared" si="0"/>
        <v>10380</v>
      </c>
      <c r="E16" s="583">
        <v>4994</v>
      </c>
      <c r="F16" s="1773">
        <f t="shared" si="1"/>
        <v>2503</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1451200</v>
      </c>
      <c r="C19" s="1771">
        <f>SUM(C4:C18)</f>
        <v>728987</v>
      </c>
      <c r="D19" s="1771">
        <f>SUM(D4:D18)</f>
        <v>722213</v>
      </c>
      <c r="E19" s="1771">
        <f>SUM(E4:E18)</f>
        <v>1461338</v>
      </c>
      <c r="F19" s="1771">
        <f>SUM(F4:F18)</f>
        <v>732351</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0"/>
    </row>
    <row r="2" spans="1:7" ht="33.75" x14ac:dyDescent="0.2">
      <c r="A2" s="2229" t="s">
        <v>1904</v>
      </c>
      <c r="B2" s="2230"/>
      <c r="C2" s="1907" t="s">
        <v>2037</v>
      </c>
      <c r="D2" s="722" t="s">
        <v>2044</v>
      </c>
      <c r="E2" s="722" t="s">
        <v>2045</v>
      </c>
      <c r="F2" s="1907" t="s">
        <v>2038</v>
      </c>
    </row>
    <row r="3" spans="1:7" ht="15.75" customHeight="1" x14ac:dyDescent="0.2">
      <c r="A3" s="2231" t="s">
        <v>1176</v>
      </c>
      <c r="B3" s="2232"/>
      <c r="C3" s="2225"/>
      <c r="D3" s="2226"/>
      <c r="E3" s="2226"/>
      <c r="F3" s="2227"/>
    </row>
    <row r="4" spans="1:7" ht="12.75" customHeight="1" thickBot="1" x14ac:dyDescent="0.25">
      <c r="A4" s="2219" t="s">
        <v>651</v>
      </c>
      <c r="B4" s="2220"/>
      <c r="C4" s="579"/>
      <c r="D4" s="579"/>
      <c r="E4" s="579"/>
      <c r="F4" s="1775">
        <f>SUM(C4+D4)-E4</f>
        <v>0</v>
      </c>
    </row>
    <row r="5" spans="1:7" ht="15.75" customHeight="1" thickTop="1" x14ac:dyDescent="0.2">
      <c r="A5" s="2223" t="s">
        <v>1172</v>
      </c>
      <c r="B5" s="2218"/>
      <c r="C5" s="2212"/>
      <c r="D5" s="2213"/>
      <c r="E5" s="2213"/>
      <c r="F5" s="2214"/>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5" t="s">
        <v>652</v>
      </c>
      <c r="B15" s="2216"/>
      <c r="C15" s="1775">
        <f>SUM(C6:C14)</f>
        <v>0</v>
      </c>
      <c r="D15" s="1775">
        <f>SUM(D6:D14)</f>
        <v>0</v>
      </c>
      <c r="E15" s="1775">
        <f>SUM(E6:E14)</f>
        <v>0</v>
      </c>
      <c r="F15" s="1775">
        <f>SUM(F6:F14)</f>
        <v>0</v>
      </c>
      <c r="G15" s="550"/>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5"/>
      <c r="D17" s="583"/>
      <c r="E17" s="725"/>
      <c r="F17" s="1775">
        <f>SUM(C17+D17)-E17</f>
        <v>0</v>
      </c>
    </row>
    <row r="18" spans="1:11" ht="12.75" customHeight="1" thickTop="1" thickBot="1" x14ac:dyDescent="0.25">
      <c r="A18" s="2210" t="s">
        <v>6</v>
      </c>
      <c r="B18" s="2211"/>
      <c r="C18" s="725"/>
      <c r="D18" s="583"/>
      <c r="E18" s="725"/>
      <c r="F18" s="1775">
        <f>SUM(C18+D18)-E18</f>
        <v>0</v>
      </c>
    </row>
    <row r="19" spans="1:11" ht="12.75" customHeight="1" thickTop="1" thickBot="1" x14ac:dyDescent="0.25">
      <c r="A19" s="2210" t="s">
        <v>406</v>
      </c>
      <c r="B19" s="2211"/>
      <c r="C19" s="725"/>
      <c r="D19" s="583"/>
      <c r="E19" s="725"/>
      <c r="F19" s="1775">
        <f>SUM(C19+D19)-E19</f>
        <v>0</v>
      </c>
    </row>
    <row r="20" spans="1:11" ht="12.75" customHeight="1" thickTop="1" thickBot="1" x14ac:dyDescent="0.25">
      <c r="A20" s="2210" t="s">
        <v>468</v>
      </c>
      <c r="B20" s="2211"/>
      <c r="C20" s="725"/>
      <c r="D20" s="583"/>
      <c r="E20" s="725"/>
      <c r="F20" s="1775">
        <f>SUM(C20+D20)-E20</f>
        <v>0</v>
      </c>
    </row>
    <row r="21" spans="1:11" ht="14.25" thickTop="1" thickBot="1" x14ac:dyDescent="0.25">
      <c r="A21" s="2215" t="s">
        <v>653</v>
      </c>
      <c r="B21" s="2216"/>
      <c r="C21" s="1775">
        <f>SUM(C17:C20)</f>
        <v>0</v>
      </c>
      <c r="D21" s="1775">
        <f>SUM(D17:D20)</f>
        <v>0</v>
      </c>
      <c r="E21" s="1775">
        <f>SUM(E17:E20)</f>
        <v>0</v>
      </c>
      <c r="F21" s="1775">
        <f>SUM(F17:F20)</f>
        <v>0</v>
      </c>
      <c r="G21" s="550"/>
    </row>
    <row r="22" spans="1:11" ht="15.75" customHeight="1" thickTop="1" x14ac:dyDescent="0.2">
      <c r="A22" s="2217" t="s">
        <v>1174</v>
      </c>
      <c r="B22" s="2218"/>
      <c r="C22" s="2212"/>
      <c r="D22" s="2213"/>
      <c r="E22" s="2213"/>
      <c r="F22" s="2214"/>
    </row>
    <row r="23" spans="1:11" ht="13.5" thickBot="1" x14ac:dyDescent="0.25">
      <c r="A23" s="2219" t="s">
        <v>654</v>
      </c>
      <c r="B23" s="2220"/>
      <c r="C23" s="579"/>
      <c r="D23" s="579"/>
      <c r="E23" s="579"/>
      <c r="F23" s="1775">
        <f>SUM(C23+D23)-E23</f>
        <v>0</v>
      </c>
      <c r="G23" s="550"/>
    </row>
    <row r="24" spans="1:11" ht="15.75" customHeight="1" thickTop="1" x14ac:dyDescent="0.2">
      <c r="A24" s="2217" t="s">
        <v>1175</v>
      </c>
      <c r="B24" s="2218"/>
      <c r="C24" s="2212"/>
      <c r="D24" s="2213"/>
      <c r="E24" s="2213"/>
      <c r="F24" s="2214"/>
    </row>
    <row r="25" spans="1:11" ht="13.5" thickBot="1" x14ac:dyDescent="0.25">
      <c r="A25" s="2219" t="s">
        <v>655</v>
      </c>
      <c r="B25" s="2220"/>
      <c r="C25" s="579"/>
      <c r="D25" s="579"/>
      <c r="E25" s="579"/>
      <c r="F25" s="1775">
        <f>SUM(C25+D25)-E25</f>
        <v>0</v>
      </c>
      <c r="G25" s="550"/>
    </row>
    <row r="26" spans="1:11" ht="15.75" customHeight="1" thickTop="1" x14ac:dyDescent="0.2">
      <c r="A26" s="2223" t="s">
        <v>678</v>
      </c>
      <c r="B26" s="2218"/>
      <c r="C26" s="726"/>
      <c r="D26" s="726"/>
      <c r="E26" s="726"/>
      <c r="F26" s="727"/>
    </row>
    <row r="27" spans="1:11" ht="13.5" thickBot="1" x14ac:dyDescent="0.25">
      <c r="A27" s="2215" t="s">
        <v>1130</v>
      </c>
      <c r="B27" s="2216"/>
      <c r="C27" s="583"/>
      <c r="D27" s="583"/>
      <c r="E27" s="583"/>
      <c r="F27" s="1775">
        <f>SUM(C27+D27)-E27</f>
        <v>0</v>
      </c>
      <c r="G27" s="550"/>
    </row>
    <row r="28" spans="1:11" ht="7.5" customHeight="1" thickTop="1" x14ac:dyDescent="0.2">
      <c r="A28" s="592"/>
    </row>
    <row r="29" spans="1:11" ht="23.25" customHeight="1" x14ac:dyDescent="0.2">
      <c r="A29" s="2221" t="s">
        <v>603</v>
      </c>
      <c r="B29" s="2222"/>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2095</v>
      </c>
      <c r="B31" s="732">
        <v>41426</v>
      </c>
      <c r="C31" s="733">
        <v>1300000</v>
      </c>
      <c r="D31" s="734">
        <v>2</v>
      </c>
      <c r="E31" s="733">
        <v>1300000</v>
      </c>
      <c r="F31" s="733"/>
      <c r="G31" s="733"/>
      <c r="H31" s="733">
        <v>55000</v>
      </c>
      <c r="I31" s="1776">
        <f>((E31+F31)-H31)+G31</f>
        <v>1245000</v>
      </c>
      <c r="J31" s="733">
        <f>1245000-73313</f>
        <v>1171687</v>
      </c>
      <c r="K31" s="735"/>
    </row>
    <row r="32" spans="1:11" ht="12" customHeight="1" x14ac:dyDescent="0.2">
      <c r="A32" s="731" t="s">
        <v>2096</v>
      </c>
      <c r="B32" s="732">
        <v>42429</v>
      </c>
      <c r="C32" s="733">
        <v>200000</v>
      </c>
      <c r="D32" s="734">
        <v>1</v>
      </c>
      <c r="E32" s="733">
        <v>100000</v>
      </c>
      <c r="F32" s="733"/>
      <c r="G32" s="733"/>
      <c r="H32" s="733">
        <v>100000</v>
      </c>
      <c r="I32" s="1776">
        <f>((E32+F32)-H32)+G32</f>
        <v>0</v>
      </c>
      <c r="J32" s="733"/>
      <c r="K32" s="735"/>
    </row>
    <row r="33" spans="1:11" ht="12" customHeight="1" x14ac:dyDescent="0.2">
      <c r="A33" s="731" t="s">
        <v>2122</v>
      </c>
      <c r="B33" s="732">
        <v>43174</v>
      </c>
      <c r="C33" s="733">
        <v>200000</v>
      </c>
      <c r="D33" s="734">
        <v>1</v>
      </c>
      <c r="E33" s="733"/>
      <c r="F33" s="733">
        <v>185691</v>
      </c>
      <c r="G33" s="733">
        <v>14309</v>
      </c>
      <c r="H33" s="733"/>
      <c r="I33" s="1776">
        <f t="shared" ref="I33:I48" si="1">((E33+F33)-H33)+G33</f>
        <v>200000</v>
      </c>
      <c r="J33" s="733">
        <f>200000-54795</f>
        <v>145205</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1700000</v>
      </c>
      <c r="D49" s="744"/>
      <c r="E49" s="1776">
        <f t="shared" ref="E49:J49" si="2">SUM(E31:E48)</f>
        <v>1400000</v>
      </c>
      <c r="F49" s="1776">
        <f t="shared" si="2"/>
        <v>185691</v>
      </c>
      <c r="G49" s="1776">
        <f t="shared" si="2"/>
        <v>14309</v>
      </c>
      <c r="H49" s="1776">
        <f t="shared" si="2"/>
        <v>155000</v>
      </c>
      <c r="I49" s="1776">
        <f t="shared" si="2"/>
        <v>1445000</v>
      </c>
      <c r="J49" s="1776">
        <f t="shared" si="2"/>
        <v>1316892</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4" t="s">
        <v>605</v>
      </c>
      <c r="C52" s="2205"/>
      <c r="D52" s="2205"/>
      <c r="E52" s="748" t="s">
        <v>900</v>
      </c>
      <c r="F52" s="2206"/>
      <c r="G52" s="2207"/>
      <c r="H52" s="735"/>
      <c r="I52" s="735"/>
      <c r="J52" s="745"/>
    </row>
    <row r="53" spans="1:11" ht="11.25" customHeight="1" x14ac:dyDescent="0.2">
      <c r="A53" s="749" t="s">
        <v>969</v>
      </c>
      <c r="B53" s="750" t="s">
        <v>1008</v>
      </c>
      <c r="C53" s="745"/>
      <c r="D53" s="736"/>
      <c r="E53" s="748" t="s">
        <v>518</v>
      </c>
      <c r="F53" s="2208"/>
      <c r="G53" s="2209"/>
      <c r="H53" s="735"/>
      <c r="I53" s="735"/>
      <c r="J53" s="745"/>
    </row>
    <row r="54" spans="1:11" ht="11.25" customHeight="1" x14ac:dyDescent="0.2">
      <c r="A54" s="751" t="s">
        <v>970</v>
      </c>
      <c r="B54" s="746" t="s">
        <v>1009</v>
      </c>
      <c r="C54" s="745"/>
      <c r="D54" s="736"/>
      <c r="E54" s="748" t="s">
        <v>519</v>
      </c>
      <c r="F54" s="2208"/>
      <c r="G54" s="2209"/>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0"/>
      <c r="I1" s="759"/>
      <c r="J1" s="433"/>
    </row>
    <row r="2" spans="1:11" ht="26.25" x14ac:dyDescent="0.2">
      <c r="A2" s="2252" t="s">
        <v>1776</v>
      </c>
      <c r="B2" s="2253"/>
      <c r="C2" s="2253"/>
      <c r="D2" s="2253"/>
      <c r="E2" s="2254"/>
      <c r="F2" s="760" t="s">
        <v>960</v>
      </c>
      <c r="G2" s="761" t="s">
        <v>1773</v>
      </c>
      <c r="H2" s="761" t="s">
        <v>430</v>
      </c>
      <c r="I2" s="761" t="s">
        <v>1220</v>
      </c>
      <c r="J2" s="761" t="s">
        <v>1918</v>
      </c>
      <c r="K2" s="761" t="s">
        <v>140</v>
      </c>
    </row>
    <row r="3" spans="1:11" x14ac:dyDescent="0.2">
      <c r="A3" s="2255" t="s">
        <v>1698</v>
      </c>
      <c r="B3" s="2256"/>
      <c r="C3" s="2256"/>
      <c r="D3" s="2256"/>
      <c r="E3" s="2257"/>
      <c r="F3" s="762"/>
      <c r="G3" s="763"/>
      <c r="H3" s="763"/>
      <c r="I3" s="763"/>
      <c r="J3" s="764">
        <v>172768</v>
      </c>
      <c r="K3" s="764"/>
    </row>
    <row r="4" spans="1:11" x14ac:dyDescent="0.2">
      <c r="A4" s="2258" t="s">
        <v>387</v>
      </c>
      <c r="B4" s="2259"/>
      <c r="C4" s="2259"/>
      <c r="D4" s="2259"/>
      <c r="E4" s="2205"/>
      <c r="F4" s="765"/>
      <c r="G4" s="766"/>
      <c r="H4" s="767"/>
      <c r="I4" s="766"/>
      <c r="J4" s="768"/>
      <c r="K4" s="768"/>
    </row>
    <row r="5" spans="1:11" x14ac:dyDescent="0.2">
      <c r="A5" s="2236" t="s">
        <v>1129</v>
      </c>
      <c r="B5" s="2237"/>
      <c r="C5" s="2237"/>
      <c r="D5" s="2237"/>
      <c r="E5" s="2238"/>
      <c r="F5" s="769" t="s">
        <v>903</v>
      </c>
      <c r="G5" s="770"/>
      <c r="H5" s="763">
        <v>8896</v>
      </c>
      <c r="I5" s="771"/>
      <c r="J5" s="772"/>
      <c r="K5" s="772"/>
    </row>
    <row r="6" spans="1:11" x14ac:dyDescent="0.2">
      <c r="A6" s="773" t="s">
        <v>744</v>
      </c>
      <c r="B6" s="774"/>
      <c r="C6" s="774"/>
      <c r="D6" s="774"/>
      <c r="E6" s="775"/>
      <c r="F6" s="776" t="s">
        <v>904</v>
      </c>
      <c r="G6" s="763"/>
      <c r="H6" s="763">
        <v>6</v>
      </c>
      <c r="I6" s="763"/>
      <c r="J6" s="764">
        <v>1767</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134477</v>
      </c>
      <c r="K8" s="768"/>
    </row>
    <row r="9" spans="1:11" x14ac:dyDescent="0.2">
      <c r="A9" s="777" t="s">
        <v>140</v>
      </c>
      <c r="B9" s="778"/>
      <c r="C9" s="778"/>
      <c r="D9" s="778"/>
      <c r="E9" s="779"/>
      <c r="F9" s="776" t="s">
        <v>908</v>
      </c>
      <c r="G9" s="781"/>
      <c r="H9" s="770"/>
      <c r="I9" s="770"/>
      <c r="J9" s="780"/>
      <c r="K9" s="764"/>
    </row>
    <row r="10" spans="1:11" x14ac:dyDescent="0.2">
      <c r="A10" s="2236" t="s">
        <v>1919</v>
      </c>
      <c r="B10" s="2237"/>
      <c r="C10" s="2237"/>
      <c r="D10" s="2237"/>
      <c r="E10" s="2239"/>
      <c r="F10" s="782" t="s">
        <v>917</v>
      </c>
      <c r="G10" s="781"/>
      <c r="H10" s="783"/>
      <c r="I10" s="763"/>
      <c r="J10" s="764"/>
      <c r="K10" s="764"/>
    </row>
    <row r="11" spans="1:11" x14ac:dyDescent="0.2">
      <c r="A11" s="2236" t="s">
        <v>162</v>
      </c>
      <c r="B11" s="2237"/>
      <c r="C11" s="2237"/>
      <c r="D11" s="2237"/>
      <c r="E11" s="2238"/>
      <c r="F11" s="769" t="s">
        <v>907</v>
      </c>
      <c r="G11" s="770"/>
      <c r="H11" s="763"/>
      <c r="I11" s="763"/>
      <c r="J11" s="764"/>
      <c r="K11" s="772"/>
    </row>
    <row r="12" spans="1:11" ht="13.5" thickBot="1" x14ac:dyDescent="0.25">
      <c r="A12" s="2263" t="s">
        <v>961</v>
      </c>
      <c r="B12" s="2264"/>
      <c r="C12" s="2264"/>
      <c r="D12" s="2264"/>
      <c r="E12" s="2265"/>
      <c r="F12" s="1777"/>
      <c r="G12" s="1778">
        <f>SUM(G5:G11)</f>
        <v>0</v>
      </c>
      <c r="H12" s="1778">
        <f>SUM(H5:H11)</f>
        <v>8902</v>
      </c>
      <c r="I12" s="1778">
        <f>SUM(I5:I11)</f>
        <v>0</v>
      </c>
      <c r="J12" s="1778">
        <f>SUM(J5:J11)</f>
        <v>136244</v>
      </c>
      <c r="K12" s="1778">
        <f>SUM(K5:K11)</f>
        <v>0</v>
      </c>
    </row>
    <row r="13" spans="1:11" ht="13.5" thickTop="1" x14ac:dyDescent="0.2">
      <c r="A13" s="2260" t="s">
        <v>388</v>
      </c>
      <c r="B13" s="2261"/>
      <c r="C13" s="2261"/>
      <c r="D13" s="2261"/>
      <c r="E13" s="2262"/>
      <c r="F13" s="784"/>
      <c r="G13" s="785"/>
      <c r="H13" s="786"/>
      <c r="I13" s="787"/>
      <c r="J13" s="787"/>
      <c r="K13" s="787"/>
    </row>
    <row r="14" spans="1:11" x14ac:dyDescent="0.2">
      <c r="A14" s="2243" t="s">
        <v>476</v>
      </c>
      <c r="B14" s="2243"/>
      <c r="C14" s="2243"/>
      <c r="D14" s="2243"/>
      <c r="E14" s="2244"/>
      <c r="F14" s="788" t="s">
        <v>909</v>
      </c>
      <c r="G14" s="781"/>
      <c r="H14" s="763">
        <v>8902</v>
      </c>
      <c r="I14" s="770"/>
      <c r="J14" s="772"/>
      <c r="K14" s="764"/>
    </row>
    <row r="15" spans="1:11" x14ac:dyDescent="0.2">
      <c r="A15" s="2237" t="s">
        <v>4</v>
      </c>
      <c r="B15" s="2237"/>
      <c r="C15" s="2237"/>
      <c r="D15" s="2237"/>
      <c r="E15" s="2238"/>
      <c r="F15" s="788" t="s">
        <v>910</v>
      </c>
      <c r="G15" s="770"/>
      <c r="H15" s="763"/>
      <c r="I15" s="763"/>
      <c r="J15" s="764">
        <v>29633</v>
      </c>
      <c r="K15" s="764"/>
    </row>
    <row r="16" spans="1:11" x14ac:dyDescent="0.2">
      <c r="A16" s="2237" t="s">
        <v>316</v>
      </c>
      <c r="B16" s="2237"/>
      <c r="C16" s="2237"/>
      <c r="D16" s="2237"/>
      <c r="E16" s="2238"/>
      <c r="F16" s="788" t="s">
        <v>980</v>
      </c>
      <c r="G16" s="771"/>
      <c r="H16" s="766"/>
      <c r="I16" s="766"/>
      <c r="J16" s="768"/>
      <c r="K16" s="768"/>
    </row>
    <row r="17" spans="1:11" x14ac:dyDescent="0.2">
      <c r="A17" s="2268" t="s">
        <v>992</v>
      </c>
      <c r="B17" s="2268"/>
      <c r="C17" s="2268"/>
      <c r="D17" s="2268"/>
      <c r="E17" s="2269"/>
      <c r="F17" s="789"/>
      <c r="G17" s="790"/>
      <c r="H17" s="791"/>
      <c r="I17" s="791"/>
      <c r="J17" s="792"/>
      <c r="K17" s="793"/>
    </row>
    <row r="18" spans="1:11" x14ac:dyDescent="0.2">
      <c r="A18" s="2247" t="s">
        <v>386</v>
      </c>
      <c r="B18" s="2248"/>
      <c r="C18" s="2248"/>
      <c r="D18" s="2248"/>
      <c r="E18" s="2249"/>
      <c r="F18" s="788" t="s">
        <v>989</v>
      </c>
      <c r="G18" s="781"/>
      <c r="H18" s="781"/>
      <c r="I18" s="781"/>
      <c r="J18" s="764"/>
      <c r="K18" s="794"/>
    </row>
    <row r="19" spans="1:11" ht="21.75" customHeight="1" x14ac:dyDescent="0.2">
      <c r="A19" s="2245" t="s">
        <v>1915</v>
      </c>
      <c r="B19" s="2245"/>
      <c r="C19" s="2245"/>
      <c r="D19" s="2245"/>
      <c r="E19" s="2246"/>
      <c r="F19" s="788" t="s">
        <v>990</v>
      </c>
      <c r="G19" s="781"/>
      <c r="H19" s="781"/>
      <c r="I19" s="781"/>
      <c r="J19" s="764"/>
      <c r="K19" s="794"/>
    </row>
    <row r="20" spans="1:11" x14ac:dyDescent="0.2">
      <c r="A20" s="2247" t="s">
        <v>1920</v>
      </c>
      <c r="B20" s="2248"/>
      <c r="C20" s="2248"/>
      <c r="D20" s="2248"/>
      <c r="E20" s="2249"/>
      <c r="F20" s="788" t="s">
        <v>991</v>
      </c>
      <c r="G20" s="781"/>
      <c r="H20" s="781"/>
      <c r="I20" s="781"/>
      <c r="J20" s="764"/>
      <c r="K20" s="794"/>
    </row>
    <row r="21" spans="1:11" ht="13.5" thickBot="1" x14ac:dyDescent="0.25">
      <c r="A21" s="2266" t="s">
        <v>659</v>
      </c>
      <c r="B21" s="2266"/>
      <c r="C21" s="2266"/>
      <c r="D21" s="2266"/>
      <c r="E21" s="2266"/>
      <c r="F21" s="1779"/>
      <c r="G21" s="791"/>
      <c r="H21" s="795"/>
      <c r="I21" s="795"/>
      <c r="J21" s="1780">
        <f>SUM(J18:J20)</f>
        <v>0</v>
      </c>
      <c r="K21" s="792"/>
    </row>
    <row r="22" spans="1:11" ht="13.5" thickTop="1" x14ac:dyDescent="0.2">
      <c r="A22" s="2237" t="s">
        <v>1921</v>
      </c>
      <c r="B22" s="2237"/>
      <c r="C22" s="2237"/>
      <c r="D22" s="2237"/>
      <c r="E22" s="2238"/>
      <c r="F22" s="788" t="s">
        <v>917</v>
      </c>
      <c r="G22" s="781"/>
      <c r="H22" s="763"/>
      <c r="I22" s="763"/>
      <c r="J22" s="796"/>
      <c r="K22" s="764"/>
    </row>
    <row r="23" spans="1:11" ht="13.5" thickBot="1" x14ac:dyDescent="0.25">
      <c r="A23" s="2267" t="s">
        <v>962</v>
      </c>
      <c r="B23" s="2266"/>
      <c r="C23" s="2266"/>
      <c r="D23" s="2266"/>
      <c r="E23" s="2266"/>
      <c r="F23" s="1781"/>
      <c r="G23" s="1778">
        <f>SUM(G14:G16,G21,G22)</f>
        <v>0</v>
      </c>
      <c r="H23" s="1778">
        <f>SUM(H14:H16,H21,H22)</f>
        <v>8902</v>
      </c>
      <c r="I23" s="1778">
        <f>SUM(I14:I16,I21,I22)</f>
        <v>0</v>
      </c>
      <c r="J23" s="1778">
        <f>SUM(J14:J16,J21,J22)</f>
        <v>29633</v>
      </c>
      <c r="K23" s="1778">
        <f>SUM(K14:K16,K21,K22)</f>
        <v>0</v>
      </c>
    </row>
    <row r="24" spans="1:11" ht="14.25" thickTop="1" thickBot="1" x14ac:dyDescent="0.25">
      <c r="A24" s="2267" t="s">
        <v>2025</v>
      </c>
      <c r="B24" s="2266"/>
      <c r="C24" s="2266"/>
      <c r="D24" s="2266"/>
      <c r="E24" s="2266"/>
      <c r="F24" s="1782"/>
      <c r="G24" s="1783">
        <f>SUM(G3,G12)-G23</f>
        <v>0</v>
      </c>
      <c r="H24" s="1783">
        <f>SUM(H3,H12)-H23</f>
        <v>0</v>
      </c>
      <c r="I24" s="1783">
        <f>SUM(I3,I12)-I23</f>
        <v>0</v>
      </c>
      <c r="J24" s="1783">
        <f>SUM(J3,J12)-J23</f>
        <v>279379</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279379</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40"/>
      <c r="I31" s="2241"/>
      <c r="J31" s="2241"/>
      <c r="K31" s="2241"/>
    </row>
    <row r="32" spans="1:11" x14ac:dyDescent="0.2">
      <c r="A32" s="808"/>
      <c r="B32" s="237"/>
      <c r="C32" s="237"/>
      <c r="D32" s="237"/>
      <c r="E32" s="804"/>
      <c r="F32" s="810" t="s">
        <v>561</v>
      </c>
      <c r="G32" s="763"/>
      <c r="H32" s="2242"/>
      <c r="I32" s="2241"/>
      <c r="J32" s="2241"/>
      <c r="K32" s="2241"/>
    </row>
    <row r="33" spans="1:11" ht="1.5" customHeight="1" x14ac:dyDescent="0.2">
      <c r="A33" s="811" t="s">
        <v>1231</v>
      </c>
      <c r="B33" s="364"/>
      <c r="C33" s="364"/>
      <c r="D33" s="364"/>
      <c r="E33" s="364"/>
      <c r="F33" s="364"/>
      <c r="G33" s="812"/>
      <c r="H33" s="2242"/>
      <c r="I33" s="2241"/>
      <c r="J33" s="2241"/>
      <c r="K33" s="2241"/>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7" t="s">
        <v>562</v>
      </c>
      <c r="B41" s="2250"/>
      <c r="C41" s="2250"/>
      <c r="D41" s="2250"/>
      <c r="E41" s="2250"/>
      <c r="F41" s="2251"/>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2034</v>
      </c>
      <c r="B1" s="2273"/>
      <c r="C1" s="2274"/>
      <c r="D1" s="825"/>
      <c r="E1" s="826"/>
      <c r="F1" s="826"/>
      <c r="G1" s="827"/>
      <c r="H1" s="828"/>
      <c r="I1" s="829"/>
      <c r="J1" s="2270"/>
      <c r="K1" s="2271"/>
      <c r="L1" s="2271"/>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8150</v>
      </c>
      <c r="D5" s="840"/>
      <c r="E5" s="840"/>
      <c r="F5" s="1780">
        <f>(C5+D5)-E5</f>
        <v>8150</v>
      </c>
      <c r="G5" s="836"/>
      <c r="H5" s="841"/>
      <c r="I5" s="841"/>
      <c r="J5" s="841"/>
      <c r="K5" s="792"/>
      <c r="L5" s="1789">
        <f>F5-K5</f>
        <v>8150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4231504</v>
      </c>
      <c r="D8" s="843"/>
      <c r="E8" s="843"/>
      <c r="F8" s="1780">
        <f>(C8+D8)-E8</f>
        <v>4231504</v>
      </c>
      <c r="G8" s="842">
        <v>50</v>
      </c>
      <c r="H8" s="764">
        <v>1608144</v>
      </c>
      <c r="I8" s="764">
        <v>79404</v>
      </c>
      <c r="J8" s="764"/>
      <c r="K8" s="1789">
        <f>(H8+I8)-J8</f>
        <v>1687548</v>
      </c>
      <c r="L8" s="1789">
        <f>F8-K8</f>
        <v>2543956</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37311</v>
      </c>
      <c r="D10" s="845">
        <v>7950</v>
      </c>
      <c r="E10" s="845"/>
      <c r="F10" s="1784">
        <f>(C10+D10)-E10</f>
        <v>45261</v>
      </c>
      <c r="G10" s="842">
        <v>20</v>
      </c>
      <c r="H10" s="846">
        <v>2724</v>
      </c>
      <c r="I10" s="846">
        <v>2264</v>
      </c>
      <c r="J10" s="846"/>
      <c r="K10" s="1789">
        <f>(H10+I10)-J10</f>
        <v>4988</v>
      </c>
      <c r="L10" s="1789">
        <f>F10-K10</f>
        <v>40273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145192</v>
      </c>
      <c r="D12" s="843">
        <v>54488</v>
      </c>
      <c r="E12" s="843">
        <v>29193</v>
      </c>
      <c r="F12" s="1780">
        <f>(C12+D12)-E12</f>
        <v>170487</v>
      </c>
      <c r="G12" s="842">
        <v>10</v>
      </c>
      <c r="H12" s="764">
        <v>90040</v>
      </c>
      <c r="I12" s="764">
        <v>17052</v>
      </c>
      <c r="J12" s="764">
        <v>29191</v>
      </c>
      <c r="K12" s="1789">
        <f>(H12+I12)-J12</f>
        <v>77901</v>
      </c>
      <c r="L12" s="1789">
        <f>F12-K12</f>
        <v>92586</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v>2016</v>
      </c>
      <c r="E15" s="843"/>
      <c r="F15" s="1780">
        <f>(C15+D15)-E15</f>
        <v>2016</v>
      </c>
      <c r="G15" s="848" t="s">
        <v>917</v>
      </c>
      <c r="H15" s="780"/>
      <c r="I15" s="780"/>
      <c r="J15" s="780"/>
      <c r="K15" s="780"/>
      <c r="L15" s="1789">
        <f>F15-K15</f>
        <v>2016</v>
      </c>
    </row>
    <row r="16" spans="1:14" ht="15" customHeight="1" thickTop="1" thickBot="1" x14ac:dyDescent="0.25">
      <c r="A16" s="1785" t="s">
        <v>664</v>
      </c>
      <c r="B16" s="1786">
        <v>200</v>
      </c>
      <c r="C16" s="1780">
        <f>SUM(C3,C5:C6,C8:C10,C12:C15)</f>
        <v>4422157</v>
      </c>
      <c r="D16" s="1780">
        <f>SUM(D3,D5:D6,D8:D10,D12:D15)</f>
        <v>64454</v>
      </c>
      <c r="E16" s="1780">
        <f>SUM(E3,E5:E6,E8:E10,E12:E15)</f>
        <v>29193</v>
      </c>
      <c r="F16" s="1780">
        <f>SUM(F3,F5:F6,F8:F10,F12:F15)</f>
        <v>4457418</v>
      </c>
      <c r="G16" s="842"/>
      <c r="H16" s="1780">
        <f>SUM(H3,H6,H8:H10,H12:H14,)</f>
        <v>1700908</v>
      </c>
      <c r="I16" s="1780">
        <f>SUM(I3,I6,I8:I10,I12:I14,)</f>
        <v>98720</v>
      </c>
      <c r="J16" s="1780">
        <f>SUM(J3,J6,J8:J10,J12:J14,)</f>
        <v>29191</v>
      </c>
      <c r="K16" s="1780">
        <f>(H16+I16)-J16</f>
        <v>1770437</v>
      </c>
      <c r="L16" s="1780">
        <f>F16-K16</f>
        <v>2686981</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98720</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K31" sqref="K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8" t="s">
        <v>1699</v>
      </c>
      <c r="B1" s="2279"/>
      <c r="C1" s="2279"/>
      <c r="D1" s="2279"/>
      <c r="E1" s="2279"/>
      <c r="F1" s="2280"/>
      <c r="G1" s="854"/>
    </row>
    <row r="2" spans="1:7" ht="15" customHeight="1" thickBot="1" x14ac:dyDescent="0.25">
      <c r="A2" s="2281" t="s">
        <v>498</v>
      </c>
      <c r="B2" s="2282"/>
      <c r="C2" s="2282"/>
      <c r="D2" s="2282"/>
      <c r="E2" s="2282"/>
      <c r="F2" s="228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1962657</v>
      </c>
      <c r="G8" s="864"/>
    </row>
    <row r="9" spans="1:7" x14ac:dyDescent="0.2">
      <c r="A9" s="868" t="s">
        <v>480</v>
      </c>
      <c r="B9" s="869" t="s">
        <v>1988</v>
      </c>
      <c r="C9" s="870"/>
      <c r="D9" s="868" t="s">
        <v>522</v>
      </c>
      <c r="E9" s="867"/>
      <c r="F9" s="1933">
        <f>'Expenditures 15-22'!K151</f>
        <v>95458</v>
      </c>
      <c r="G9" s="871"/>
    </row>
    <row r="10" spans="1:7" x14ac:dyDescent="0.2">
      <c r="A10" s="868" t="s">
        <v>520</v>
      </c>
      <c r="B10" s="869" t="s">
        <v>1989</v>
      </c>
      <c r="C10" s="870"/>
      <c r="D10" s="868" t="s">
        <v>522</v>
      </c>
      <c r="E10" s="867"/>
      <c r="F10" s="1933">
        <f>'Expenditures 15-22'!K174</f>
        <v>209001</v>
      </c>
      <c r="G10" s="871"/>
    </row>
    <row r="11" spans="1:7" x14ac:dyDescent="0.2">
      <c r="A11" s="868" t="s">
        <v>481</v>
      </c>
      <c r="B11" s="869" t="s">
        <v>1990</v>
      </c>
      <c r="C11" s="870"/>
      <c r="D11" s="868" t="s">
        <v>522</v>
      </c>
      <c r="E11" s="867"/>
      <c r="F11" s="1933">
        <f>'Expenditures 15-22'!K210</f>
        <v>170613</v>
      </c>
      <c r="G11" s="871"/>
    </row>
    <row r="12" spans="1:7" x14ac:dyDescent="0.2">
      <c r="A12" s="868" t="s">
        <v>482</v>
      </c>
      <c r="B12" s="869" t="s">
        <v>1991</v>
      </c>
      <c r="C12" s="870"/>
      <c r="D12" s="868" t="s">
        <v>522</v>
      </c>
      <c r="E12" s="867"/>
      <c r="F12" s="1933">
        <f>'Expenditures 15-22'!K295</f>
        <v>54179</v>
      </c>
      <c r="G12" s="871"/>
    </row>
    <row r="13" spans="1:7" x14ac:dyDescent="0.2">
      <c r="A13" s="868" t="s">
        <v>108</v>
      </c>
      <c r="B13" s="869" t="s">
        <v>1992</v>
      </c>
      <c r="C13" s="870"/>
      <c r="D13" s="868" t="s">
        <v>522</v>
      </c>
      <c r="E13" s="867"/>
      <c r="F13" s="1933">
        <f>'Expenditures 15-22'!K342</f>
        <v>166076</v>
      </c>
      <c r="G13" s="872"/>
    </row>
    <row r="14" spans="1:7" ht="12" customHeight="1" thickBot="1" x14ac:dyDescent="0.25">
      <c r="A14" s="1790"/>
      <c r="B14" s="1791"/>
      <c r="C14" s="1792"/>
      <c r="D14" s="1793" t="s">
        <v>522</v>
      </c>
      <c r="E14" s="1794" t="s">
        <v>1015</v>
      </c>
      <c r="F14" s="1795">
        <f>SUM(F8:F13)</f>
        <v>2657984</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640</v>
      </c>
      <c r="G52" s="864"/>
    </row>
    <row r="53" spans="1:7" x14ac:dyDescent="0.2">
      <c r="A53" s="868" t="s">
        <v>479</v>
      </c>
      <c r="B53" s="868" t="s">
        <v>1551</v>
      </c>
      <c r="C53" s="888">
        <f>'Expenditures 15-22'!B102</f>
        <v>4000</v>
      </c>
      <c r="D53" s="887" t="str">
        <f>'Expenditures 15-22'!A102</f>
        <v>Total Payments to Other Govt Units</v>
      </c>
      <c r="E53" s="867"/>
      <c r="F53" s="1937">
        <f>'Expenditures 15-22'!K102</f>
        <v>89700</v>
      </c>
      <c r="G53" s="864"/>
    </row>
    <row r="54" spans="1:7" x14ac:dyDescent="0.2">
      <c r="A54" s="868" t="s">
        <v>479</v>
      </c>
      <c r="B54" s="868" t="s">
        <v>1552</v>
      </c>
      <c r="C54" s="888" t="s">
        <v>1039</v>
      </c>
      <c r="D54" s="884" t="s">
        <v>1157</v>
      </c>
      <c r="E54" s="867"/>
      <c r="F54" s="1937">
        <f>'Expenditures 15-22'!G114</f>
        <v>20255</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7569</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155000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273164</v>
      </c>
      <c r="G76" s="864"/>
    </row>
    <row r="77" spans="1:8" s="892" customFormat="1" ht="12" customHeight="1" thickTop="1" thickBot="1" x14ac:dyDescent="0.25">
      <c r="A77" s="1799"/>
      <c r="B77" s="1796"/>
      <c r="C77" s="1792"/>
      <c r="D77" s="1797" t="s">
        <v>2011</v>
      </c>
      <c r="E77" s="1794"/>
      <c r="F77" s="1800">
        <f>(F14-F76)</f>
        <v>2384820</v>
      </c>
      <c r="G77" s="868"/>
    </row>
    <row r="78" spans="1:8" s="892" customFormat="1" ht="12" customHeight="1" thickTop="1" x14ac:dyDescent="0.2">
      <c r="A78" s="1801"/>
      <c r="B78" s="1796"/>
      <c r="C78" s="1792"/>
      <c r="D78" s="1797" t="s">
        <v>2058</v>
      </c>
      <c r="E78" s="1794"/>
      <c r="F78" s="897">
        <v>231.75</v>
      </c>
      <c r="G78" s="898"/>
      <c r="H78" s="868"/>
    </row>
    <row r="79" spans="1:8" s="892" customFormat="1" ht="12" customHeight="1" thickBot="1" x14ac:dyDescent="0.25">
      <c r="A79" s="1802"/>
      <c r="B79" s="1796"/>
      <c r="C79" s="1792"/>
      <c r="D79" s="1797" t="s">
        <v>2012</v>
      </c>
      <c r="E79" s="1794" t="s">
        <v>1015</v>
      </c>
      <c r="F79" s="1803">
        <f>IF(F78&gt;0,F77/F78," Complete Line 78")</f>
        <v>10290.485436893205</v>
      </c>
      <c r="G79" s="868"/>
    </row>
    <row r="80" spans="1:8" s="892" customFormat="1" ht="8.25" customHeight="1" thickTop="1" x14ac:dyDescent="0.2">
      <c r="A80" s="899"/>
      <c r="B80" s="868"/>
      <c r="C80" s="870"/>
      <c r="D80" s="900"/>
      <c r="E80" s="867"/>
      <c r="F80" s="901"/>
      <c r="G80" s="868"/>
    </row>
    <row r="81" spans="1:7" s="892" customFormat="1" ht="12" thickBot="1" x14ac:dyDescent="0.25">
      <c r="A81" s="2275" t="s">
        <v>1167</v>
      </c>
      <c r="B81" s="2276"/>
      <c r="C81" s="2276"/>
      <c r="D81" s="2276"/>
      <c r="E81" s="2276"/>
      <c r="F81" s="227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0</v>
      </c>
      <c r="G94" s="911"/>
    </row>
    <row r="95" spans="1:7" x14ac:dyDescent="0.2">
      <c r="A95" s="907" t="s">
        <v>142</v>
      </c>
      <c r="B95" s="907" t="s">
        <v>177</v>
      </c>
      <c r="C95" s="909">
        <v>1700</v>
      </c>
      <c r="D95" s="917" t="str">
        <f>'Revenues 9-14'!A82</f>
        <v>Total District/School Activity Income</v>
      </c>
      <c r="E95" s="905"/>
      <c r="F95" s="1809">
        <f>SUM('Revenues 9-14'!C82,'Revenues 9-14'!D82)</f>
        <v>6778</v>
      </c>
      <c r="G95" s="911"/>
    </row>
    <row r="96" spans="1:7" x14ac:dyDescent="0.2">
      <c r="A96" s="907" t="s">
        <v>479</v>
      </c>
      <c r="B96" s="907" t="s">
        <v>178</v>
      </c>
      <c r="C96" s="909">
        <f>'Revenues 9-14'!B84</f>
        <v>1811</v>
      </c>
      <c r="D96" s="910" t="str">
        <f>'Revenues 9-14'!A84</f>
        <v>Rentals - Regular Textbooks</v>
      </c>
      <c r="E96" s="905"/>
      <c r="F96" s="1809">
        <f>'Revenues 9-14'!C84</f>
        <v>10523</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12500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16142</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38877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137</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454</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120444</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32649</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34481</v>
      </c>
      <c r="G129" s="929"/>
    </row>
    <row r="130" spans="1:7" x14ac:dyDescent="0.2">
      <c r="A130" s="926" t="s">
        <v>689</v>
      </c>
      <c r="B130" s="926" t="s">
        <v>804</v>
      </c>
      <c r="C130" s="931">
        <v>4300</v>
      </c>
      <c r="D130" s="932" t="str">
        <f>'Revenues 9-14'!A211</f>
        <v>Total Title I</v>
      </c>
      <c r="E130" s="905"/>
      <c r="F130" s="1809">
        <f>SUM('Revenues 9-14'!C211,'Revenues 9-14'!D211,'Revenues 9-14'!F211,'Revenues 9-14'!G211)</f>
        <v>27101</v>
      </c>
      <c r="G130" s="929"/>
    </row>
    <row r="131" spans="1:7" x14ac:dyDescent="0.2">
      <c r="A131" s="926" t="s">
        <v>689</v>
      </c>
      <c r="B131" s="926" t="s">
        <v>805</v>
      </c>
      <c r="C131" s="931">
        <v>4400</v>
      </c>
      <c r="D131" s="932" t="str">
        <f>'Revenues 9-14'!A216</f>
        <v>Total Title IV</v>
      </c>
      <c r="E131" s="905"/>
      <c r="F131" s="1809">
        <f>SUM('Revenues 9-14'!C216,'Revenues 9-14'!D216,'Revenues 9-14'!F216,'Revenues 9-14'!G216)</f>
        <v>5000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7979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5759</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18601</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79688.710000000006</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417113.71</v>
      </c>
    </row>
    <row r="179" spans="1:7" ht="12" customHeight="1" x14ac:dyDescent="0.2">
      <c r="A179" s="1790"/>
      <c r="B179" s="1804"/>
      <c r="C179" s="1805"/>
      <c r="D179" s="1806" t="s">
        <v>2014</v>
      </c>
      <c r="E179" s="1807"/>
      <c r="F179" s="1809">
        <f>'PCTC-OEPP 27-28'!F77-F178</f>
        <v>1967706.29</v>
      </c>
    </row>
    <row r="180" spans="1:7" ht="12" customHeight="1" x14ac:dyDescent="0.2">
      <c r="A180" s="1790"/>
      <c r="B180" s="1804"/>
      <c r="C180" s="1805"/>
      <c r="D180" s="1806" t="s">
        <v>1923</v>
      </c>
      <c r="E180" s="1807"/>
      <c r="F180" s="1809">
        <f>'Cap Outlay Deprec 26'!I18</f>
        <v>98720</v>
      </c>
    </row>
    <row r="181" spans="1:7" ht="12" customHeight="1" x14ac:dyDescent="0.2">
      <c r="A181" s="1790"/>
      <c r="B181" s="1804"/>
      <c r="C181" s="1805"/>
      <c r="D181" s="1806" t="s">
        <v>2015</v>
      </c>
      <c r="E181" s="1807"/>
      <c r="F181" s="1809">
        <f>F179+F180</f>
        <v>2066426.29</v>
      </c>
    </row>
    <row r="182" spans="1:7" ht="12" customHeight="1" x14ac:dyDescent="0.2">
      <c r="A182" s="1790"/>
      <c r="B182" s="1810"/>
      <c r="C182" s="1805"/>
      <c r="D182" s="1806" t="str">
        <f>D78</f>
        <v>9 Month ADA from District Average Daily Attendance/Prior General State Aid Inquiry 2017-2018</v>
      </c>
      <c r="E182" s="1807"/>
      <c r="F182" s="1811">
        <f>'PCTC-OEPP 27-28'!F78</f>
        <v>231.75</v>
      </c>
      <c r="G182" s="929"/>
    </row>
    <row r="183" spans="1:7" ht="12" customHeight="1" thickBot="1" x14ac:dyDescent="0.25">
      <c r="A183" s="1790"/>
      <c r="B183" s="1810"/>
      <c r="C183" s="1805"/>
      <c r="D183" s="1806" t="s">
        <v>2016</v>
      </c>
      <c r="E183" s="1807" t="s">
        <v>1626</v>
      </c>
      <c r="F183" s="1812">
        <f>F181/F182</f>
        <v>8916.618295577131</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K31" sqref="K31"/>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4" t="s">
        <v>1925</v>
      </c>
      <c r="B6" s="1555"/>
      <c r="C6" s="1555"/>
      <c r="D6" s="1555"/>
      <c r="E6" s="1555"/>
      <c r="F6" s="1555"/>
      <c r="G6" s="1556"/>
    </row>
    <row r="7" spans="1:7" ht="30.75" customHeight="1" x14ac:dyDescent="0.25">
      <c r="A7" s="2295" t="s">
        <v>2074</v>
      </c>
      <c r="B7" s="2296"/>
      <c r="C7" s="2296"/>
      <c r="D7" s="2296"/>
      <c r="E7" s="2296"/>
      <c r="F7" s="2296"/>
      <c r="G7" s="2297"/>
    </row>
    <row r="8" spans="1:7" ht="15.75" customHeight="1" x14ac:dyDescent="0.25">
      <c r="A8" s="2298" t="s">
        <v>2023</v>
      </c>
      <c r="B8" s="2299"/>
      <c r="C8" s="2299"/>
      <c r="D8" s="2299"/>
      <c r="E8" s="2299"/>
      <c r="F8" s="2299"/>
      <c r="G8" s="2300"/>
    </row>
    <row r="9" spans="1:7" ht="35.25" customHeight="1" x14ac:dyDescent="0.25">
      <c r="A9" s="2295" t="s">
        <v>2022</v>
      </c>
      <c r="B9" s="2296"/>
      <c r="C9" s="2296"/>
      <c r="D9" s="2296"/>
      <c r="E9" s="2296"/>
      <c r="F9" s="2296"/>
      <c r="G9" s="2297"/>
    </row>
    <row r="10" spans="1:7" ht="15" customHeight="1" x14ac:dyDescent="0.25">
      <c r="A10" s="1557" t="s">
        <v>1926</v>
      </c>
      <c r="B10" s="1558"/>
      <c r="C10" s="1558"/>
      <c r="D10" s="1558"/>
      <c r="E10" s="1558"/>
      <c r="F10" s="1558"/>
      <c r="G10" s="1559"/>
    </row>
    <row r="11" spans="1:7" ht="17.25" customHeight="1" x14ac:dyDescent="0.25">
      <c r="A11" s="2295" t="s">
        <v>1940</v>
      </c>
      <c r="B11" s="2296"/>
      <c r="C11" s="2296"/>
      <c r="D11" s="2296"/>
      <c r="E11" s="2296"/>
      <c r="F11" s="2296"/>
      <c r="G11" s="2297"/>
    </row>
    <row r="12" spans="1:7" ht="15" customHeight="1" x14ac:dyDescent="0.25">
      <c r="A12" s="1557" t="s">
        <v>1931</v>
      </c>
      <c r="B12" s="1558"/>
      <c r="C12" s="1558"/>
      <c r="D12" s="1558"/>
      <c r="E12" s="1558"/>
      <c r="F12" s="1558"/>
      <c r="G12" s="1559"/>
    </row>
    <row r="13" spans="1:7" ht="32.25" customHeight="1" x14ac:dyDescent="0.25">
      <c r="A13" s="2286" t="s">
        <v>1932</v>
      </c>
      <c r="B13" s="2287"/>
      <c r="C13" s="2287"/>
      <c r="D13" s="2287"/>
      <c r="E13" s="2287"/>
      <c r="F13" s="2287"/>
      <c r="G13" s="2288"/>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7" t="s">
        <v>2123</v>
      </c>
      <c r="B17" s="1958" t="s">
        <v>2124</v>
      </c>
      <c r="C17" s="1959" t="s">
        <v>2097</v>
      </c>
      <c r="D17" s="1865">
        <v>45907</v>
      </c>
      <c r="E17" s="1560">
        <f t="shared" ref="E17:E141" si="1">IF(D17&lt;=25000,D17,IF(D17&gt;25000,25000,0))</f>
        <v>25000</v>
      </c>
      <c r="F17" s="1813">
        <f t="shared" si="0"/>
        <v>25000</v>
      </c>
      <c r="G17" s="1814">
        <f>IF(F17=0,0,D17-F17)</f>
        <v>20907</v>
      </c>
      <c r="H17" s="1667"/>
    </row>
    <row r="18" spans="1:8" hidden="1"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673"/>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45907</v>
      </c>
      <c r="E141" s="1561">
        <f t="shared" si="1"/>
        <v>25000</v>
      </c>
      <c r="F141" s="1815">
        <f>SUM(F17:F140)</f>
        <v>25000</v>
      </c>
      <c r="G141" s="1816">
        <f>SUM(G17:G140)</f>
        <v>20907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1" t="s">
        <v>1778</v>
      </c>
      <c r="B5" s="2302"/>
      <c r="C5" s="2302"/>
      <c r="D5" s="2302"/>
      <c r="E5" s="2302"/>
      <c r="F5" s="2302"/>
      <c r="G5" s="2303"/>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6" t="s">
        <v>1944</v>
      </c>
      <c r="B11" s="2307"/>
      <c r="C11" s="2307"/>
      <c r="D11" s="2308"/>
      <c r="E11" s="976">
        <v>3851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1434090</v>
      </c>
      <c r="F19" s="1820"/>
      <c r="G19" s="1822">
        <f>'Expenditures 15-22'!K33-SUM('Expenditures 15-22'!G33,'Expenditures 15-22'!I33)+'Expenditures 15-22'!D229</f>
        <v>1434090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79029</v>
      </c>
      <c r="F21" s="1823"/>
      <c r="G21" s="1826">
        <f>'Expenditures 15-22'!K42-SUM('Expenditures 15-22'!G42,'Expenditures 15-22'!I42)+'Expenditures 15-22'!K120-SUM('Expenditures 15-22'!G120,'Expenditures 15-22'!I120)+'Expenditures 15-22'!K180-SUM('Expenditures 15-22'!G180,'Expenditures 15-22'!I180)+'Expenditures 15-22'!D238</f>
        <v>79029</v>
      </c>
      <c r="H21" s="986"/>
      <c r="I21" s="162"/>
    </row>
    <row r="22" spans="1:9" s="667" customFormat="1" ht="12" customHeight="1" x14ac:dyDescent="0.2">
      <c r="A22" s="993" t="s">
        <v>585</v>
      </c>
      <c r="B22" s="994"/>
      <c r="C22" s="992">
        <v>2200</v>
      </c>
      <c r="D22" s="1823"/>
      <c r="E22" s="1825">
        <f>'Expenditures 15-22'!K47-SUM('Expenditures 15-22'!G47,'Expenditures 15-22'!I47)+'Expenditures 15-22'!D243</f>
        <v>23349</v>
      </c>
      <c r="F22" s="1823"/>
      <c r="G22" s="1826">
        <f>'Expenditures 15-22'!K47-SUM('Expenditures 15-22'!G47,'Expenditures 15-22'!I47)+'Expenditures 15-22'!D243</f>
        <v>23349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319361</v>
      </c>
      <c r="F23" s="1823"/>
      <c r="G23" s="1825">
        <f>'Expenditures 15-22'!K53-SUM('Expenditures 15-22'!G53,'Expenditures 15-22'!I53)+'Expenditures 15-22'!D257+'Expenditures 15-22'!K330-SUM('Expenditures 15-22'!G330,'Expenditures 15-22'!I330)</f>
        <v>319361</v>
      </c>
      <c r="H23" s="986"/>
      <c r="I23" s="162"/>
    </row>
    <row r="24" spans="1:9" s="667" customFormat="1" ht="12" customHeight="1" x14ac:dyDescent="0.2">
      <c r="A24" s="993" t="s">
        <v>587</v>
      </c>
      <c r="B24" s="994"/>
      <c r="C24" s="992">
        <v>2400</v>
      </c>
      <c r="D24" s="1823"/>
      <c r="E24" s="1825">
        <f>'Expenditures 15-22'!K57-SUM('Expenditures 15-22'!G57,'Expenditures 15-22'!I57)+'Expenditures 15-22'!D261</f>
        <v>39118</v>
      </c>
      <c r="F24" s="1823"/>
      <c r="G24" s="1826">
        <f>'Expenditures 15-22'!K57-SUM('Expenditures 15-22'!G57,'Expenditures 15-22'!I57)+'Expenditures 15-22'!D261</f>
        <v>39118</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64437</v>
      </c>
      <c r="E27" s="1825">
        <f>E8</f>
        <v>0</v>
      </c>
      <c r="F27" s="1825">
        <f>'Expenditures 15-22'!K60-SUM('Expenditures 15-22'!G60,'Expenditures 15-22'!I60)+'Expenditures 15-22'!D264-E8</f>
        <v>64437</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146635</v>
      </c>
      <c r="F28" s="1827">
        <f>'Expenditures 15-22'!K61-SUM('Expenditures 15-22'!G61,'Expenditures 15-22'!I61)+'Expenditures 15-22'!K124-SUM('Expenditures 15-22'!G124,'Expenditures 15-22'!I124)+'Expenditures 15-22'!D266-E9</f>
        <v>146635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170613</v>
      </c>
      <c r="F29" s="1823"/>
      <c r="G29" s="1826">
        <f>'Expenditures 15-22'!K62-SUM('Expenditures 15-22'!G62,'Expenditures 15-22'!I62)+'Expenditures 15-22'!K125-SUM('Expenditures 15-22'!G125,'Expenditures 15-22'!I125)+'Expenditures 15-22'!K182-SUM('Expenditures 15-22'!G182,'Expenditures 15-22'!I182)+'Expenditures 15-22'!D267</f>
        <v>170613</v>
      </c>
      <c r="H29" s="984"/>
    </row>
    <row r="30" spans="1:9" ht="12" customHeight="1" x14ac:dyDescent="0.2">
      <c r="A30" s="993" t="s">
        <v>102</v>
      </c>
      <c r="B30" s="996"/>
      <c r="C30" s="992">
        <v>2560</v>
      </c>
      <c r="D30" s="1823"/>
      <c r="E30" s="1825">
        <f>'Expenditures 15-22'!K63-SUM('Expenditures 15-22'!G63,'Expenditures 15-22'!I63)+'Expenditures 15-22'!D268-E10</f>
        <v>45907</v>
      </c>
      <c r="F30" s="1823"/>
      <c r="G30" s="1825">
        <f>'Expenditures 15-22'!K63-SUM('Expenditures 15-22'!G63,'Expenditures 15-22'!I63)+'Expenditures 15-22'!D268-E10</f>
        <v>45907</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640</v>
      </c>
      <c r="F39" s="1823"/>
      <c r="G39" s="1825">
        <f>'Expenditures 15-22'!K75-SUM('Expenditures 15-22'!G75,'Expenditures 15-22'!I75)+'Expenditures 15-22'!K130-SUM('Expenditures 15-22'!G130,'Expenditures 15-22'!I130)+'Expenditures 15-22'!K185-SUM('Expenditures 15-22'!G185,'Expenditures 15-22'!I185)+'Expenditures 15-22'!D280</f>
        <v>640</v>
      </c>
    </row>
    <row r="40" spans="1:7" ht="12" customHeight="1" x14ac:dyDescent="0.2">
      <c r="A40" s="989" t="s">
        <v>1929</v>
      </c>
      <c r="B40" s="990"/>
      <c r="C40" s="992"/>
      <c r="D40" s="1823"/>
      <c r="E40" s="1827">
        <f>-'Contracts Paid in CY 29'!G141</f>
        <v>-20907</v>
      </c>
      <c r="F40" s="1823"/>
      <c r="G40" s="1827">
        <f>-'Contracts Paid in CY 29'!G141</f>
        <v>-20907</v>
      </c>
    </row>
    <row r="41" spans="1:7" ht="12" customHeight="1" x14ac:dyDescent="0.2">
      <c r="A41" s="997" t="s">
        <v>158</v>
      </c>
      <c r="B41" s="998"/>
      <c r="C41" s="999"/>
      <c r="D41" s="1827">
        <f>SUM(D19:D39)</f>
        <v>64437</v>
      </c>
      <c r="E41" s="1827">
        <f>SUM(E19:E40)</f>
        <v>2237835</v>
      </c>
      <c r="F41" s="1827">
        <f>SUM(F19:F39)</f>
        <v>211072</v>
      </c>
      <c r="G41" s="1827">
        <f>SUM(G19:G40)</f>
        <v>2091200</v>
      </c>
    </row>
    <row r="42" spans="1:7" x14ac:dyDescent="0.2">
      <c r="A42" s="986"/>
      <c r="B42" s="162"/>
      <c r="C42" s="1000"/>
      <c r="D42" s="2304" t="s">
        <v>543</v>
      </c>
      <c r="E42" s="2305"/>
      <c r="F42" s="1001" t="s">
        <v>544</v>
      </c>
      <c r="G42" s="1002"/>
    </row>
    <row r="43" spans="1:7" ht="12" customHeight="1" x14ac:dyDescent="0.2">
      <c r="A43" s="986"/>
      <c r="B43" s="162"/>
      <c r="C43" s="1000"/>
      <c r="D43" s="1828" t="s">
        <v>493</v>
      </c>
      <c r="E43" s="1829">
        <f>D41</f>
        <v>64437</v>
      </c>
      <c r="F43" s="1828" t="s">
        <v>495</v>
      </c>
      <c r="G43" s="1829">
        <f>F41</f>
        <v>211072</v>
      </c>
    </row>
    <row r="44" spans="1:7" ht="12" customHeight="1" x14ac:dyDescent="0.2">
      <c r="A44" s="986"/>
      <c r="B44" s="162"/>
      <c r="C44" s="1000"/>
      <c r="D44" s="1828" t="s">
        <v>494</v>
      </c>
      <c r="E44" s="1829">
        <f>E41</f>
        <v>2237835</v>
      </c>
      <c r="F44" s="1828" t="s">
        <v>494</v>
      </c>
      <c r="G44" s="1829">
        <f>G41</f>
        <v>2091200</v>
      </c>
    </row>
    <row r="45" spans="1:7" ht="12" customHeight="1" x14ac:dyDescent="0.2">
      <c r="A45" s="986"/>
      <c r="B45" s="162"/>
      <c r="C45" s="162"/>
      <c r="D45" s="1830" t="s">
        <v>1063</v>
      </c>
      <c r="E45" s="1831">
        <f>(E43/E44)</f>
        <v>2.8794348108774775E-2</v>
      </c>
      <c r="F45" s="1830" t="s">
        <v>1063</v>
      </c>
      <c r="G45" s="1831">
        <f>(G43/G44)</f>
        <v>0.10093343534812547</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K31" sqref="K3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3" t="s">
        <v>1446</v>
      </c>
      <c r="B1" s="2323"/>
      <c r="C1" s="2323"/>
      <c r="D1" s="2323"/>
      <c r="E1" s="2323"/>
      <c r="F1" s="2323"/>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4" t="s">
        <v>1627</v>
      </c>
      <c r="B5" s="2325"/>
      <c r="C5" s="2326"/>
      <c r="D5" s="2326"/>
      <c r="E5" s="2326"/>
      <c r="F5" s="2326"/>
    </row>
    <row r="6" spans="1:10" ht="12" customHeight="1" x14ac:dyDescent="0.25">
      <c r="A6" s="1873"/>
      <c r="B6" s="1874"/>
      <c r="C6" s="2327" t="str">
        <f>COVER!A17</f>
        <v>Montmorency CCSD 145</v>
      </c>
      <c r="D6" s="2327"/>
      <c r="E6" s="2327"/>
      <c r="F6" s="1875"/>
    </row>
    <row r="7" spans="1:10" ht="11.25" customHeight="1" thickBot="1" x14ac:dyDescent="0.3">
      <c r="A7" s="1873"/>
      <c r="B7" s="1874"/>
      <c r="C7" s="2328">
        <f>COVER!A13</f>
        <v>47098145004</v>
      </c>
      <c r="D7" s="2328"/>
      <c r="E7" s="2328"/>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2085</v>
      </c>
      <c r="D16" s="1888" t="s">
        <v>2085</v>
      </c>
      <c r="E16" s="1891"/>
      <c r="F16" s="1890" t="s">
        <v>2097</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t="s">
        <v>2085</v>
      </c>
      <c r="D18" s="1888" t="s">
        <v>2085</v>
      </c>
      <c r="E18" s="1891"/>
      <c r="F18" s="1890" t="s">
        <v>2098</v>
      </c>
      <c r="H18" s="1901">
        <f t="shared" si="0"/>
        <v>5</v>
      </c>
      <c r="I18" s="1901">
        <f t="shared" si="1"/>
        <v>5</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2085</v>
      </c>
      <c r="D25" s="1888" t="s">
        <v>2085</v>
      </c>
      <c r="E25" s="1891"/>
      <c r="F25" s="1890" t="s">
        <v>2099</v>
      </c>
      <c r="H25" s="1901">
        <f t="shared" si="0"/>
        <v>5</v>
      </c>
      <c r="I25" s="1901">
        <f t="shared" si="1"/>
        <v>5</v>
      </c>
      <c r="J25" s="1901">
        <f t="shared" si="2"/>
        <v>0</v>
      </c>
    </row>
    <row r="26" spans="1:12" ht="12" customHeight="1" x14ac:dyDescent="0.2">
      <c r="A26" s="1886" t="s">
        <v>1615</v>
      </c>
      <c r="B26" s="1887"/>
      <c r="C26" s="1888" t="s">
        <v>2085</v>
      </c>
      <c r="D26" s="1888" t="s">
        <v>2085</v>
      </c>
      <c r="E26" s="1891"/>
      <c r="F26" s="1890" t="s">
        <v>2100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2085</v>
      </c>
      <c r="D30" s="1888" t="s">
        <v>2085</v>
      </c>
      <c r="E30" s="1891"/>
      <c r="F30" s="1890" t="s">
        <v>2101</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2085</v>
      </c>
      <c r="D32" s="1888" t="s">
        <v>2085</v>
      </c>
      <c r="E32" s="1891"/>
      <c r="F32" s="1890" t="s">
        <v>2102</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30</v>
      </c>
      <c r="I34" s="1901">
        <f>SUM(I11:I32)</f>
        <v>30</v>
      </c>
      <c r="J34" s="1901">
        <f>SUM(J11:J32)</f>
        <v>0</v>
      </c>
      <c r="K34" s="1901">
        <f>SUM(H34:J34)</f>
        <v>60</v>
      </c>
    </row>
    <row r="35" spans="1:11" ht="12" customHeight="1" x14ac:dyDescent="0.2">
      <c r="A35" s="1894" t="s">
        <v>1459</v>
      </c>
      <c r="B35" s="1895"/>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6"/>
      <c r="B39" s="1896"/>
      <c r="C39" s="1896"/>
      <c r="D39" s="1896"/>
      <c r="E39" s="1896"/>
      <c r="F39" s="1896"/>
    </row>
    <row r="40" spans="1:11" s="1893" customFormat="1" ht="12" customHeight="1" x14ac:dyDescent="0.25">
      <c r="A40" s="1897" t="s">
        <v>1458</v>
      </c>
      <c r="B40" s="1898"/>
      <c r="C40" s="2318"/>
      <c r="D40" s="2318"/>
      <c r="E40" s="2318"/>
      <c r="F40" s="2319"/>
      <c r="H40" s="1902"/>
      <c r="I40" s="1902"/>
      <c r="J40" s="1902"/>
      <c r="K40" s="1902"/>
    </row>
    <row r="41" spans="1:11" s="1893" customFormat="1" ht="12" customHeight="1" x14ac:dyDescent="0.25">
      <c r="A41" s="2320"/>
      <c r="B41" s="2321"/>
      <c r="C41" s="2321"/>
      <c r="D41" s="2321"/>
      <c r="E41" s="2321"/>
      <c r="F41" s="2322"/>
      <c r="H41" s="1902"/>
      <c r="I41" s="1902"/>
      <c r="J41" s="1902"/>
      <c r="K41" s="1902"/>
    </row>
    <row r="42" spans="1:11" s="1893" customFormat="1" ht="12" customHeight="1" x14ac:dyDescent="0.25">
      <c r="A42" s="2320"/>
      <c r="B42" s="2321"/>
      <c r="C42" s="2321"/>
      <c r="D42" s="2321"/>
      <c r="E42" s="2321"/>
      <c r="F42" s="2322"/>
      <c r="H42" s="1902"/>
      <c r="I42" s="1902"/>
      <c r="J42" s="1902"/>
      <c r="K42" s="1902"/>
    </row>
    <row r="43" spans="1:11" s="1893" customFormat="1" ht="15" x14ac:dyDescent="0.25">
      <c r="A43" s="2309"/>
      <c r="B43" s="2310"/>
      <c r="C43" s="2310"/>
      <c r="D43" s="2310"/>
      <c r="E43" s="2310"/>
      <c r="F43" s="2311"/>
      <c r="H43" s="1902"/>
      <c r="I43" s="1902"/>
      <c r="J43" s="1902"/>
      <c r="K43" s="1902"/>
    </row>
    <row r="44" spans="1:11" s="1893" customFormat="1" ht="12" hidden="1" customHeight="1" x14ac:dyDescent="0.25">
      <c r="A44" s="2309"/>
      <c r="B44" s="2310"/>
      <c r="C44" s="2310"/>
      <c r="D44" s="2310"/>
      <c r="E44" s="2310"/>
      <c r="F44" s="2311"/>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5" zoomScaleNormal="115"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6" t="str">
        <f>COVER!A17</f>
        <v>Montmorency CCSD 145</v>
      </c>
      <c r="J6" s="2337"/>
      <c r="Q6" s="1684"/>
    </row>
    <row r="7" spans="1:17" x14ac:dyDescent="0.2">
      <c r="A7" s="2338" t="s">
        <v>924</v>
      </c>
      <c r="B7" s="2339"/>
      <c r="C7" s="2339"/>
      <c r="D7" s="2339"/>
      <c r="E7" s="2340"/>
      <c r="F7" s="1016"/>
      <c r="G7" s="1008"/>
      <c r="H7" s="1015" t="s">
        <v>390</v>
      </c>
      <c r="I7" s="2341">
        <f>COVER!A13</f>
        <v>47098145004</v>
      </c>
      <c r="J7" s="2341"/>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2" t="s">
        <v>502</v>
      </c>
      <c r="B11" s="2343"/>
      <c r="C11" s="2344"/>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127476</v>
      </c>
      <c r="F12" s="1038"/>
      <c r="G12" s="1832">
        <f t="shared" ref="G12:G18" si="0">SUM(E12:F12)</f>
        <v>127476</v>
      </c>
      <c r="H12" s="1039">
        <v>133764</v>
      </c>
      <c r="I12" s="1038"/>
      <c r="J12" s="1832">
        <f t="shared" ref="J12:J18" si="1">SUM(H12:I12)</f>
        <v>133764</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5" t="s">
        <v>7</v>
      </c>
      <c r="C18" s="2346"/>
      <c r="D18" s="2347"/>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127476</v>
      </c>
      <c r="F19" s="1834">
        <f t="shared" si="2"/>
        <v>0</v>
      </c>
      <c r="G19" s="1834">
        <f t="shared" si="2"/>
        <v>127476</v>
      </c>
      <c r="H19" s="1834">
        <f t="shared" si="2"/>
        <v>133764</v>
      </c>
      <c r="I19" s="1834">
        <f t="shared" si="2"/>
        <v>0</v>
      </c>
      <c r="J19" s="1834">
        <f t="shared" si="2"/>
        <v>133764</v>
      </c>
    </row>
    <row r="20" spans="1:10" ht="13.5" thickTop="1" x14ac:dyDescent="0.2">
      <c r="A20" s="1034">
        <v>9</v>
      </c>
      <c r="B20" s="2348" t="s">
        <v>1703</v>
      </c>
      <c r="C20" s="2348"/>
      <c r="D20" s="2349"/>
      <c r="E20" s="1045"/>
      <c r="F20" s="1045"/>
      <c r="G20" s="1045"/>
      <c r="H20" s="1045"/>
      <c r="I20" s="1045"/>
      <c r="J20" s="1835">
        <f>IF(AND(G19&gt;0,J19&gt;0),(((J19-G19)/G19)),"Enter Budget Data")</f>
        <v>4.9326932128400641E-2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4"/>
      <c r="D26" s="2354"/>
      <c r="E26" s="1049"/>
      <c r="F26" s="2353"/>
      <c r="G26" s="2353"/>
    </row>
    <row r="27" spans="1:10" x14ac:dyDescent="0.2">
      <c r="B27" s="1046"/>
      <c r="C27" s="1050" t="s">
        <v>1093</v>
      </c>
      <c r="D27" s="1051"/>
      <c r="E27" s="1052"/>
      <c r="F27" s="2350" t="s">
        <v>1589</v>
      </c>
      <c r="G27" s="2350"/>
    </row>
    <row r="28" spans="1:10" ht="28.5" customHeight="1" x14ac:dyDescent="0.2">
      <c r="B28" s="1046"/>
      <c r="C28" s="2352"/>
      <c r="D28" s="2352"/>
      <c r="E28" s="1053"/>
      <c r="F28" s="2352"/>
      <c r="G28" s="2352"/>
    </row>
    <row r="29" spans="1:10" x14ac:dyDescent="0.2">
      <c r="B29" s="1046"/>
      <c r="C29" s="1054" t="s">
        <v>1642</v>
      </c>
      <c r="E29" s="1055"/>
      <c r="F29" s="2351" t="s">
        <v>1590</v>
      </c>
      <c r="G29" s="2351"/>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1"/>
    </row>
    <row r="36" spans="1:10" ht="13.5" customHeight="1" x14ac:dyDescent="0.2">
      <c r="B36" s="1060"/>
      <c r="C36" s="2335" t="s">
        <v>1943</v>
      </c>
      <c r="D36" s="2334"/>
      <c r="E36" s="2334"/>
      <c r="F36" s="2334"/>
      <c r="G36" s="2334"/>
      <c r="H36" s="2334"/>
      <c r="I36" s="2334"/>
      <c r="J36" s="1062"/>
    </row>
    <row r="37" spans="1:10" ht="22.5" customHeight="1" x14ac:dyDescent="0.2">
      <c r="C37" s="2334"/>
      <c r="D37" s="2334"/>
      <c r="E37" s="2334"/>
      <c r="F37" s="2334"/>
      <c r="G37" s="2334"/>
      <c r="H37" s="2334"/>
      <c r="I37" s="2334"/>
      <c r="J37" s="1062"/>
    </row>
    <row r="38" spans="1:10" ht="7.5" customHeight="1" x14ac:dyDescent="0.2">
      <c r="C38" s="1061"/>
      <c r="D38" s="1063"/>
      <c r="E38" s="1064"/>
      <c r="F38" s="1065"/>
      <c r="G38" s="1064"/>
    </row>
    <row r="39" spans="1:10" ht="13.5" customHeight="1" x14ac:dyDescent="0.2">
      <c r="B39" s="1060"/>
      <c r="C39" s="2331" t="s">
        <v>937</v>
      </c>
      <c r="D39" s="2332"/>
      <c r="E39" s="2332"/>
      <c r="F39" s="2332"/>
      <c r="G39" s="2332"/>
      <c r="H39" s="2332"/>
      <c r="I39" s="2332"/>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2125</v>
      </c>
    </row>
    <row r="6" spans="1:2" x14ac:dyDescent="0.2">
      <c r="A6" s="1067">
        <v>2</v>
      </c>
      <c r="B6" s="329" t="s">
        <v>2126</v>
      </c>
    </row>
    <row r="7" spans="1:2" x14ac:dyDescent="0.2">
      <c r="A7" s="1067">
        <v>3</v>
      </c>
      <c r="B7" s="329" t="s">
        <v>2130</v>
      </c>
    </row>
    <row r="8" spans="1:2" x14ac:dyDescent="0.2">
      <c r="A8" s="1067">
        <v>4</v>
      </c>
      <c r="B8" s="329" t="s">
        <v>2127</v>
      </c>
    </row>
    <row r="9" spans="1:2" x14ac:dyDescent="0.2">
      <c r="A9" s="1067">
        <v>5</v>
      </c>
      <c r="B9" s="329" t="s">
        <v>2128</v>
      </c>
    </row>
    <row r="10" spans="1:2" x14ac:dyDescent="0.2">
      <c r="A10" s="1067">
        <v>6</v>
      </c>
      <c r="B10" s="329" t="s">
        <v>2129</v>
      </c>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Montmorency CCSD 145</v>
      </c>
    </row>
    <row r="65" spans="2:2" x14ac:dyDescent="0.2">
      <c r="B65" s="1069">
        <f>COVER!A13</f>
        <v>47098145004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3"/>
      <c r="H2" s="1073"/>
    </row>
    <row r="3" spans="1:8" ht="57" customHeight="1" x14ac:dyDescent="0.2">
      <c r="A3" s="2369" t="s">
        <v>1786</v>
      </c>
      <c r="B3" s="2370"/>
      <c r="C3" s="2370"/>
      <c r="D3" s="2370"/>
      <c r="E3" s="2370"/>
      <c r="F3" s="2371"/>
      <c r="G3" s="1073"/>
      <c r="H3" s="1073"/>
    </row>
    <row r="4" spans="1:8" ht="14.25" customHeight="1" x14ac:dyDescent="0.2">
      <c r="A4" s="2375" t="s">
        <v>2055</v>
      </c>
      <c r="B4" s="2376"/>
      <c r="C4" s="2376"/>
      <c r="D4" s="2376"/>
      <c r="E4" s="2376"/>
      <c r="F4" s="2377"/>
      <c r="G4" s="1073"/>
      <c r="H4" s="1073"/>
    </row>
    <row r="5" spans="1:8" ht="14.25" customHeight="1" x14ac:dyDescent="0.2">
      <c r="A5" s="2378" t="s">
        <v>2056</v>
      </c>
      <c r="B5" s="2379"/>
      <c r="C5" s="2379"/>
      <c r="D5" s="2379"/>
      <c r="E5" s="2379"/>
      <c r="F5" s="2380"/>
      <c r="G5" s="1073"/>
      <c r="H5" s="1073"/>
    </row>
    <row r="6" spans="1:8" s="1074" customFormat="1" ht="41.25" customHeight="1" x14ac:dyDescent="0.2">
      <c r="A6" s="2372" t="s">
        <v>1792</v>
      </c>
      <c r="B6" s="2373"/>
      <c r="C6" s="2373"/>
      <c r="D6" s="2373"/>
      <c r="E6" s="2373"/>
      <c r="F6" s="2374"/>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2051300</v>
      </c>
      <c r="C8" s="1836">
        <f>'Acct Summary 7-8'!D8</f>
        <v>130821</v>
      </c>
      <c r="D8" s="1836">
        <f>'Acct Summary 7-8'!F8</f>
        <v>174814</v>
      </c>
      <c r="E8" s="1836">
        <f>'Acct Summary 7-8'!I8</f>
        <v>26359</v>
      </c>
      <c r="F8" s="1836">
        <f>SUM(B8:E8)</f>
        <v>2383294</v>
      </c>
    </row>
    <row r="9" spans="1:8" s="1078" customFormat="1" ht="14.25" customHeight="1" thickBot="1" x14ac:dyDescent="0.25">
      <c r="A9" s="1077" t="s">
        <v>1436</v>
      </c>
      <c r="B9" s="1837">
        <f>'Acct Summary 7-8'!C17</f>
        <v>1962657</v>
      </c>
      <c r="C9" s="1837">
        <f>'Acct Summary 7-8'!D17</f>
        <v>95458</v>
      </c>
      <c r="D9" s="1837">
        <f>'Acct Summary 7-8'!F17</f>
        <v>170613</v>
      </c>
      <c r="E9" s="1836"/>
      <c r="F9" s="1836">
        <f>SUM(B9:E9)</f>
        <v>2228728</v>
      </c>
    </row>
    <row r="10" spans="1:8" s="1078" customFormat="1" ht="14.25" thickTop="1" thickBot="1" x14ac:dyDescent="0.25">
      <c r="A10" s="1079" t="s">
        <v>1437</v>
      </c>
      <c r="B10" s="1838">
        <f>(B8-B9)</f>
        <v>88643</v>
      </c>
      <c r="C10" s="1838">
        <f>(C8-C9)</f>
        <v>35363</v>
      </c>
      <c r="D10" s="1838">
        <f>(D8-D9)</f>
        <v>4201</v>
      </c>
      <c r="E10" s="1837">
        <f>(E8-E9)</f>
        <v>26359</v>
      </c>
      <c r="F10" s="1839">
        <f>SUM(F8-F9)</f>
        <v>154566</v>
      </c>
    </row>
    <row r="11" spans="1:8" s="1078" customFormat="1" ht="14.25" thickTop="1" thickBot="1" x14ac:dyDescent="0.25">
      <c r="A11" s="1080" t="s">
        <v>1785</v>
      </c>
      <c r="B11" s="1840">
        <f>'Acct Summary 7-8'!C81</f>
        <v>847855</v>
      </c>
      <c r="C11" s="1840">
        <f>'Acct Summary 7-8'!D81</f>
        <v>240882</v>
      </c>
      <c r="D11" s="1840">
        <f>'Acct Summary 7-8'!F81</f>
        <v>124670</v>
      </c>
      <c r="E11" s="1840">
        <f>'Acct Summary 7-8'!I81</f>
        <v>655578</v>
      </c>
      <c r="F11" s="1841">
        <f>SUM(B11:E11)</f>
        <v>1868985</v>
      </c>
    </row>
    <row r="12" spans="1:8" ht="16.5" customHeight="1" thickTop="1" x14ac:dyDescent="0.2">
      <c r="A12" s="1081"/>
      <c r="B12" s="1082"/>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3"/>
      <c r="B13" s="1084"/>
      <c r="C13" s="2360"/>
      <c r="D13" s="2361"/>
      <c r="E13" s="2361"/>
      <c r="F13" s="2362"/>
      <c r="H13" s="1073"/>
    </row>
    <row r="14" spans="1:8" ht="19.5" customHeight="1" x14ac:dyDescent="0.2">
      <c r="A14" s="1083"/>
      <c r="B14" s="1084"/>
      <c r="C14" s="2360"/>
      <c r="D14" s="2361"/>
      <c r="E14" s="2361"/>
      <c r="F14" s="2362"/>
      <c r="H14" s="1073"/>
    </row>
    <row r="15" spans="1:8" ht="17.25" customHeight="1" x14ac:dyDescent="0.2">
      <c r="A15" s="1083"/>
      <c r="B15" s="1084"/>
      <c r="C15" s="2363"/>
      <c r="D15" s="2364"/>
      <c r="E15" s="2364"/>
      <c r="F15" s="2365"/>
      <c r="H15" s="1073"/>
    </row>
    <row r="16" spans="1:8" s="310" customFormat="1" ht="51.75" hidden="1" customHeight="1" x14ac:dyDescent="0.2">
      <c r="A16" s="2359" t="s">
        <v>1787</v>
      </c>
      <c r="B16" s="2359"/>
      <c r="C16" s="2359"/>
      <c r="D16" s="2359"/>
      <c r="E16" s="2359"/>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1" t="s">
        <v>686</v>
      </c>
      <c r="B3" s="2382"/>
      <c r="C3" s="2382"/>
      <c r="D3" s="2383"/>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2" t="s">
        <v>1584</v>
      </c>
      <c r="D7" s="2393"/>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4" t="s">
        <v>1065</v>
      </c>
      <c r="B15" s="2385"/>
      <c r="C15" s="2385"/>
      <c r="D15" s="2386"/>
    </row>
    <row r="16" spans="1:4" s="667" customFormat="1" ht="24" customHeight="1" x14ac:dyDescent="0.2">
      <c r="A16" s="2387" t="s">
        <v>684</v>
      </c>
      <c r="B16" s="2388"/>
      <c r="C16" s="2388"/>
      <c r="D16" s="2389"/>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6" t="s">
        <v>332</v>
      </c>
      <c r="D21" s="2397"/>
    </row>
    <row r="22" spans="1:10" ht="12.75" x14ac:dyDescent="0.2">
      <c r="A22" s="1138"/>
      <c r="B22" s="1139">
        <v>2</v>
      </c>
      <c r="C22" s="2394" t="s">
        <v>1605</v>
      </c>
      <c r="D22" s="2395"/>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8" t="s">
        <v>557</v>
      </c>
      <c r="D43" s="239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0" t="s">
        <v>817</v>
      </c>
      <c r="D56" s="2391"/>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0" t="s">
        <v>1797</v>
      </c>
      <c r="D70" s="2391"/>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47098145004</v>
      </c>
    </row>
    <row r="3" spans="1:2" x14ac:dyDescent="0.2">
      <c r="A3" t="s">
        <v>1013</v>
      </c>
      <c r="B3" s="138" t="str">
        <f>COVER!A15</f>
        <v>Whiteside</v>
      </c>
    </row>
    <row r="4" spans="1:2" x14ac:dyDescent="0.2">
      <c r="A4" t="s">
        <v>1064</v>
      </c>
      <c r="B4" s="138" t="str">
        <f>COVER!A17</f>
        <v>Montmorency CCSD 145</v>
      </c>
    </row>
    <row r="5" spans="1:2" x14ac:dyDescent="0.2">
      <c r="A5" t="s">
        <v>728</v>
      </c>
      <c r="B5" s="138" t="str">
        <f>COVER!A38</f>
        <v>Alex Moore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847855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793429</v>
      </c>
      <c r="D92" s="2" t="str">
        <f t="shared" si="0"/>
        <v>Error?</v>
      </c>
    </row>
    <row r="93" spans="1:4" x14ac:dyDescent="0.2">
      <c r="A93" s="5">
        <v>32</v>
      </c>
      <c r="B93" s="138">
        <f>'Assets-Liab 5-6'!C41</f>
        <v>847855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240882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240882</v>
      </c>
      <c r="D123" s="2" t="str">
        <f t="shared" si="0"/>
        <v>Error?</v>
      </c>
    </row>
    <row r="124" spans="1:4" x14ac:dyDescent="0.2">
      <c r="A124" s="5">
        <v>63</v>
      </c>
      <c r="B124" s="138">
        <f>'Assets-Liab 5-6'!D41</f>
        <v>240882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128108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128108</v>
      </c>
      <c r="D140" s="2" t="str">
        <f t="shared" si="1"/>
        <v>Error?</v>
      </c>
    </row>
    <row r="141" spans="1:4" x14ac:dyDescent="0.2">
      <c r="A141" s="5">
        <v>80</v>
      </c>
      <c r="B141" s="138">
        <f>'Assets-Liab 5-6'!E41</f>
        <v>128108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124670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124670</v>
      </c>
      <c r="D170" s="2" t="str">
        <f t="shared" si="1"/>
        <v>Error?</v>
      </c>
    </row>
    <row r="171" spans="1:4" x14ac:dyDescent="0.2">
      <c r="A171" s="5">
        <v>110</v>
      </c>
      <c r="B171" s="138">
        <f>'Assets-Liab 5-6'!F41</f>
        <v>124670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164436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65769</v>
      </c>
      <c r="D189" s="2" t="str">
        <f t="shared" si="1"/>
        <v>Error?</v>
      </c>
    </row>
    <row r="190" spans="1:4" x14ac:dyDescent="0.2">
      <c r="A190" s="5">
        <v>129</v>
      </c>
      <c r="B190" s="138">
        <f>'Assets-Liab 5-6'!G41</f>
        <v>164436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279379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279379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8150</v>
      </c>
      <c r="D273" s="2" t="str">
        <f t="shared" si="3"/>
        <v>Error?</v>
      </c>
    </row>
    <row r="274" spans="1:4" x14ac:dyDescent="0.2">
      <c r="A274" s="5">
        <v>213</v>
      </c>
      <c r="B274" s="138">
        <f>'Assets-Liab 5-6'!M17</f>
        <v>4231504</v>
      </c>
      <c r="D274" s="2" t="str">
        <f t="shared" si="3"/>
        <v>Error?</v>
      </c>
    </row>
    <row r="275" spans="1:4" x14ac:dyDescent="0.2">
      <c r="A275" s="5">
        <v>214</v>
      </c>
      <c r="B275" s="138">
        <f>'Assets-Liab 5-6'!M18</f>
        <v>45261</v>
      </c>
      <c r="D275" s="2" t="str">
        <f t="shared" si="3"/>
        <v>Error?</v>
      </c>
    </row>
    <row r="276" spans="1:4" x14ac:dyDescent="0.2">
      <c r="A276" s="5">
        <v>215</v>
      </c>
      <c r="B276" s="138">
        <f>'Assets-Liab 5-6'!M19</f>
        <v>170487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4457418</v>
      </c>
      <c r="C279" s="2" t="s">
        <v>594</v>
      </c>
      <c r="D279" s="2" t="str">
        <f t="shared" si="3"/>
        <v>Error?</v>
      </c>
    </row>
    <row r="280" spans="1:4" x14ac:dyDescent="0.2">
      <c r="A280" s="5">
        <v>219</v>
      </c>
      <c r="B280" s="138">
        <f>'Assets-Liab 5-6'!M40</f>
        <v>4457418</v>
      </c>
      <c r="D280" s="2" t="str">
        <f t="shared" si="3"/>
        <v>Error?</v>
      </c>
    </row>
    <row r="281" spans="1:4" x14ac:dyDescent="0.2">
      <c r="A281" s="5">
        <v>220</v>
      </c>
      <c r="B281" s="138">
        <f>'Assets-Liab 5-6'!M41</f>
        <v>4457418</v>
      </c>
      <c r="C281" s="2" t="s">
        <v>594</v>
      </c>
      <c r="D281" s="2" t="str">
        <f t="shared" si="3"/>
        <v>Error?</v>
      </c>
    </row>
    <row r="282" spans="1:4" x14ac:dyDescent="0.2">
      <c r="A282" s="5">
        <v>221</v>
      </c>
      <c r="B282" s="138">
        <f>'Assets-Liab 5-6'!N21</f>
        <v>128108</v>
      </c>
      <c r="D282" s="2" t="str">
        <f t="shared" si="3"/>
        <v>Error?</v>
      </c>
    </row>
    <row r="283" spans="1:4" x14ac:dyDescent="0.2">
      <c r="A283" s="5">
        <v>222</v>
      </c>
      <c r="B283" s="138">
        <f>'Assets-Liab 5-6'!N22</f>
        <v>1316892</v>
      </c>
      <c r="D283" s="2" t="str">
        <f t="shared" si="3"/>
        <v>Error?</v>
      </c>
    </row>
    <row r="284" spans="1:4" x14ac:dyDescent="0.2">
      <c r="A284" s="5">
        <v>223</v>
      </c>
      <c r="B284" s="138">
        <f>'Assets-Liab 5-6'!N23</f>
        <v>1445000</v>
      </c>
      <c r="C284" s="2" t="s">
        <v>594</v>
      </c>
      <c r="D284" s="2" t="str">
        <f t="shared" si="3"/>
        <v>Error?</v>
      </c>
    </row>
    <row r="285" spans="1:4" x14ac:dyDescent="0.2">
      <c r="A285" s="5">
        <v>224</v>
      </c>
      <c r="B285" s="138">
        <f>'Assets-Liab 5-6'!N36</f>
        <v>1445000</v>
      </c>
      <c r="D285" s="2" t="str">
        <f t="shared" si="3"/>
        <v>Error?</v>
      </c>
    </row>
    <row r="286" spans="1:4" x14ac:dyDescent="0.2">
      <c r="A286" s="10">
        <v>225</v>
      </c>
      <c r="D286" s="2" t="str">
        <f t="shared" si="3"/>
        <v>OK</v>
      </c>
    </row>
    <row r="287" spans="1:4" x14ac:dyDescent="0.2">
      <c r="A287" s="5">
        <v>226</v>
      </c>
      <c r="B287" s="138">
        <f>'Assets-Liab 5-6'!N37</f>
        <v>1445000</v>
      </c>
      <c r="C287" s="2" t="s">
        <v>594</v>
      </c>
      <c r="D287" s="2" t="str">
        <f t="shared" si="3"/>
        <v>Error?</v>
      </c>
    </row>
    <row r="288" spans="1:4" x14ac:dyDescent="0.2">
      <c r="A288" s="5">
        <v>227</v>
      </c>
      <c r="B288" s="138">
        <f>'Assets-Liab 5-6'!N41</f>
        <v>1445000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185691</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928742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10784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1068972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56225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56225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5003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5003</v>
      </c>
      <c r="C731" s="2" t="s">
        <v>594</v>
      </c>
      <c r="D731" s="2" t="str">
        <f t="shared" si="10"/>
        <v>Error?</v>
      </c>
    </row>
    <row r="732" spans="1:4" x14ac:dyDescent="0.2">
      <c r="A732" s="5">
        <v>671</v>
      </c>
      <c r="B732" s="138">
        <f>'Expenditures 15-22'!C49</f>
        <v>750</v>
      </c>
      <c r="D732" s="2" t="str">
        <f t="shared" si="10"/>
        <v>Error?</v>
      </c>
    </row>
    <row r="733" spans="1:4" x14ac:dyDescent="0.2">
      <c r="A733" s="5">
        <v>672</v>
      </c>
      <c r="B733" s="138">
        <f>'Expenditures 15-22'!C50</f>
        <v>91448</v>
      </c>
      <c r="D733" s="2" t="str">
        <f t="shared" si="10"/>
        <v>Error?</v>
      </c>
    </row>
    <row r="734" spans="1:4" x14ac:dyDescent="0.2">
      <c r="A734" s="5">
        <v>673</v>
      </c>
      <c r="B734" s="138">
        <f>'Expenditures 15-22'!C53</f>
        <v>92198</v>
      </c>
      <c r="C734" s="2" t="s">
        <v>594</v>
      </c>
      <c r="D734" s="2" t="str">
        <f t="shared" si="10"/>
        <v>Error?</v>
      </c>
    </row>
    <row r="735" spans="1:4" x14ac:dyDescent="0.2">
      <c r="A735" s="5">
        <v>674</v>
      </c>
      <c r="B735" s="138">
        <f>'Expenditures 15-22'!C55</f>
        <v>23872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23872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39607</v>
      </c>
      <c r="D739" s="2" t="str">
        <f t="shared" si="10"/>
        <v>Error?</v>
      </c>
    </row>
    <row r="740" spans="1:4" x14ac:dyDescent="0.2">
      <c r="A740" s="5">
        <v>679</v>
      </c>
      <c r="B740" s="138">
        <f>'Expenditures 15-22'!C61</f>
        <v>42605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82212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259510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1328482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244284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806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268874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14080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14080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1468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31954</v>
      </c>
      <c r="D791" s="2" t="str">
        <f t="shared" si="11"/>
        <v>Error?</v>
      </c>
    </row>
    <row r="792" spans="1:4" x14ac:dyDescent="0.2">
      <c r="A792" s="5">
        <v>731</v>
      </c>
      <c r="B792" s="138">
        <f>'Expenditures 15-22'!D53</f>
        <v>31954</v>
      </c>
      <c r="C792" s="2" t="s">
        <v>594</v>
      </c>
      <c r="D792" s="2" t="str">
        <f t="shared" si="11"/>
        <v>Error?</v>
      </c>
    </row>
    <row r="793" spans="1:4" x14ac:dyDescent="0.2">
      <c r="A793" s="5">
        <v>732</v>
      </c>
      <c r="B793" s="138">
        <f>'Expenditures 15-22'!D55</f>
        <v>6499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6499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10440</v>
      </c>
      <c r="D797" s="2" t="str">
        <f t="shared" si="11"/>
        <v>Error?</v>
      </c>
    </row>
    <row r="798" spans="1:4" x14ac:dyDescent="0.2">
      <c r="A798" s="5">
        <v>737</v>
      </c>
      <c r="B798" s="138">
        <f>'Expenditures 15-22'!D61</f>
        <v>8019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18459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72460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341334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45980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79</v>
      </c>
      <c r="D833" s="2" t="str">
        <f t="shared" si="12"/>
        <v>Error?</v>
      </c>
    </row>
    <row r="834" spans="1:4" x14ac:dyDescent="0.2">
      <c r="A834" s="5">
        <v>773</v>
      </c>
      <c r="B834" s="138">
        <f>'Expenditures 15-22'!E14</f>
        <v>132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46976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5000</v>
      </c>
      <c r="D838" s="2" t="str">
        <f t="shared" si="12"/>
        <v>Error?</v>
      </c>
    </row>
    <row r="839" spans="1:4" x14ac:dyDescent="0.2">
      <c r="A839" s="5">
        <v>778</v>
      </c>
      <c r="B839" s="138">
        <f>'Expenditures 15-22'!E38</f>
        <v>95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2242</v>
      </c>
      <c r="D842" s="2" t="str">
        <f t="shared" si="12"/>
        <v>Error?</v>
      </c>
    </row>
    <row r="843" spans="1:4" x14ac:dyDescent="0.2">
      <c r="A843" s="5">
        <v>782</v>
      </c>
      <c r="B843" s="138">
        <f>'Expenditures 15-22'!E42</f>
        <v>7337</v>
      </c>
      <c r="C843" s="2" t="s">
        <v>594</v>
      </c>
      <c r="D843" s="2" t="str">
        <f t="shared" si="12"/>
        <v>Error?</v>
      </c>
    </row>
    <row r="844" spans="1:4" x14ac:dyDescent="0.2">
      <c r="A844" s="5">
        <v>783</v>
      </c>
      <c r="B844" s="138">
        <f>'Expenditures 15-22'!E44</f>
        <v>690</v>
      </c>
      <c r="D844" s="2" t="str">
        <f t="shared" si="12"/>
        <v>Error?</v>
      </c>
    </row>
    <row r="845" spans="1:4" x14ac:dyDescent="0.2">
      <c r="A845" s="5">
        <v>784</v>
      </c>
      <c r="B845" s="138">
        <f>'Expenditures 15-22'!E45</f>
        <v>10390</v>
      </c>
      <c r="D845" s="2" t="str">
        <f t="shared" si="12"/>
        <v>Error?</v>
      </c>
    </row>
    <row r="846" spans="1:4" x14ac:dyDescent="0.2">
      <c r="A846" s="5">
        <v>785</v>
      </c>
      <c r="B846" s="138">
        <f>'Expenditures 15-22'!E46</f>
        <v>3625</v>
      </c>
      <c r="D846" s="2" t="str">
        <f t="shared" si="12"/>
        <v>Error?</v>
      </c>
    </row>
    <row r="847" spans="1:4" x14ac:dyDescent="0.2">
      <c r="A847" s="5">
        <v>786</v>
      </c>
      <c r="B847" s="138">
        <f>'Expenditures 15-22'!E47</f>
        <v>14705</v>
      </c>
      <c r="C847" s="2" t="s">
        <v>594</v>
      </c>
      <c r="D847" s="2" t="str">
        <f t="shared" si="12"/>
        <v>Error?</v>
      </c>
    </row>
    <row r="848" spans="1:4" x14ac:dyDescent="0.2">
      <c r="A848" s="5">
        <v>787</v>
      </c>
      <c r="B848" s="138">
        <f>'Expenditures 15-22'!E49</f>
        <v>10224</v>
      </c>
      <c r="D848" s="2" t="str">
        <f t="shared" si="12"/>
        <v>Error?</v>
      </c>
    </row>
    <row r="849" spans="1:4" x14ac:dyDescent="0.2">
      <c r="A849" s="5">
        <v>788</v>
      </c>
      <c r="B849" s="138">
        <f>'Expenditures 15-22'!E50</f>
        <v>4074</v>
      </c>
      <c r="D849" s="2" t="str">
        <f t="shared" si="12"/>
        <v>Error?</v>
      </c>
    </row>
    <row r="850" spans="1:4" x14ac:dyDescent="0.2">
      <c r="A850" s="5">
        <v>789</v>
      </c>
      <c r="B850" s="138">
        <f>'Expenditures 15-22'!E53</f>
        <v>14298</v>
      </c>
      <c r="C850" s="2" t="s">
        <v>594</v>
      </c>
      <c r="D850" s="2" t="str">
        <f t="shared" si="12"/>
        <v>Error?</v>
      </c>
    </row>
    <row r="851" spans="1:4" x14ac:dyDescent="0.2">
      <c r="A851" s="5">
        <v>790</v>
      </c>
      <c r="B851" s="138">
        <f>'Expenditures 15-22'!E55</f>
        <v>4115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4115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6595</v>
      </c>
      <c r="D855" s="2" t="str">
        <f t="shared" si="12"/>
        <v>Error?</v>
      </c>
    </row>
    <row r="856" spans="1:4" x14ac:dyDescent="0.2">
      <c r="A856" s="5">
        <v>795</v>
      </c>
      <c r="B856" s="138">
        <f>'Expenditures 15-22'!E61</f>
        <v>92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45907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52594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93049</v>
      </c>
      <c r="C871" s="2" t="s">
        <v>594</v>
      </c>
      <c r="D871" s="2" t="str">
        <f t="shared" si="12"/>
        <v>Error?</v>
      </c>
    </row>
    <row r="872" spans="1:4" x14ac:dyDescent="0.2">
      <c r="A872" s="5">
        <v>811</v>
      </c>
      <c r="B872" s="138">
        <f>'Expenditures 15-22'!E75</f>
        <v>498</v>
      </c>
      <c r="D872" s="2" t="str">
        <f t="shared" si="12"/>
        <v>Error?</v>
      </c>
    </row>
    <row r="873" spans="1:4" x14ac:dyDescent="0.2">
      <c r="A873" s="5">
        <v>812</v>
      </c>
      <c r="B873" s="138">
        <f>'Expenditures 15-22'!E114</f>
        <v>141652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19046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23390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572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2004</v>
      </c>
      <c r="D903" s="2" t="str">
        <f t="shared" si="13"/>
        <v>Error?</v>
      </c>
    </row>
    <row r="904" spans="1:4" x14ac:dyDescent="0.2">
      <c r="A904" s="5">
        <v>843</v>
      </c>
      <c r="B904" s="138">
        <f>'Expenditures 15-22'!F46</f>
        <v>99</v>
      </c>
      <c r="D904" s="2" t="str">
        <f t="shared" si="13"/>
        <v>Error?</v>
      </c>
    </row>
    <row r="905" spans="1:4" x14ac:dyDescent="0.2">
      <c r="A905" s="5">
        <v>844</v>
      </c>
      <c r="B905" s="138">
        <f>'Expenditures 15-22'!F47</f>
        <v>2103</v>
      </c>
      <c r="C905" s="2" t="s">
        <v>594</v>
      </c>
      <c r="D905" s="2" t="str">
        <f t="shared" si="13"/>
        <v>Error?</v>
      </c>
    </row>
    <row r="906" spans="1:4" x14ac:dyDescent="0.2">
      <c r="A906" s="5">
        <v>845</v>
      </c>
      <c r="B906" s="138">
        <f>'Expenditures 15-22'!F49</f>
        <v>1019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1019</v>
      </c>
      <c r="C908" s="2" t="s">
        <v>594</v>
      </c>
      <c r="D908" s="2" t="str">
        <f t="shared" si="13"/>
        <v>Error?</v>
      </c>
    </row>
    <row r="909" spans="1:4" x14ac:dyDescent="0.2">
      <c r="A909" s="5">
        <v>848</v>
      </c>
      <c r="B909" s="138">
        <f>'Expenditures 15-22'!F55</f>
        <v>2093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2093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5907</v>
      </c>
      <c r="C929" s="2" t="s">
        <v>594</v>
      </c>
      <c r="D929" s="2" t="str">
        <f t="shared" si="13"/>
        <v>Error?</v>
      </c>
    </row>
    <row r="930" spans="1:4" x14ac:dyDescent="0.2">
      <c r="A930" s="5">
        <v>869</v>
      </c>
      <c r="B930" s="138">
        <f>'Expenditures 15-22'!F75</f>
        <v>142</v>
      </c>
      <c r="D930" s="2" t="str">
        <f t="shared" si="13"/>
        <v>Error?</v>
      </c>
    </row>
    <row r="931" spans="1:4" x14ac:dyDescent="0.2">
      <c r="A931" s="5">
        <v>870</v>
      </c>
      <c r="B931" s="138">
        <f>'Expenditures 15-22'!F114</f>
        <v>29439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20255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20255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20255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20255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3968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6741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6741</v>
      </c>
      <c r="C1024" s="2" t="s">
        <v>594</v>
      </c>
      <c r="D1024" s="2" t="str">
        <f t="shared" si="15"/>
        <v>Error?</v>
      </c>
    </row>
    <row r="1025" spans="1:4" x14ac:dyDescent="0.2">
      <c r="A1025" s="5">
        <v>964</v>
      </c>
      <c r="B1025" s="138">
        <f>'Expenditures 15-22'!H55</f>
        <v>2215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8956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88571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101495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1238052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231</v>
      </c>
      <c r="C1105" s="2" t="s">
        <v>594</v>
      </c>
      <c r="D1105" s="2" t="str">
        <f t="shared" si="16"/>
        <v>Error?</v>
      </c>
    </row>
    <row r="1106" spans="1:4" x14ac:dyDescent="0.2">
      <c r="A1106" s="5">
        <v>1045</v>
      </c>
      <c r="B1106" s="138">
        <f>'Expenditures 15-22'!K14</f>
        <v>14502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1412180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5000</v>
      </c>
      <c r="C1110" s="2" t="s">
        <v>594</v>
      </c>
      <c r="D1110" s="2" t="str">
        <f t="shared" si="16"/>
        <v>Error?</v>
      </c>
    </row>
    <row r="1111" spans="1:4" x14ac:dyDescent="0.2">
      <c r="A1111" s="5">
        <v>1050</v>
      </c>
      <c r="B1111" s="138">
        <f>'Expenditures 15-22'!K38</f>
        <v>667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70305</v>
      </c>
      <c r="C1113" s="2" t="s">
        <v>594</v>
      </c>
      <c r="D1113" s="2" t="str">
        <f t="shared" si="16"/>
        <v>Error?</v>
      </c>
    </row>
    <row r="1114" spans="1:4" x14ac:dyDescent="0.2">
      <c r="A1114" s="5">
        <v>1053</v>
      </c>
      <c r="B1114" s="138">
        <f>'Expenditures 15-22'!K41</f>
        <v>2242</v>
      </c>
      <c r="C1114" s="2" t="s">
        <v>594</v>
      </c>
      <c r="D1114" s="2" t="str">
        <f t="shared" si="16"/>
        <v>Error?</v>
      </c>
    </row>
    <row r="1115" spans="1:4" x14ac:dyDescent="0.2">
      <c r="A1115" s="5">
        <v>1054</v>
      </c>
      <c r="B1115" s="138">
        <f>'Expenditures 15-22'!K42</f>
        <v>78214</v>
      </c>
      <c r="C1115" s="2" t="s">
        <v>594</v>
      </c>
      <c r="D1115" s="2" t="str">
        <f t="shared" si="16"/>
        <v>Error?</v>
      </c>
    </row>
    <row r="1116" spans="1:4" x14ac:dyDescent="0.2">
      <c r="A1116" s="5">
        <v>1055</v>
      </c>
      <c r="B1116" s="138">
        <f>'Expenditures 15-22'!K44</f>
        <v>690</v>
      </c>
      <c r="C1116" s="2" t="s">
        <v>594</v>
      </c>
      <c r="D1116" s="2" t="str">
        <f t="shared" si="16"/>
        <v>Error?</v>
      </c>
    </row>
    <row r="1117" spans="1:4" x14ac:dyDescent="0.2">
      <c r="A1117" s="5">
        <v>1056</v>
      </c>
      <c r="B1117" s="138">
        <f>'Expenditures 15-22'!K45</f>
        <v>39120</v>
      </c>
      <c r="C1117" s="2" t="s">
        <v>594</v>
      </c>
      <c r="D1117" s="2" t="str">
        <f t="shared" si="16"/>
        <v>Error?</v>
      </c>
    </row>
    <row r="1118" spans="1:4" x14ac:dyDescent="0.2">
      <c r="A1118" s="5">
        <v>1057</v>
      </c>
      <c r="B1118" s="138">
        <f>'Expenditures 15-22'!K46</f>
        <v>3724</v>
      </c>
      <c r="C1118" s="2" t="s">
        <v>594</v>
      </c>
      <c r="D1118" s="2" t="str">
        <f t="shared" si="16"/>
        <v>Error?</v>
      </c>
    </row>
    <row r="1119" spans="1:4" x14ac:dyDescent="0.2">
      <c r="A1119" s="5">
        <v>1058</v>
      </c>
      <c r="B1119" s="138">
        <f>'Expenditures 15-22'!K47</f>
        <v>43534</v>
      </c>
      <c r="C1119" s="2" t="s">
        <v>594</v>
      </c>
      <c r="D1119" s="2" t="str">
        <f t="shared" si="16"/>
        <v>Error?</v>
      </c>
    </row>
    <row r="1120" spans="1:4" x14ac:dyDescent="0.2">
      <c r="A1120" s="5">
        <v>1059</v>
      </c>
      <c r="B1120" s="138">
        <f>'Expenditures 15-22'!K49</f>
        <v>18734</v>
      </c>
      <c r="C1120" s="2" t="s">
        <v>594</v>
      </c>
      <c r="D1120" s="2" t="str">
        <f t="shared" si="16"/>
        <v>Error?</v>
      </c>
    </row>
    <row r="1121" spans="1:4" x14ac:dyDescent="0.2">
      <c r="A1121" s="5">
        <v>1060</v>
      </c>
      <c r="B1121" s="138">
        <f>'Expenditures 15-22'!K50</f>
        <v>127476</v>
      </c>
      <c r="C1121" s="2" t="s">
        <v>594</v>
      </c>
      <c r="D1121" s="2" t="str">
        <f t="shared" si="16"/>
        <v>Error?</v>
      </c>
    </row>
    <row r="1122" spans="1:4" x14ac:dyDescent="0.2">
      <c r="A1122" s="5">
        <v>1061</v>
      </c>
      <c r="B1122" s="138">
        <f>'Expenditures 15-22'!K53</f>
        <v>146210</v>
      </c>
      <c r="C1122" s="2" t="s">
        <v>594</v>
      </c>
      <c r="D1122" s="2" t="str">
        <f t="shared" si="16"/>
        <v>Error?</v>
      </c>
    </row>
    <row r="1123" spans="1:4" x14ac:dyDescent="0.2">
      <c r="A1123" s="5">
        <v>1062</v>
      </c>
      <c r="B1123" s="138">
        <f>'Expenditures 15-22'!K55</f>
        <v>38794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38794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56762</v>
      </c>
      <c r="C1127" s="2" t="s">
        <v>594</v>
      </c>
      <c r="D1127" s="2" t="str">
        <f t="shared" si="16"/>
        <v>Error?</v>
      </c>
    </row>
    <row r="1128" spans="1:4" x14ac:dyDescent="0.2">
      <c r="A1128" s="5">
        <v>1067</v>
      </c>
      <c r="B1128" s="138">
        <f>'Expenditures 15-22'!K61</f>
        <v>50716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45907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153385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460137</v>
      </c>
      <c r="C1143" s="2" t="s">
        <v>594</v>
      </c>
      <c r="D1143" s="2" t="str">
        <f t="shared" si="16"/>
        <v>Error?</v>
      </c>
    </row>
    <row r="1144" spans="1:4" x14ac:dyDescent="0.2">
      <c r="A1144" s="5">
        <v>1083</v>
      </c>
      <c r="B1144" s="138">
        <f>'Expenditures 15-22'!K75</f>
        <v>640</v>
      </c>
      <c r="C1144" s="2" t="s">
        <v>594</v>
      </c>
      <c r="D1144" s="2" t="str">
        <f t="shared" si="16"/>
        <v>Error?</v>
      </c>
    </row>
    <row r="1145" spans="1:4" x14ac:dyDescent="0.2">
      <c r="A1145" s="5">
        <v>1084</v>
      </c>
      <c r="B1145" s="138">
        <f>'Expenditures 15-22'!K102</f>
        <v>89700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1962657</v>
      </c>
      <c r="C1152" s="2" t="s">
        <v>594</v>
      </c>
      <c r="D1152" s="2" t="str">
        <f t="shared" si="17"/>
        <v>Error?</v>
      </c>
    </row>
    <row r="1153" spans="1:4" x14ac:dyDescent="0.2">
      <c r="A1153" s="5">
        <v>1092</v>
      </c>
      <c r="B1153" s="138">
        <f>'Expenditures 15-22'!K115</f>
        <v>88643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40463</v>
      </c>
      <c r="D1237" s="2" t="str">
        <f t="shared" si="18"/>
        <v>Error?</v>
      </c>
    </row>
    <row r="1238" spans="1:4" x14ac:dyDescent="0.2">
      <c r="A1238" s="10">
        <v>1177</v>
      </c>
      <c r="D1238" s="2" t="str">
        <f t="shared" si="18"/>
        <v>OK</v>
      </c>
    </row>
    <row r="1239" spans="1:4" x14ac:dyDescent="0.2">
      <c r="A1239" s="5">
        <v>1178</v>
      </c>
      <c r="B1239" s="138">
        <f>'Expenditures 15-22'!E127</f>
        <v>40463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40463</v>
      </c>
      <c r="C1241" s="2" t="s">
        <v>594</v>
      </c>
      <c r="D1241" s="2" t="str">
        <f t="shared" si="18"/>
        <v>Error?</v>
      </c>
    </row>
    <row r="1242" spans="1:4" x14ac:dyDescent="0.2">
      <c r="A1242" s="5">
        <v>1181</v>
      </c>
      <c r="B1242" s="138">
        <f>'Expenditures 15-22'!E151</f>
        <v>40463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47426</v>
      </c>
      <c r="D1245" s="2" t="str">
        <f t="shared" si="18"/>
        <v>Error?</v>
      </c>
    </row>
    <row r="1246" spans="1:4" x14ac:dyDescent="0.2">
      <c r="A1246" s="10">
        <v>1185</v>
      </c>
      <c r="D1246" s="2" t="str">
        <f t="shared" si="18"/>
        <v>OK</v>
      </c>
    </row>
    <row r="1247" spans="1:4" x14ac:dyDescent="0.2">
      <c r="A1247" s="5">
        <v>1186</v>
      </c>
      <c r="B1247" s="138">
        <f>'Expenditures 15-22'!F127</f>
        <v>47426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47426</v>
      </c>
      <c r="C1249" s="2" t="s">
        <v>594</v>
      </c>
      <c r="D1249" s="2" t="str">
        <f t="shared" si="18"/>
        <v>Error?</v>
      </c>
    </row>
    <row r="1250" spans="1:4" x14ac:dyDescent="0.2">
      <c r="A1250" s="5">
        <v>1189</v>
      </c>
      <c r="B1250" s="138">
        <f>'Expenditures 15-22'!F151</f>
        <v>47426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7569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7569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7569</v>
      </c>
      <c r="C1258" s="2" t="s">
        <v>594</v>
      </c>
      <c r="D1258" s="2" t="str">
        <f t="shared" si="18"/>
        <v>Error?</v>
      </c>
    </row>
    <row r="1259" spans="1:4" x14ac:dyDescent="0.2">
      <c r="A1259" s="5">
        <v>1198</v>
      </c>
      <c r="B1259" s="138">
        <f>'Expenditures 15-22'!G151</f>
        <v>7569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95458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95458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95458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95458</v>
      </c>
      <c r="C1288" s="2" t="s">
        <v>594</v>
      </c>
      <c r="D1288" s="2" t="str">
        <f t="shared" si="19"/>
        <v>Error?</v>
      </c>
    </row>
    <row r="1289" spans="1:4" x14ac:dyDescent="0.2">
      <c r="A1289" s="5">
        <v>1228</v>
      </c>
      <c r="B1289" s="138">
        <f>'Expenditures 15-22'!K152</f>
        <v>35363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54001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209001</v>
      </c>
      <c r="C1317" s="2" t="s">
        <v>594</v>
      </c>
      <c r="D1317" s="2" t="str">
        <f t="shared" si="19"/>
        <v>Error?</v>
      </c>
    </row>
    <row r="1318" spans="1:4" x14ac:dyDescent="0.2">
      <c r="A1318" s="5">
        <v>1257</v>
      </c>
      <c r="B1318" s="138">
        <f>'Expenditures 15-22'!H174</f>
        <v>209001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54001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209001</v>
      </c>
      <c r="C1331" s="2" t="s">
        <v>594</v>
      </c>
      <c r="D1331" s="2" t="str">
        <f t="shared" si="19"/>
        <v>Error?</v>
      </c>
    </row>
    <row r="1332" spans="1:4" x14ac:dyDescent="0.2">
      <c r="A1332" s="5">
        <v>1271</v>
      </c>
      <c r="B1332" s="138">
        <f>'Expenditures 15-22'!K174</f>
        <v>209001</v>
      </c>
      <c r="C1332" s="2" t="s">
        <v>594</v>
      </c>
      <c r="D1332" s="2" t="str">
        <f t="shared" si="19"/>
        <v>Error?</v>
      </c>
    </row>
    <row r="1333" spans="1:4" x14ac:dyDescent="0.2">
      <c r="A1333" s="5">
        <v>1272</v>
      </c>
      <c r="B1333" s="138">
        <f>'Expenditures 15-22'!K175</f>
        <v>8685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158156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158156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158156</v>
      </c>
      <c r="C1353" s="2" t="s">
        <v>594</v>
      </c>
      <c r="D1353" s="2" t="str">
        <f t="shared" si="20"/>
        <v>Error?</v>
      </c>
    </row>
    <row r="1354" spans="1:4" x14ac:dyDescent="0.2">
      <c r="A1354" s="5">
        <v>1293</v>
      </c>
      <c r="B1354" s="138">
        <f>'Expenditures 15-22'!F182</f>
        <v>12457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12457</v>
      </c>
      <c r="C1358" s="2" t="s">
        <v>594</v>
      </c>
      <c r="D1358" s="2" t="str">
        <f t="shared" si="20"/>
        <v>Error?</v>
      </c>
    </row>
    <row r="1359" spans="1:4" x14ac:dyDescent="0.2">
      <c r="A1359" s="5">
        <v>1298</v>
      </c>
      <c r="B1359" s="138">
        <f>'Expenditures 15-22'!F210</f>
        <v>12457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170613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170613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170613</v>
      </c>
      <c r="C1388" s="2" t="s">
        <v>594</v>
      </c>
      <c r="D1388" s="2" t="str">
        <f t="shared" si="20"/>
        <v>Error?</v>
      </c>
    </row>
    <row r="1389" spans="1:4" x14ac:dyDescent="0.2">
      <c r="A1389" s="5">
        <v>1328</v>
      </c>
      <c r="B1389" s="138">
        <f>'Expenditures 15-22'!K211</f>
        <v>4201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21910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815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815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v>
      </c>
      <c r="C1421" s="2" t="s">
        <v>594</v>
      </c>
      <c r="D1421" s="2" t="str">
        <f t="shared" si="21"/>
        <v>Error?</v>
      </c>
    </row>
    <row r="1422" spans="1:4" x14ac:dyDescent="0.2">
      <c r="A1422" s="5">
        <v>1361</v>
      </c>
      <c r="B1422" s="138">
        <f>'Expenditures 15-22'!D245</f>
        <v>57</v>
      </c>
      <c r="D1422" s="2" t="str">
        <f t="shared" si="21"/>
        <v>Error?</v>
      </c>
    </row>
    <row r="1423" spans="1:4" x14ac:dyDescent="0.2">
      <c r="A1423" s="5">
        <v>1362</v>
      </c>
      <c r="B1423" s="138">
        <f>'Expenditures 15-22'!D246</f>
        <v>5423</v>
      </c>
      <c r="D1423" s="2" t="str">
        <f t="shared" si="21"/>
        <v>Error?</v>
      </c>
    </row>
    <row r="1424" spans="1:4" x14ac:dyDescent="0.2">
      <c r="A1424" s="5">
        <v>1363</v>
      </c>
      <c r="B1424" s="138">
        <f>'Expenditures 15-22'!D257</f>
        <v>15355</v>
      </c>
      <c r="C1424" s="2" t="s">
        <v>594</v>
      </c>
      <c r="D1424" s="2" t="str">
        <f t="shared" si="21"/>
        <v>Error?</v>
      </c>
    </row>
    <row r="1425" spans="1:4" x14ac:dyDescent="0.2">
      <c r="A1425" s="5">
        <v>1364</v>
      </c>
      <c r="B1425" s="138">
        <f>'Expenditures 15-22'!D259</f>
        <v>324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8030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15705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32269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54179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1105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21910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815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815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70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70</v>
      </c>
      <c r="C1485" s="2" t="s">
        <v>594</v>
      </c>
      <c r="D1485" s="2" t="str">
        <f t="shared" si="22"/>
        <v>Error?</v>
      </c>
    </row>
    <row r="1486" spans="1:4" x14ac:dyDescent="0.2">
      <c r="A1486" s="5">
        <v>1425</v>
      </c>
      <c r="B1486" s="138">
        <f>'Expenditures 15-22'!K245</f>
        <v>57</v>
      </c>
      <c r="C1486" s="2" t="s">
        <v>594</v>
      </c>
      <c r="D1486" s="2" t="str">
        <f t="shared" si="22"/>
        <v>Error?</v>
      </c>
    </row>
    <row r="1487" spans="1:4" x14ac:dyDescent="0.2">
      <c r="A1487" s="5">
        <v>1426</v>
      </c>
      <c r="B1487" s="138">
        <f>'Expenditures 15-22'!K246</f>
        <v>5423</v>
      </c>
      <c r="C1487" s="2" t="s">
        <v>594</v>
      </c>
      <c r="D1487" s="2" t="str">
        <f t="shared" si="22"/>
        <v>Error?</v>
      </c>
    </row>
    <row r="1488" spans="1:4" x14ac:dyDescent="0.2">
      <c r="A1488" s="5">
        <v>1427</v>
      </c>
      <c r="B1488" s="138">
        <f>'Expenditures 15-22'!K257</f>
        <v>15355</v>
      </c>
      <c r="C1488" s="2" t="s">
        <v>594</v>
      </c>
      <c r="D1488" s="2" t="str">
        <f t="shared" si="22"/>
        <v>Error?</v>
      </c>
    </row>
    <row r="1489" spans="1:4" x14ac:dyDescent="0.2">
      <c r="A1489" s="5">
        <v>1428</v>
      </c>
      <c r="B1489" s="138">
        <f>'Expenditures 15-22'!K259</f>
        <v>324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324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7675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8030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15705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32269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54179</v>
      </c>
      <c r="C1517" s="2" t="s">
        <v>594</v>
      </c>
      <c r="D1517" s="2" t="str">
        <f t="shared" si="22"/>
        <v>Error?</v>
      </c>
    </row>
    <row r="1518" spans="1:4" x14ac:dyDescent="0.2">
      <c r="A1518" s="5">
        <v>1457</v>
      </c>
      <c r="B1518" s="138">
        <f>'Expenditures 15-22'!K296</f>
        <v>-24039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1284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1284</v>
      </c>
      <c r="C1535" s="2" t="s">
        <v>594</v>
      </c>
      <c r="D1535" s="2" t="str">
        <f t="shared" ref="D1535:D1598" si="23">IF(ISBLANK(B1535),"OK",IF(A1535-B1535=0,"OK","Error?"))</f>
        <v>Error?</v>
      </c>
    </row>
    <row r="1536" spans="1:4" x14ac:dyDescent="0.2">
      <c r="A1536" s="5">
        <v>1475</v>
      </c>
      <c r="B1536" s="138">
        <f>'Expenditures 15-22'!E312</f>
        <v>1284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28350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28350</v>
      </c>
      <c r="C1547" s="2" t="s">
        <v>594</v>
      </c>
      <c r="D1547" s="2" t="str">
        <f t="shared" si="23"/>
        <v>Error?</v>
      </c>
    </row>
    <row r="1548" spans="1:4" x14ac:dyDescent="0.2">
      <c r="A1548" s="5">
        <v>1487</v>
      </c>
      <c r="B1548" s="138">
        <f>'Expenditures 15-22'!G312</f>
        <v>28350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29634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29634</v>
      </c>
      <c r="C1559" s="2" t="s">
        <v>594</v>
      </c>
      <c r="D1559" s="2" t="str">
        <f t="shared" si="23"/>
        <v>Error?</v>
      </c>
    </row>
    <row r="1560" spans="1:4" x14ac:dyDescent="0.2">
      <c r="A1560" s="5">
        <v>1499</v>
      </c>
      <c r="B1560" s="138">
        <f>'Expenditures 15-22'!K312</f>
        <v>29634</v>
      </c>
      <c r="C1560" s="2" t="s">
        <v>594</v>
      </c>
      <c r="D1560" s="2" t="str">
        <f t="shared" si="23"/>
        <v>Error?</v>
      </c>
    </row>
    <row r="1561" spans="1:4" x14ac:dyDescent="0.2">
      <c r="A1561" s="5">
        <v>1500</v>
      </c>
      <c r="B1561" s="138">
        <f>'Expenditures 15-22'!K313</f>
        <v>106611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759212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847855</v>
      </c>
      <c r="C1630" s="2" t="s">
        <v>594</v>
      </c>
      <c r="D1630" s="2" t="str">
        <f t="shared" si="24"/>
        <v>Error?</v>
      </c>
    </row>
    <row r="1631" spans="1:4" x14ac:dyDescent="0.2">
      <c r="A1631" s="5">
        <v>1570</v>
      </c>
      <c r="B1631" s="138">
        <f>'Acct Summary 7-8'!D79</f>
        <v>205519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240882</v>
      </c>
      <c r="C1644" s="2" t="s">
        <v>594</v>
      </c>
      <c r="D1644" s="2" t="str">
        <f t="shared" si="24"/>
        <v>Error?</v>
      </c>
    </row>
    <row r="1645" spans="1:4" x14ac:dyDescent="0.2">
      <c r="A1645" s="5">
        <v>1584</v>
      </c>
      <c r="B1645" s="138">
        <f>'Acct Summary 7-8'!E79</f>
        <v>119423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128108</v>
      </c>
      <c r="C1658" s="2" t="s">
        <v>594</v>
      </c>
      <c r="D1658" s="2" t="str">
        <f t="shared" si="24"/>
        <v>Error?</v>
      </c>
    </row>
    <row r="1659" spans="1:4" x14ac:dyDescent="0.2">
      <c r="A1659" s="5">
        <v>1598</v>
      </c>
      <c r="B1659" s="138">
        <f>'Acct Summary 7-8'!F79</f>
        <v>120469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124670</v>
      </c>
      <c r="C1672" s="2" t="s">
        <v>594</v>
      </c>
      <c r="D1672" s="2" t="str">
        <f t="shared" si="25"/>
        <v>Error?</v>
      </c>
    </row>
    <row r="1673" spans="1:4" x14ac:dyDescent="0.2">
      <c r="A1673" s="5">
        <v>1612</v>
      </c>
      <c r="B1673" s="138">
        <f>'Acct Summary 7-8'!G79</f>
        <v>188475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164436</v>
      </c>
      <c r="C1686" s="2" t="s">
        <v>594</v>
      </c>
      <c r="D1686" s="2" t="str">
        <f t="shared" si="25"/>
        <v>Error?</v>
      </c>
    </row>
    <row r="1687" spans="1:4" x14ac:dyDescent="0.2">
      <c r="A1687" s="5">
        <v>1626</v>
      </c>
      <c r="B1687" s="138">
        <f>'Acct Summary 7-8'!H79</f>
        <v>172768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279379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809532</v>
      </c>
      <c r="C1744" s="2" t="s">
        <v>594</v>
      </c>
      <c r="D1744" s="2" t="str">
        <f t="shared" si="26"/>
        <v>Error?</v>
      </c>
    </row>
    <row r="1745" spans="1:5" x14ac:dyDescent="0.2">
      <c r="A1745" s="5">
        <v>1684</v>
      </c>
      <c r="B1745" s="138">
        <f>'Tax Sched 23'!B5</f>
        <v>111200</v>
      </c>
      <c r="C1745" s="2" t="s">
        <v>594</v>
      </c>
      <c r="D1745" s="2" t="str">
        <f t="shared" si="26"/>
        <v>Error?</v>
      </c>
    </row>
    <row r="1746" spans="1:5" x14ac:dyDescent="0.2">
      <c r="A1746" s="5">
        <v>1685</v>
      </c>
      <c r="B1746" s="138">
        <f>'Tax Sched 23'!B6</f>
        <v>216479</v>
      </c>
      <c r="C1746" s="2" t="s">
        <v>594</v>
      </c>
      <c r="D1746" s="2" t="str">
        <f t="shared" si="26"/>
        <v>Error?</v>
      </c>
    </row>
    <row r="1747" spans="1:5" x14ac:dyDescent="0.2">
      <c r="A1747" s="5">
        <v>1686</v>
      </c>
      <c r="B1747" s="138">
        <f>'Tax Sched 23'!B7</f>
        <v>53376</v>
      </c>
      <c r="C1747" s="2" t="s">
        <v>594</v>
      </c>
      <c r="D1747" s="2" t="str">
        <f t="shared" si="26"/>
        <v>Error?</v>
      </c>
    </row>
    <row r="1748" spans="1:5" x14ac:dyDescent="0.2">
      <c r="A1748" s="5">
        <v>1687</v>
      </c>
      <c r="B1748" s="138">
        <f>'Tax Sched 23'!B8</f>
        <v>12850</v>
      </c>
      <c r="C1748" s="2" t="s">
        <v>594</v>
      </c>
      <c r="D1748" s="2" t="str">
        <f t="shared" si="26"/>
        <v>Error?</v>
      </c>
    </row>
    <row r="1749" spans="1:5" x14ac:dyDescent="0.2">
      <c r="A1749" s="5">
        <v>1688</v>
      </c>
      <c r="B1749" s="138">
        <f>'Tax Sched 23'!B10</f>
        <v>22241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170347</v>
      </c>
      <c r="C1752" s="2" t="s">
        <v>594</v>
      </c>
      <c r="D1752" s="2" t="str">
        <f t="shared" si="26"/>
        <v>Error?</v>
      </c>
    </row>
    <row r="1753" spans="1:5" x14ac:dyDescent="0.2">
      <c r="A1753" s="5">
        <v>1692</v>
      </c>
      <c r="B1753" s="138">
        <f>'Tax Sched 23'!B12</f>
        <v>22241</v>
      </c>
      <c r="C1753" s="2" t="s">
        <v>594</v>
      </c>
      <c r="D1753" s="2" t="str">
        <f t="shared" si="26"/>
        <v>Error?</v>
      </c>
    </row>
    <row r="1754" spans="1:5" x14ac:dyDescent="0.2">
      <c r="A1754" s="5">
        <v>1693</v>
      </c>
      <c r="B1754" s="138">
        <f>'Tax Sched 23'!B14</f>
        <v>8896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1451200</v>
      </c>
      <c r="C1759" s="2" t="s">
        <v>594</v>
      </c>
      <c r="D1759" s="2" t="str">
        <f t="shared" si="26"/>
        <v>Error?</v>
      </c>
    </row>
    <row r="1760" spans="1:5" x14ac:dyDescent="0.2">
      <c r="A1760" s="5">
        <v>1699</v>
      </c>
      <c r="B1760" s="138">
        <f>'Tax Sched 23'!D4</f>
        <v>397380</v>
      </c>
      <c r="C1760" s="2" t="s">
        <v>594</v>
      </c>
      <c r="D1760" s="2" t="str">
        <f t="shared" si="26"/>
        <v>Error?</v>
      </c>
    </row>
    <row r="1761" spans="1:5" x14ac:dyDescent="0.2">
      <c r="A1761" s="5">
        <v>1700</v>
      </c>
      <c r="B1761" s="138">
        <f>'Tax Sched 23'!D5</f>
        <v>54586</v>
      </c>
      <c r="C1761" s="2" t="s">
        <v>594</v>
      </c>
      <c r="D1761" s="2" t="str">
        <f t="shared" si="26"/>
        <v>Error?</v>
      </c>
    </row>
    <row r="1762" spans="1:5" s="8" customFormat="1" x14ac:dyDescent="0.2">
      <c r="A1762" s="5">
        <v>1701</v>
      </c>
      <c r="B1762" s="138">
        <f>'Tax Sched 23'!D6</f>
        <v>108618</v>
      </c>
      <c r="C1762" s="2" t="s">
        <v>594</v>
      </c>
      <c r="D1762" s="2" t="str">
        <f t="shared" si="26"/>
        <v>Error?</v>
      </c>
      <c r="E1762" s="9"/>
    </row>
    <row r="1763" spans="1:5" x14ac:dyDescent="0.2">
      <c r="A1763" s="5">
        <v>1702</v>
      </c>
      <c r="B1763" s="138">
        <f>'Tax Sched 23'!D7</f>
        <v>26201</v>
      </c>
      <c r="C1763" s="2" t="s">
        <v>594</v>
      </c>
      <c r="D1763" s="2" t="str">
        <f t="shared" si="26"/>
        <v>Error?</v>
      </c>
    </row>
    <row r="1764" spans="1:5" x14ac:dyDescent="0.2">
      <c r="A1764" s="5">
        <v>1703</v>
      </c>
      <c r="B1764" s="138">
        <f>'Tax Sched 23'!D8</f>
        <v>10359</v>
      </c>
      <c r="C1764" s="2" t="s">
        <v>594</v>
      </c>
      <c r="D1764" s="2" t="str">
        <f t="shared" si="26"/>
        <v>Error?</v>
      </c>
    </row>
    <row r="1765" spans="1:5" x14ac:dyDescent="0.2">
      <c r="A1765" s="5">
        <v>1704</v>
      </c>
      <c r="B1765" s="138">
        <f>'Tax Sched 23'!D10</f>
        <v>10918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77568</v>
      </c>
      <c r="C1768" s="2" t="s">
        <v>594</v>
      </c>
      <c r="D1768" s="2" t="str">
        <f t="shared" si="26"/>
        <v>Error?</v>
      </c>
    </row>
    <row r="1769" spans="1:5" x14ac:dyDescent="0.2">
      <c r="A1769" s="5">
        <v>1708</v>
      </c>
      <c r="B1769" s="138">
        <f>'Tax Sched 23'!D12</f>
        <v>10918</v>
      </c>
      <c r="C1769" s="2" t="s">
        <v>594</v>
      </c>
      <c r="D1769" s="2" t="str">
        <f t="shared" si="26"/>
        <v>Error?</v>
      </c>
    </row>
    <row r="1770" spans="1:5" x14ac:dyDescent="0.2">
      <c r="A1770" s="5">
        <v>1709</v>
      </c>
      <c r="B1770" s="138">
        <f>'Tax Sched 23'!D14</f>
        <v>4367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722213</v>
      </c>
      <c r="C1775" s="2" t="s">
        <v>594</v>
      </c>
      <c r="D1775" s="2" t="str">
        <f t="shared" si="26"/>
        <v>Error?</v>
      </c>
    </row>
    <row r="1776" spans="1:5" x14ac:dyDescent="0.2">
      <c r="A1776" s="5">
        <v>1715</v>
      </c>
      <c r="B1776" s="138">
        <f>'Tax Sched 23'!C4</f>
        <v>412152</v>
      </c>
      <c r="D1776" s="2" t="str">
        <f t="shared" si="26"/>
        <v>Error?</v>
      </c>
    </row>
    <row r="1777" spans="1:4" x14ac:dyDescent="0.2">
      <c r="A1777" s="5">
        <v>1716</v>
      </c>
      <c r="B1777" s="138">
        <f>'Tax Sched 23'!C5</f>
        <v>56614</v>
      </c>
      <c r="D1777" s="2" t="str">
        <f t="shared" si="26"/>
        <v>Error?</v>
      </c>
    </row>
    <row r="1778" spans="1:4" x14ac:dyDescent="0.2">
      <c r="A1778" s="5">
        <v>1717</v>
      </c>
      <c r="B1778" s="138">
        <f>'Tax Sched 23'!C6</f>
        <v>107861</v>
      </c>
      <c r="D1778" s="2" t="str">
        <f t="shared" si="26"/>
        <v>Error?</v>
      </c>
    </row>
    <row r="1779" spans="1:4" x14ac:dyDescent="0.2">
      <c r="A1779" s="5">
        <v>1718</v>
      </c>
      <c r="B1779" s="138">
        <f>'Tax Sched 23'!C7</f>
        <v>27175</v>
      </c>
      <c r="D1779" s="2" t="str">
        <f t="shared" si="26"/>
        <v>Error?</v>
      </c>
    </row>
    <row r="1780" spans="1:4" x14ac:dyDescent="0.2">
      <c r="A1780" s="5">
        <v>1719</v>
      </c>
      <c r="B1780" s="138">
        <f>'Tax Sched 23'!C8</f>
        <v>2491</v>
      </c>
      <c r="D1780" s="2" t="str">
        <f t="shared" si="26"/>
        <v>Error?</v>
      </c>
    </row>
    <row r="1781" spans="1:4" x14ac:dyDescent="0.2">
      <c r="A1781" s="5">
        <v>1720</v>
      </c>
      <c r="B1781" s="138">
        <f>'Tax Sched 23'!C10</f>
        <v>11323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92779</v>
      </c>
      <c r="D1784" s="2" t="str">
        <f t="shared" si="26"/>
        <v>Error?</v>
      </c>
    </row>
    <row r="1785" spans="1:4" x14ac:dyDescent="0.2">
      <c r="A1785" s="5">
        <v>1724</v>
      </c>
      <c r="B1785" s="138">
        <f>'Tax Sched 23'!C12</f>
        <v>11323</v>
      </c>
      <c r="D1785" s="2" t="str">
        <f t="shared" si="26"/>
        <v>Error?</v>
      </c>
    </row>
    <row r="1786" spans="1:4" x14ac:dyDescent="0.2">
      <c r="A1786" s="5">
        <v>1725</v>
      </c>
      <c r="B1786" s="138">
        <f>'Tax Sched 23'!C14</f>
        <v>4529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728987</v>
      </c>
      <c r="C1791" s="2" t="s">
        <v>594</v>
      </c>
      <c r="D1791" s="2" t="str">
        <f t="shared" ref="D1791:D1854" si="27">IF(ISBLANK(B1791),"OK",IF(A1791-B1791=0,"OK","Error?"))</f>
        <v>Error?</v>
      </c>
    </row>
    <row r="1792" spans="1:4" x14ac:dyDescent="0.2">
      <c r="A1792" s="5">
        <v>1731</v>
      </c>
      <c r="B1792" s="138">
        <f>'Tax Sched 23'!F4</f>
        <v>414052</v>
      </c>
      <c r="C1792" s="2" t="s">
        <v>594</v>
      </c>
      <c r="D1792" s="2" t="str">
        <f t="shared" si="27"/>
        <v>Error?</v>
      </c>
    </row>
    <row r="1793" spans="1:4" x14ac:dyDescent="0.2">
      <c r="A1793" s="5">
        <v>1732</v>
      </c>
      <c r="B1793" s="138">
        <f>'Tax Sched 23'!F5</f>
        <v>56876</v>
      </c>
      <c r="C1793" s="2" t="s">
        <v>594</v>
      </c>
      <c r="D1793" s="2" t="str">
        <f t="shared" si="27"/>
        <v>Error?</v>
      </c>
    </row>
    <row r="1794" spans="1:4" x14ac:dyDescent="0.2">
      <c r="A1794" s="5">
        <v>1733</v>
      </c>
      <c r="B1794" s="138">
        <f>'Tax Sched 23'!F6</f>
        <v>108359</v>
      </c>
      <c r="C1794" s="2" t="s">
        <v>594</v>
      </c>
      <c r="D1794" s="2" t="str">
        <f t="shared" si="27"/>
        <v>Error?</v>
      </c>
    </row>
    <row r="1795" spans="1:4" x14ac:dyDescent="0.2">
      <c r="A1795" s="5">
        <v>1734</v>
      </c>
      <c r="B1795" s="138">
        <f>'Tax Sched 23'!F7</f>
        <v>27300</v>
      </c>
      <c r="C1795" s="2" t="s">
        <v>594</v>
      </c>
      <c r="D1795" s="2" t="str">
        <f t="shared" si="27"/>
        <v>Error?</v>
      </c>
    </row>
    <row r="1796" spans="1:4" x14ac:dyDescent="0.2">
      <c r="A1796" s="5">
        <v>1735</v>
      </c>
      <c r="B1796" s="138">
        <f>'Tax Sched 23'!F8</f>
        <v>2503</v>
      </c>
      <c r="C1796" s="2" t="s">
        <v>594</v>
      </c>
      <c r="D1796" s="2" t="str">
        <f t="shared" si="27"/>
        <v>Error?</v>
      </c>
    </row>
    <row r="1797" spans="1:4" x14ac:dyDescent="0.2">
      <c r="A1797" s="5">
        <v>1736</v>
      </c>
      <c r="B1797" s="138">
        <f>'Tax Sched 23'!F10</f>
        <v>11375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93208</v>
      </c>
      <c r="C1800" s="2" t="s">
        <v>594</v>
      </c>
      <c r="D1800" s="2" t="str">
        <f t="shared" si="27"/>
        <v>Error?</v>
      </c>
    </row>
    <row r="1801" spans="1:4" x14ac:dyDescent="0.2">
      <c r="A1801" s="5">
        <v>1740</v>
      </c>
      <c r="B1801" s="138">
        <f>'Tax Sched 23'!F12</f>
        <v>11375</v>
      </c>
      <c r="C1801" s="2" t="s">
        <v>594</v>
      </c>
      <c r="D1801" s="2" t="str">
        <f t="shared" si="27"/>
        <v>Error?</v>
      </c>
    </row>
    <row r="1802" spans="1:4" x14ac:dyDescent="0.2">
      <c r="A1802" s="5">
        <v>1741</v>
      </c>
      <c r="B1802" s="138">
        <f>'Tax Sched 23'!F14</f>
        <v>4550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732351</v>
      </c>
      <c r="C1807" s="2" t="s">
        <v>594</v>
      </c>
      <c r="D1807" s="2" t="str">
        <f t="shared" si="27"/>
        <v>Error?</v>
      </c>
    </row>
    <row r="1808" spans="1:4" x14ac:dyDescent="0.2">
      <c r="A1808" s="5">
        <v>1747</v>
      </c>
      <c r="B1808" s="138">
        <f>'Tax Sched 23'!E4</f>
        <v>826204</v>
      </c>
      <c r="D1808" s="2" t="str">
        <f t="shared" si="27"/>
        <v>Error?</v>
      </c>
    </row>
    <row r="1809" spans="1:4" x14ac:dyDescent="0.2">
      <c r="A1809" s="5">
        <v>1748</v>
      </c>
      <c r="B1809" s="138">
        <f>'Tax Sched 23'!E5</f>
        <v>113490</v>
      </c>
      <c r="D1809" s="2" t="str">
        <f t="shared" si="27"/>
        <v>Error?</v>
      </c>
    </row>
    <row r="1810" spans="1:4" x14ac:dyDescent="0.2">
      <c r="A1810" s="5">
        <v>1749</v>
      </c>
      <c r="B1810" s="138">
        <f>'Tax Sched 23'!E6</f>
        <v>216220</v>
      </c>
      <c r="D1810" s="2" t="str">
        <f t="shared" si="27"/>
        <v>Error?</v>
      </c>
    </row>
    <row r="1811" spans="1:4" x14ac:dyDescent="0.2">
      <c r="A1811" s="5">
        <v>1750</v>
      </c>
      <c r="B1811" s="138">
        <f>'Tax Sched 23'!E7</f>
        <v>54475</v>
      </c>
      <c r="D1811" s="2" t="str">
        <f t="shared" si="27"/>
        <v>Error?</v>
      </c>
    </row>
    <row r="1812" spans="1:4" x14ac:dyDescent="0.2">
      <c r="A1812" s="5">
        <v>1751</v>
      </c>
      <c r="B1812" s="138">
        <f>'Tax Sched 23'!E8</f>
        <v>4994</v>
      </c>
      <c r="D1812" s="2" t="str">
        <f t="shared" si="27"/>
        <v>Error?</v>
      </c>
    </row>
    <row r="1813" spans="1:4" x14ac:dyDescent="0.2">
      <c r="A1813" s="5">
        <v>1752</v>
      </c>
      <c r="B1813" s="138">
        <f>'Tax Sched 23'!E10</f>
        <v>22698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185987</v>
      </c>
      <c r="D1816" s="2" t="str">
        <f t="shared" si="27"/>
        <v>Error?</v>
      </c>
    </row>
    <row r="1817" spans="1:4" x14ac:dyDescent="0.2">
      <c r="A1817" s="5">
        <v>1756</v>
      </c>
      <c r="B1817" s="138">
        <f>'Tax Sched 23'!E12</f>
        <v>22698</v>
      </c>
      <c r="D1817" s="2" t="str">
        <f t="shared" si="27"/>
        <v>Error?</v>
      </c>
    </row>
    <row r="1818" spans="1:4" x14ac:dyDescent="0.2">
      <c r="A1818" s="5">
        <v>1757</v>
      </c>
      <c r="B1818" s="138">
        <f>'Tax Sched 23'!E14</f>
        <v>9079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1461338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1400000</v>
      </c>
      <c r="C1939" s="2" t="s">
        <v>594</v>
      </c>
      <c r="D1939" s="2" t="str">
        <f t="shared" si="29"/>
        <v>Error?</v>
      </c>
    </row>
    <row r="1940" spans="1:5" x14ac:dyDescent="0.2">
      <c r="A1940" s="5">
        <v>1879</v>
      </c>
      <c r="B1940" s="138">
        <f>'Short-Term Long-Term Debt 24'!F49</f>
        <v>185691</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8896</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8902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8902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8150</v>
      </c>
      <c r="D2008" s="2" t="str">
        <f t="shared" si="30"/>
        <v>Error?</v>
      </c>
    </row>
    <row r="2009" spans="1:4" x14ac:dyDescent="0.2">
      <c r="A2009" s="5">
        <v>1948</v>
      </c>
      <c r="B2009" s="138">
        <f>'Cap Outlay Deprec 26'!C8</f>
        <v>4231504</v>
      </c>
      <c r="D2009" s="2" t="str">
        <f t="shared" si="30"/>
        <v>Error?</v>
      </c>
    </row>
    <row r="2010" spans="1:4" x14ac:dyDescent="0.2">
      <c r="A2010" s="5">
        <v>1949</v>
      </c>
      <c r="B2010" s="138">
        <f>'Cap Outlay Deprec 26'!C10</f>
        <v>37311</v>
      </c>
      <c r="D2010" s="2" t="str">
        <f t="shared" si="30"/>
        <v>Error?</v>
      </c>
    </row>
    <row r="2011" spans="1:4" x14ac:dyDescent="0.2">
      <c r="A2011" s="5">
        <v>1950</v>
      </c>
      <c r="B2011" s="138">
        <f>'Cap Outlay Deprec 26'!C12</f>
        <v>145192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4422157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7950</v>
      </c>
      <c r="D2016" s="2" t="str">
        <f t="shared" si="30"/>
        <v>Error?</v>
      </c>
    </row>
    <row r="2017" spans="1:4" x14ac:dyDescent="0.2">
      <c r="A2017" s="5">
        <v>1956</v>
      </c>
      <c r="B2017" s="138">
        <f>'Cap Outlay Deprec 26'!D12</f>
        <v>54488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64454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29193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29193</v>
      </c>
      <c r="C2025" s="2" t="s">
        <v>594</v>
      </c>
      <c r="D2025" s="2" t="str">
        <f t="shared" si="30"/>
        <v>Error?</v>
      </c>
    </row>
    <row r="2026" spans="1:4" x14ac:dyDescent="0.2">
      <c r="A2026" s="5">
        <v>1965</v>
      </c>
      <c r="B2026" s="138">
        <f>'Cap Outlay Deprec 26'!F5</f>
        <v>8150</v>
      </c>
      <c r="C2026" s="2" t="s">
        <v>594</v>
      </c>
      <c r="D2026" s="2" t="str">
        <f t="shared" si="30"/>
        <v>Error?</v>
      </c>
    </row>
    <row r="2027" spans="1:4" x14ac:dyDescent="0.2">
      <c r="A2027" s="5">
        <v>1966</v>
      </c>
      <c r="B2027" s="138">
        <f>'Cap Outlay Deprec 26'!F8</f>
        <v>4231504</v>
      </c>
      <c r="C2027" s="2" t="s">
        <v>594</v>
      </c>
      <c r="D2027" s="2" t="str">
        <f t="shared" si="30"/>
        <v>Error?</v>
      </c>
    </row>
    <row r="2028" spans="1:4" x14ac:dyDescent="0.2">
      <c r="A2028" s="5">
        <v>1967</v>
      </c>
      <c r="B2028" s="138">
        <f>'Cap Outlay Deprec 26'!F10</f>
        <v>45261</v>
      </c>
      <c r="C2028" s="2" t="s">
        <v>594</v>
      </c>
      <c r="D2028" s="2" t="str">
        <f t="shared" si="30"/>
        <v>Error?</v>
      </c>
    </row>
    <row r="2029" spans="1:4" x14ac:dyDescent="0.2">
      <c r="A2029" s="5">
        <v>1968</v>
      </c>
      <c r="B2029" s="138">
        <f>'Cap Outlay Deprec 26'!F12</f>
        <v>170487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4457418</v>
      </c>
      <c r="C2031" s="2" t="s">
        <v>594</v>
      </c>
      <c r="D2031" s="2" t="str">
        <f t="shared" si="30"/>
        <v>Error?</v>
      </c>
    </row>
    <row r="2032" spans="1:4" x14ac:dyDescent="0.2">
      <c r="A2032" s="10">
        <v>1971</v>
      </c>
      <c r="D2032" s="2" t="str">
        <f t="shared" si="30"/>
        <v>OK</v>
      </c>
    </row>
    <row r="2033" spans="1:4" x14ac:dyDescent="0.2">
      <c r="A2033" s="5">
        <v>1972</v>
      </c>
      <c r="B2033" s="138">
        <f>'Cap Outlay Deprec 26'!H8</f>
        <v>1608144</v>
      </c>
      <c r="D2033" s="2" t="str">
        <f t="shared" si="30"/>
        <v>Error?</v>
      </c>
    </row>
    <row r="2034" spans="1:4" x14ac:dyDescent="0.2">
      <c r="A2034" s="5">
        <v>1973</v>
      </c>
      <c r="B2034" s="138">
        <f>'Cap Outlay Deprec 26'!H10</f>
        <v>2724</v>
      </c>
      <c r="D2034" s="2" t="str">
        <f t="shared" si="30"/>
        <v>Error?</v>
      </c>
    </row>
    <row r="2035" spans="1:4" x14ac:dyDescent="0.2">
      <c r="A2035" s="5">
        <v>1974</v>
      </c>
      <c r="B2035" s="138">
        <f>'Cap Outlay Deprec 26'!H12</f>
        <v>90040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1700908</v>
      </c>
      <c r="C2037" s="2" t="s">
        <v>594</v>
      </c>
      <c r="D2037" s="2" t="str">
        <f t="shared" si="30"/>
        <v>Error?</v>
      </c>
    </row>
    <row r="2038" spans="1:4" x14ac:dyDescent="0.2">
      <c r="A2038" s="10">
        <v>1977</v>
      </c>
      <c r="D2038" s="2" t="str">
        <f t="shared" si="30"/>
        <v>OK</v>
      </c>
    </row>
    <row r="2039" spans="1:4" x14ac:dyDescent="0.2">
      <c r="A2039" s="5">
        <v>1978</v>
      </c>
      <c r="B2039" s="138">
        <f>'Cap Outlay Deprec 26'!I8</f>
        <v>79404</v>
      </c>
      <c r="D2039" s="2" t="str">
        <f t="shared" si="30"/>
        <v>Error?</v>
      </c>
    </row>
    <row r="2040" spans="1:4" x14ac:dyDescent="0.2">
      <c r="A2040" s="5">
        <v>1979</v>
      </c>
      <c r="B2040" s="138">
        <f>'Cap Outlay Deprec 26'!I10</f>
        <v>2264</v>
      </c>
      <c r="D2040" s="2" t="str">
        <f t="shared" si="30"/>
        <v>Error?</v>
      </c>
    </row>
    <row r="2041" spans="1:4" x14ac:dyDescent="0.2">
      <c r="A2041" s="5">
        <v>1980</v>
      </c>
      <c r="B2041" s="138">
        <f>'Cap Outlay Deprec 26'!I12</f>
        <v>17052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98720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29191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29191</v>
      </c>
      <c r="C2049" s="2" t="s">
        <v>594</v>
      </c>
      <c r="D2049" s="2" t="str">
        <f t="shared" si="31"/>
        <v>Error?</v>
      </c>
    </row>
    <row r="2050" spans="1:4" x14ac:dyDescent="0.2">
      <c r="A2050" s="10">
        <v>1989</v>
      </c>
      <c r="D2050" s="2" t="str">
        <f t="shared" si="31"/>
        <v>OK</v>
      </c>
    </row>
    <row r="2051" spans="1:4" x14ac:dyDescent="0.2">
      <c r="A2051" s="5">
        <v>1990</v>
      </c>
      <c r="B2051" s="138">
        <f>'Cap Outlay Deprec 26'!K8</f>
        <v>1687548</v>
      </c>
      <c r="C2051" s="2" t="s">
        <v>594</v>
      </c>
      <c r="D2051" s="2" t="str">
        <f t="shared" si="31"/>
        <v>Error?</v>
      </c>
    </row>
    <row r="2052" spans="1:4" x14ac:dyDescent="0.2">
      <c r="A2052" s="5">
        <v>1991</v>
      </c>
      <c r="B2052" s="138">
        <f>'Cap Outlay Deprec 26'!K10</f>
        <v>4988</v>
      </c>
      <c r="C2052" s="2" t="s">
        <v>594</v>
      </c>
      <c r="D2052" s="2" t="str">
        <f t="shared" si="31"/>
        <v>Error?</v>
      </c>
    </row>
    <row r="2053" spans="1:4" x14ac:dyDescent="0.2">
      <c r="A2053" s="5">
        <v>1992</v>
      </c>
      <c r="B2053" s="138">
        <f>'Cap Outlay Deprec 26'!K12</f>
        <v>77901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1770437</v>
      </c>
      <c r="C2055" s="2" t="s">
        <v>594</v>
      </c>
      <c r="D2055" s="2" t="str">
        <f t="shared" si="31"/>
        <v>Error?</v>
      </c>
    </row>
    <row r="2056" spans="1:4" x14ac:dyDescent="0.2">
      <c r="A2056" s="5">
        <v>1995</v>
      </c>
      <c r="B2056" s="138">
        <f>'Cap Outlay Deprec 26'!L5</f>
        <v>8150</v>
      </c>
      <c r="C2056" s="2" t="s">
        <v>594</v>
      </c>
      <c r="D2056" s="2" t="str">
        <f t="shared" si="31"/>
        <v>Error?</v>
      </c>
    </row>
    <row r="2057" spans="1:4" x14ac:dyDescent="0.2">
      <c r="A2057" s="5">
        <v>1996</v>
      </c>
      <c r="B2057" s="138">
        <f>'Cap Outlay Deprec 26'!L8</f>
        <v>2543956</v>
      </c>
      <c r="C2057" s="2" t="s">
        <v>594</v>
      </c>
      <c r="D2057" s="2" t="str">
        <f t="shared" si="31"/>
        <v>Error?</v>
      </c>
    </row>
    <row r="2058" spans="1:4" x14ac:dyDescent="0.2">
      <c r="A2058" s="5">
        <v>1997</v>
      </c>
      <c r="B2058" s="138">
        <f>'Cap Outlay Deprec 26'!L10</f>
        <v>40273</v>
      </c>
      <c r="C2058" s="2" t="s">
        <v>594</v>
      </c>
      <c r="D2058" s="2" t="str">
        <f t="shared" si="31"/>
        <v>Error?</v>
      </c>
    </row>
    <row r="2059" spans="1:4" x14ac:dyDescent="0.2">
      <c r="A2059" s="5">
        <v>1998</v>
      </c>
      <c r="B2059" s="138">
        <f>'Cap Outlay Deprec 26'!L12</f>
        <v>92586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2686981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88571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89700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54426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98667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279379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946677</v>
      </c>
      <c r="C2551" s="2" t="s">
        <v>594</v>
      </c>
      <c r="D2551" s="2" t="str">
        <f t="shared" si="38"/>
        <v>Error?</v>
      </c>
    </row>
    <row r="2552" spans="1:4" x14ac:dyDescent="0.2">
      <c r="A2552" s="10">
        <v>2491</v>
      </c>
      <c r="D2552" s="2" t="str">
        <f t="shared" si="38"/>
        <v>OK</v>
      </c>
    </row>
    <row r="2553" spans="1:4" x14ac:dyDescent="0.2">
      <c r="A2553" s="5">
        <v>2492</v>
      </c>
      <c r="B2553" s="138">
        <f>'Acct Summary 7-8'!C6</f>
        <v>973053</v>
      </c>
      <c r="C2553" s="2" t="s">
        <v>594</v>
      </c>
      <c r="D2553" s="2" t="str">
        <f t="shared" si="38"/>
        <v>Error?</v>
      </c>
    </row>
    <row r="2554" spans="1:4" x14ac:dyDescent="0.2">
      <c r="A2554" s="5">
        <v>2493</v>
      </c>
      <c r="B2554" s="138">
        <f>'Acct Summary 7-8'!C7</f>
        <v>131570</v>
      </c>
      <c r="C2554" s="2" t="s">
        <v>594</v>
      </c>
      <c r="D2554" s="2" t="str">
        <f t="shared" si="38"/>
        <v>Error?</v>
      </c>
    </row>
    <row r="2555" spans="1:4" x14ac:dyDescent="0.2">
      <c r="A2555" s="5">
        <v>2494</v>
      </c>
      <c r="B2555" s="138">
        <f>'Acct Summary 7-8'!C8</f>
        <v>2051300</v>
      </c>
      <c r="C2555" s="2" t="s">
        <v>594</v>
      </c>
      <c r="D2555" s="2" t="str">
        <f t="shared" si="38"/>
        <v>Error?</v>
      </c>
    </row>
    <row r="2556" spans="1:4" x14ac:dyDescent="0.2">
      <c r="A2556" s="5">
        <v>2495</v>
      </c>
      <c r="B2556" s="138">
        <f>'Acct Summary 7-8'!C12</f>
        <v>1412180</v>
      </c>
      <c r="C2556" s="2" t="s">
        <v>594</v>
      </c>
      <c r="D2556" s="2" t="str">
        <f t="shared" si="38"/>
        <v>Error?</v>
      </c>
    </row>
    <row r="2557" spans="1:4" x14ac:dyDescent="0.2">
      <c r="A2557" s="5">
        <v>2496</v>
      </c>
      <c r="B2557" s="138">
        <f>'Acct Summary 7-8'!C13</f>
        <v>460137</v>
      </c>
      <c r="C2557" s="2" t="s">
        <v>594</v>
      </c>
      <c r="D2557" s="2" t="str">
        <f t="shared" si="38"/>
        <v>Error?</v>
      </c>
    </row>
    <row r="2558" spans="1:4" x14ac:dyDescent="0.2">
      <c r="A2558" s="5">
        <v>2497</v>
      </c>
      <c r="B2558" s="138">
        <f>'Acct Summary 7-8'!C14</f>
        <v>640</v>
      </c>
      <c r="C2558" s="2" t="s">
        <v>594</v>
      </c>
      <c r="D2558" s="2" t="str">
        <f t="shared" si="38"/>
        <v>Error?</v>
      </c>
    </row>
    <row r="2559" spans="1:4" x14ac:dyDescent="0.2">
      <c r="A2559" s="5">
        <v>2498</v>
      </c>
      <c r="B2559" s="138">
        <f>'Acct Summary 7-8'!C15</f>
        <v>89700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1962657</v>
      </c>
      <c r="C2561" s="2" t="s">
        <v>594</v>
      </c>
      <c r="D2561" s="2" t="str">
        <f t="shared" si="39"/>
        <v>Error?</v>
      </c>
    </row>
    <row r="2562" spans="1:4" x14ac:dyDescent="0.2">
      <c r="A2562" s="5">
        <v>2501</v>
      </c>
      <c r="B2562" s="138">
        <f>'Acct Summary 7-8'!C20</f>
        <v>88643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130821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130821</v>
      </c>
      <c r="C2568" s="2" t="s">
        <v>594</v>
      </c>
      <c r="D2568" s="2" t="str">
        <f t="shared" si="39"/>
        <v>Error?</v>
      </c>
    </row>
    <row r="2569" spans="1:4" x14ac:dyDescent="0.2">
      <c r="A2569" s="5">
        <v>2508</v>
      </c>
      <c r="B2569" s="138">
        <f>'Acct Summary 7-8'!D13</f>
        <v>95458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95458</v>
      </c>
      <c r="C2573" s="2" t="s">
        <v>594</v>
      </c>
      <c r="D2573" s="2" t="str">
        <f t="shared" si="39"/>
        <v>Error?</v>
      </c>
    </row>
    <row r="2574" spans="1:4" x14ac:dyDescent="0.2">
      <c r="A2574" s="5">
        <v>2513</v>
      </c>
      <c r="B2574" s="138">
        <f>'Acct Summary 7-8'!D20</f>
        <v>35363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54370</v>
      </c>
      <c r="C2591" s="2" t="s">
        <v>594</v>
      </c>
      <c r="D2591" s="2" t="str">
        <f t="shared" si="39"/>
        <v>Error?</v>
      </c>
    </row>
    <row r="2592" spans="1:4" x14ac:dyDescent="0.2">
      <c r="A2592" s="10">
        <v>2531</v>
      </c>
      <c r="D2592" s="2" t="str">
        <f t="shared" si="39"/>
        <v>OK</v>
      </c>
    </row>
    <row r="2593" spans="1:4" x14ac:dyDescent="0.2">
      <c r="A2593" s="5">
        <v>2532</v>
      </c>
      <c r="B2593" s="138">
        <f>'Acct Summary 7-8'!F6</f>
        <v>120444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174814</v>
      </c>
      <c r="C2595" s="2" t="s">
        <v>594</v>
      </c>
      <c r="D2595" s="2" t="str">
        <f t="shared" si="39"/>
        <v>Error?</v>
      </c>
    </row>
    <row r="2596" spans="1:4" x14ac:dyDescent="0.2">
      <c r="A2596" s="5">
        <v>2535</v>
      </c>
      <c r="B2596" s="138">
        <f>'Acct Summary 7-8'!F13</f>
        <v>170613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170613</v>
      </c>
      <c r="C2600" s="2" t="s">
        <v>594</v>
      </c>
      <c r="D2600" s="2" t="str">
        <f t="shared" si="39"/>
        <v>Error?</v>
      </c>
    </row>
    <row r="2601" spans="1:4" x14ac:dyDescent="0.2">
      <c r="A2601" s="5">
        <v>2540</v>
      </c>
      <c r="B2601" s="138">
        <f>'Acct Summary 7-8'!F20</f>
        <v>4201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30140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30140</v>
      </c>
      <c r="C2606" s="2" t="s">
        <v>594</v>
      </c>
      <c r="D2606" s="2" t="str">
        <f t="shared" si="39"/>
        <v>Error?</v>
      </c>
    </row>
    <row r="2607" spans="1:4" x14ac:dyDescent="0.2">
      <c r="A2607" s="5">
        <v>2546</v>
      </c>
      <c r="B2607" s="138">
        <f>'Acct Summary 7-8'!G12</f>
        <v>21910</v>
      </c>
      <c r="C2607" s="2" t="s">
        <v>594</v>
      </c>
      <c r="D2607" s="2" t="str">
        <f t="shared" si="39"/>
        <v>Error?</v>
      </c>
    </row>
    <row r="2608" spans="1:4" x14ac:dyDescent="0.2">
      <c r="A2608" s="5">
        <v>2547</v>
      </c>
      <c r="B2608" s="138">
        <f>'Acct Summary 7-8'!G13</f>
        <v>32269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54179</v>
      </c>
      <c r="C2612" s="2" t="s">
        <v>594</v>
      </c>
      <c r="D2612" s="2" t="str">
        <f t="shared" si="39"/>
        <v>Error?</v>
      </c>
    </row>
    <row r="2613" spans="1:4" x14ac:dyDescent="0.2">
      <c r="A2613" s="5">
        <v>2552</v>
      </c>
      <c r="B2613" s="138">
        <f>'Acct Summary 7-8'!G20</f>
        <v>-24039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217686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217686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209001</v>
      </c>
      <c r="C2634" s="2" t="s">
        <v>594</v>
      </c>
      <c r="D2634" s="2" t="str">
        <f t="shared" si="40"/>
        <v>Error?</v>
      </c>
    </row>
    <row r="2635" spans="1:4" x14ac:dyDescent="0.2">
      <c r="A2635" s="5">
        <v>2574</v>
      </c>
      <c r="B2635" s="138">
        <f>'Acct Summary 7-8'!E17</f>
        <v>209001</v>
      </c>
      <c r="C2635" s="2" t="s">
        <v>594</v>
      </c>
      <c r="D2635" s="2" t="str">
        <f t="shared" si="40"/>
        <v>Error?</v>
      </c>
    </row>
    <row r="2636" spans="1:4" x14ac:dyDescent="0.2">
      <c r="A2636" s="5">
        <v>2575</v>
      </c>
      <c r="B2636" s="138">
        <f>'Acct Summary 7-8'!E20</f>
        <v>8685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136245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136245</v>
      </c>
      <c r="C2658" s="2" t="s">
        <v>594</v>
      </c>
      <c r="D2658" s="2" t="str">
        <f t="shared" si="40"/>
        <v>Error?</v>
      </c>
    </row>
    <row r="2659" spans="1:4" x14ac:dyDescent="0.2">
      <c r="A2659" s="5">
        <v>2598</v>
      </c>
      <c r="B2659" s="138">
        <f>'Acct Summary 7-8'!H13</f>
        <v>29634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29634</v>
      </c>
      <c r="C2661" s="2" t="s">
        <v>594</v>
      </c>
      <c r="D2661" s="2" t="str">
        <f t="shared" si="40"/>
        <v>Error?</v>
      </c>
    </row>
    <row r="2662" spans="1:4" x14ac:dyDescent="0.2">
      <c r="A2662" s="5">
        <v>2601</v>
      </c>
      <c r="B2662" s="138">
        <f>'Acct Summary 7-8'!H20</f>
        <v>106611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1129</v>
      </c>
      <c r="C2789" s="2" t="s">
        <v>594</v>
      </c>
      <c r="D2789" s="2" t="str">
        <f t="shared" si="42"/>
        <v>Error?</v>
      </c>
    </row>
    <row r="2790" spans="1:4" x14ac:dyDescent="0.2">
      <c r="A2790" s="5">
        <v>2729</v>
      </c>
      <c r="B2790" s="138">
        <f>'Expenditures 15-22'!E102</f>
        <v>1129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2016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655578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18111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655578</v>
      </c>
      <c r="D2912" s="2" t="str">
        <f t="shared" si="44"/>
        <v>Error?</v>
      </c>
    </row>
    <row r="2913" spans="1:4" x14ac:dyDescent="0.2">
      <c r="A2913" s="5">
        <v>2852</v>
      </c>
      <c r="B2913" s="138">
        <f>'Assets-Liab 5-6'!I41</f>
        <v>655578</v>
      </c>
      <c r="C2913" s="2" t="s">
        <v>594</v>
      </c>
      <c r="D2913" s="2" t="str">
        <f t="shared" si="44"/>
        <v>Error?</v>
      </c>
    </row>
    <row r="2914" spans="1:4" x14ac:dyDescent="0.2">
      <c r="A2914" s="5">
        <v>2853</v>
      </c>
      <c r="B2914" s="138">
        <f>'Assets-Liab 5-6'!L33</f>
        <v>18111</v>
      </c>
      <c r="D2914" s="2" t="str">
        <f t="shared" si="44"/>
        <v>Error?</v>
      </c>
    </row>
    <row r="2915" spans="1:4" x14ac:dyDescent="0.2">
      <c r="A2915" s="10">
        <v>2854</v>
      </c>
      <c r="D2915" s="2" t="str">
        <f t="shared" si="44"/>
        <v>OK</v>
      </c>
    </row>
    <row r="2916" spans="1:4" x14ac:dyDescent="0.2">
      <c r="A2916" s="5">
        <v>2855</v>
      </c>
      <c r="B2916" s="138">
        <f>'Assets-Liab 5-6'!L34</f>
        <v>18111</v>
      </c>
      <c r="C2916" s="2" t="s">
        <v>594</v>
      </c>
      <c r="D2916" s="2" t="str">
        <f t="shared" si="44"/>
        <v>Error?</v>
      </c>
    </row>
    <row r="2917" spans="1:4" x14ac:dyDescent="0.2">
      <c r="A2917" s="5">
        <v>2856</v>
      </c>
      <c r="B2917" s="138">
        <f>'Assets-Liab 5-6'!L41</f>
        <v>18111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1129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88571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88571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1129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20000</v>
      </c>
      <c r="D3055" s="2" t="str">
        <f t="shared" si="46"/>
        <v>Error?</v>
      </c>
    </row>
    <row r="3056" spans="1:4" x14ac:dyDescent="0.2">
      <c r="A3056" s="5">
        <v>2995</v>
      </c>
      <c r="B3056" s="138">
        <f>'Expenditures 15-22'!D10</f>
        <v>6809</v>
      </c>
      <c r="D3056" s="2" t="str">
        <f t="shared" si="46"/>
        <v>Error?</v>
      </c>
    </row>
    <row r="3057" spans="1:4" x14ac:dyDescent="0.2">
      <c r="A3057" s="5">
        <v>2996</v>
      </c>
      <c r="B3057" s="138">
        <f>'Expenditures 15-22'!E10</f>
        <v>785</v>
      </c>
      <c r="D3057" s="2" t="str">
        <f t="shared" si="46"/>
        <v>Error?</v>
      </c>
    </row>
    <row r="3058" spans="1:4" x14ac:dyDescent="0.2">
      <c r="A3058" s="5">
        <v>2997</v>
      </c>
      <c r="B3058" s="138">
        <f>'Expenditures 15-22'!F10</f>
        <v>4192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31786</v>
      </c>
      <c r="C3062" s="2" t="s">
        <v>594</v>
      </c>
      <c r="D3062" s="2" t="str">
        <f t="shared" si="46"/>
        <v>Error?</v>
      </c>
    </row>
    <row r="3063" spans="1:4" x14ac:dyDescent="0.2">
      <c r="A3063" s="10">
        <v>3002</v>
      </c>
      <c r="D3063" s="2" t="str">
        <f t="shared" si="46"/>
        <v>OK</v>
      </c>
    </row>
    <row r="3064" spans="1:4" x14ac:dyDescent="0.2">
      <c r="A3064" s="5">
        <v>3003</v>
      </c>
      <c r="B3064" s="138">
        <f>'Expenditures 15-22'!D219</f>
        <v>290</v>
      </c>
      <c r="D3064" s="2" t="str">
        <f t="shared" si="46"/>
        <v>Error?</v>
      </c>
    </row>
    <row r="3065" spans="1:4" x14ac:dyDescent="0.2">
      <c r="A3065" s="5">
        <v>3004</v>
      </c>
      <c r="B3065" s="138">
        <f>'Expenditures 15-22'!K219</f>
        <v>290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26359</v>
      </c>
      <c r="C3225" s="2" t="s">
        <v>594</v>
      </c>
      <c r="D3225" s="2" t="str">
        <f t="shared" si="49"/>
        <v>Error?</v>
      </c>
    </row>
    <row r="3226" spans="1:4" x14ac:dyDescent="0.2">
      <c r="A3226" s="5">
        <v>3165</v>
      </c>
      <c r="B3226" s="138">
        <f>'Acct Summary 7-8'!I8</f>
        <v>26359</v>
      </c>
      <c r="C3226" s="2" t="s">
        <v>594</v>
      </c>
      <c r="D3226" s="2" t="str">
        <f t="shared" si="49"/>
        <v>Error?</v>
      </c>
    </row>
    <row r="3227" spans="1:4" x14ac:dyDescent="0.2">
      <c r="A3227" s="5">
        <v>3166</v>
      </c>
      <c r="B3227" s="138">
        <f>'Acct Summary 7-8'!I20</f>
        <v>26359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88643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35363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4201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-24039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8685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106611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185691</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185691</v>
      </c>
      <c r="C3319" s="2" t="s">
        <v>594</v>
      </c>
      <c r="D3319" s="2" t="str">
        <f t="shared" si="50"/>
        <v>Error?</v>
      </c>
    </row>
    <row r="3320" spans="1:4" x14ac:dyDescent="0.2">
      <c r="A3320" s="5">
        <v>3259</v>
      </c>
      <c r="B3320" s="138">
        <f>'Acct Summary 7-8'!I78</f>
        <v>212050</v>
      </c>
      <c r="C3320" s="2" t="s">
        <v>594</v>
      </c>
      <c r="D3320" s="2" t="str">
        <f t="shared" si="50"/>
        <v>Error?</v>
      </c>
    </row>
    <row r="3321" spans="1:4" x14ac:dyDescent="0.2">
      <c r="A3321" s="5">
        <v>3260</v>
      </c>
      <c r="B3321" s="138">
        <f>'Acct Summary 7-8'!I79</f>
        <v>443528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655578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109446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16975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1188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127609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13609</v>
      </c>
      <c r="D3387" s="2" t="str">
        <f t="shared" si="51"/>
        <v>Error?</v>
      </c>
    </row>
    <row r="3388" spans="1:4" x14ac:dyDescent="0.2">
      <c r="A3388" s="5">
        <v>3327</v>
      </c>
      <c r="B3388" s="138">
        <f>'Expenditures 15-22'!D217</f>
        <v>6906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13609</v>
      </c>
      <c r="C3390" s="2" t="s">
        <v>594</v>
      </c>
      <c r="D3390" s="2" t="str">
        <f t="shared" si="51"/>
        <v>Error?</v>
      </c>
    </row>
    <row r="3391" spans="1:4" x14ac:dyDescent="0.2">
      <c r="A3391" s="5">
        <v>3330</v>
      </c>
      <c r="B3391" s="138">
        <f>'Expenditures 15-22'!K217</f>
        <v>6906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847855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240882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128108</v>
      </c>
      <c r="D3417" s="2" t="str">
        <f t="shared" si="52"/>
        <v>Error?</v>
      </c>
    </row>
    <row r="3418" spans="1:4" x14ac:dyDescent="0.2">
      <c r="A3418" s="10">
        <v>3357</v>
      </c>
      <c r="D3418" s="2" t="str">
        <f t="shared" si="52"/>
        <v>OK</v>
      </c>
    </row>
    <row r="3419" spans="1:4" x14ac:dyDescent="0.2">
      <c r="A3419" s="5">
        <v>3358</v>
      </c>
      <c r="B3419" s="138">
        <f>'Assets-Liab 5-6'!F4</f>
        <v>124670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164436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279379</v>
      </c>
      <c r="D3425" s="2" t="str">
        <f t="shared" si="52"/>
        <v>Error?</v>
      </c>
    </row>
    <row r="3426" spans="1:4" x14ac:dyDescent="0.2">
      <c r="A3426" s="10">
        <v>3365</v>
      </c>
      <c r="D3426" s="2" t="str">
        <f t="shared" si="52"/>
        <v>OK</v>
      </c>
    </row>
    <row r="3427" spans="1:4" x14ac:dyDescent="0.2">
      <c r="A3427" s="5">
        <v>3366</v>
      </c>
      <c r="B3427" s="138">
        <f>'Assets-Liab 5-6'!I4</f>
        <v>655578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18111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12871</v>
      </c>
      <c r="C3446" s="2" t="s">
        <v>594</v>
      </c>
      <c r="D3446" s="2" t="str">
        <f t="shared" si="52"/>
        <v>Error?</v>
      </c>
    </row>
    <row r="3447" spans="1:4" x14ac:dyDescent="0.2">
      <c r="A3447" s="5">
        <v>3386</v>
      </c>
      <c r="B3447" s="138">
        <f>'Tax Sched 23'!D16</f>
        <v>10380</v>
      </c>
      <c r="C3447" s="2" t="s">
        <v>594</v>
      </c>
      <c r="D3447" s="2" t="str">
        <f t="shared" si="52"/>
        <v>Error?</v>
      </c>
    </row>
    <row r="3448" spans="1:4" x14ac:dyDescent="0.2">
      <c r="A3448" s="5">
        <v>3387</v>
      </c>
      <c r="B3448" s="138">
        <f>'Tax Sched 23'!C16</f>
        <v>2491</v>
      </c>
      <c r="D3448" s="2" t="str">
        <f t="shared" si="52"/>
        <v>Error?</v>
      </c>
    </row>
    <row r="3449" spans="1:4" x14ac:dyDescent="0.2">
      <c r="A3449" s="5">
        <v>3388</v>
      </c>
      <c r="B3449" s="138">
        <f>'Tax Sched 23'!F16</f>
        <v>2503</v>
      </c>
      <c r="C3449" s="2" t="s">
        <v>594</v>
      </c>
      <c r="D3449" s="2" t="str">
        <f t="shared" si="52"/>
        <v>Error?</v>
      </c>
    </row>
    <row r="3450" spans="1:4" x14ac:dyDescent="0.2">
      <c r="A3450" s="5">
        <v>3389</v>
      </c>
      <c r="B3450" s="138">
        <f>'Tax Sched 23'!E16</f>
        <v>4994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2016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2016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2016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131537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131537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131537</v>
      </c>
      <c r="D3567" s="2" t="str">
        <f t="shared" si="54"/>
        <v>Error?</v>
      </c>
    </row>
    <row r="3568" spans="1:4" x14ac:dyDescent="0.2">
      <c r="A3568" s="5">
        <v>3507</v>
      </c>
      <c r="B3568" s="138">
        <f>'Assets-Liab 5-6'!K41</f>
        <v>131537</v>
      </c>
      <c r="C3568" s="2" t="s">
        <v>594</v>
      </c>
      <c r="D3568" s="2" t="str">
        <f t="shared" si="54"/>
        <v>Error?</v>
      </c>
    </row>
    <row r="3569" spans="1:4" x14ac:dyDescent="0.2">
      <c r="A3569" s="5">
        <v>3508</v>
      </c>
      <c r="B3569" s="138">
        <f>'Acct Summary 7-8'!K4</f>
        <v>23326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23326</v>
      </c>
      <c r="C3571" s="2" t="s">
        <v>594</v>
      </c>
      <c r="D3571" s="2" t="str">
        <f t="shared" si="54"/>
        <v>Error?</v>
      </c>
    </row>
    <row r="3572" spans="1:4" x14ac:dyDescent="0.2">
      <c r="A3572" s="5">
        <v>3511</v>
      </c>
      <c r="B3572" s="138">
        <f>'Acct Summary 7-8'!K13</f>
        <v>18328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18328</v>
      </c>
      <c r="C3575" s="2" t="s">
        <v>594</v>
      </c>
      <c r="D3575" s="2" t="str">
        <f t="shared" si="54"/>
        <v>Error?</v>
      </c>
    </row>
    <row r="3576" spans="1:4" x14ac:dyDescent="0.2">
      <c r="A3576" s="5">
        <v>3515</v>
      </c>
      <c r="B3576" s="138">
        <f>'Acct Summary 7-8'!K20</f>
        <v>4998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4998</v>
      </c>
      <c r="C3588" s="2" t="s">
        <v>594</v>
      </c>
      <c r="D3588" s="2" t="str">
        <f t="shared" si="55"/>
        <v>Error?</v>
      </c>
    </row>
    <row r="3589" spans="1:4" x14ac:dyDescent="0.2">
      <c r="A3589" s="5">
        <v>3528</v>
      </c>
      <c r="B3589" s="138">
        <f>'Acct Summary 7-8'!K79</f>
        <v>126539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131537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18328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18328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18328</v>
      </c>
      <c r="C3635" s="2" t="s">
        <v>594</v>
      </c>
      <c r="D3635" s="2" t="str">
        <f t="shared" si="55"/>
        <v>Error?</v>
      </c>
    </row>
    <row r="3636" spans="1:4" x14ac:dyDescent="0.2">
      <c r="A3636" s="5">
        <v>3575</v>
      </c>
      <c r="B3636" s="138">
        <f>'Expenditures 15-22'!E367</f>
        <v>18328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18328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18328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18328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18328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4998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11167</v>
      </c>
      <c r="C3725" s="2" t="s">
        <v>594</v>
      </c>
      <c r="D3725" s="2" t="str">
        <f t="shared" si="57"/>
        <v>Error?</v>
      </c>
    </row>
    <row r="3726" spans="1:4" x14ac:dyDescent="0.2">
      <c r="A3726" s="5">
        <v>3665</v>
      </c>
      <c r="B3726" s="138">
        <f>'Tax Sched 23'!D13</f>
        <v>10918</v>
      </c>
      <c r="C3726" s="2" t="s">
        <v>594</v>
      </c>
      <c r="D3726" s="2" t="str">
        <f t="shared" si="57"/>
        <v>Error?</v>
      </c>
    </row>
    <row r="3727" spans="1:4" x14ac:dyDescent="0.2">
      <c r="A3727" s="5">
        <v>3666</v>
      </c>
      <c r="B3727" s="138">
        <f>'Tax Sched 23'!C13</f>
        <v>249</v>
      </c>
      <c r="D3727" s="2" t="str">
        <f t="shared" si="57"/>
        <v>Error?</v>
      </c>
    </row>
    <row r="3728" spans="1:4" x14ac:dyDescent="0.2">
      <c r="A3728" s="5">
        <v>3667</v>
      </c>
      <c r="B3728" s="138">
        <f>'Tax Sched 23'!F13</f>
        <v>250</v>
      </c>
      <c r="C3728" s="2" t="s">
        <v>594</v>
      </c>
      <c r="D3728" s="2" t="str">
        <f t="shared" si="57"/>
        <v>Error?</v>
      </c>
    </row>
    <row r="3729" spans="1:4" x14ac:dyDescent="0.2">
      <c r="A3729" s="5">
        <v>3668</v>
      </c>
      <c r="B3729" s="138">
        <f>'Tax Sched 23'!E13</f>
        <v>499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998281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3049581</v>
      </c>
      <c r="C4122" s="2" t="s">
        <v>594</v>
      </c>
      <c r="D4122" s="2" t="str">
        <f t="shared" si="63"/>
        <v>Error?</v>
      </c>
    </row>
    <row r="4123" spans="1:4" x14ac:dyDescent="0.2">
      <c r="A4123" s="5">
        <v>4062</v>
      </c>
      <c r="B4123" s="138">
        <f>'Acct Summary 7-8'!D10</f>
        <v>130821</v>
      </c>
      <c r="C4123" s="2" t="s">
        <v>594</v>
      </c>
      <c r="D4123" s="2" t="str">
        <f t="shared" si="63"/>
        <v>Error?</v>
      </c>
    </row>
    <row r="4124" spans="1:4" x14ac:dyDescent="0.2">
      <c r="A4124" s="5">
        <v>4063</v>
      </c>
      <c r="B4124" s="138">
        <f>'Acct Summary 7-8'!E10</f>
        <v>217686</v>
      </c>
      <c r="C4124" s="2" t="s">
        <v>594</v>
      </c>
      <c r="D4124" s="2" t="str">
        <f t="shared" si="63"/>
        <v>Error?</v>
      </c>
    </row>
    <row r="4125" spans="1:4" x14ac:dyDescent="0.2">
      <c r="A4125" s="5">
        <v>4064</v>
      </c>
      <c r="B4125" s="138">
        <f>'Acct Summary 7-8'!F10</f>
        <v>174814</v>
      </c>
      <c r="C4125" s="2" t="s">
        <v>594</v>
      </c>
      <c r="D4125" s="2" t="str">
        <f t="shared" si="63"/>
        <v>Error?</v>
      </c>
    </row>
    <row r="4126" spans="1:4" x14ac:dyDescent="0.2">
      <c r="A4126" s="5">
        <v>4065</v>
      </c>
      <c r="B4126" s="138">
        <f>'Acct Summary 7-8'!G10</f>
        <v>30140</v>
      </c>
      <c r="C4126" s="2" t="s">
        <v>594</v>
      </c>
      <c r="D4126" s="2" t="str">
        <f t="shared" si="63"/>
        <v>Error?</v>
      </c>
    </row>
    <row r="4127" spans="1:4" x14ac:dyDescent="0.2">
      <c r="A4127" s="5">
        <v>4066</v>
      </c>
      <c r="B4127" s="138">
        <f>'Acct Summary 7-8'!H10</f>
        <v>136245</v>
      </c>
      <c r="C4127" s="2" t="s">
        <v>594</v>
      </c>
      <c r="D4127" s="2" t="str">
        <f t="shared" si="63"/>
        <v>Error?</v>
      </c>
    </row>
    <row r="4128" spans="1:4" x14ac:dyDescent="0.2">
      <c r="A4128" s="5">
        <v>4067</v>
      </c>
      <c r="B4128" s="138">
        <f>'Acct Summary 7-8'!I10</f>
        <v>26359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23326</v>
      </c>
      <c r="C4130" s="2" t="s">
        <v>594</v>
      </c>
      <c r="D4130" s="2" t="str">
        <f t="shared" si="63"/>
        <v>Error?</v>
      </c>
    </row>
    <row r="4131" spans="1:4" x14ac:dyDescent="0.2">
      <c r="A4131" s="5">
        <v>4070</v>
      </c>
      <c r="B4131" s="138">
        <f>'Acct Summary 7-8'!C18</f>
        <v>998281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2960938</v>
      </c>
      <c r="C4136" s="2" t="s">
        <v>594</v>
      </c>
      <c r="D4136" s="2" t="str">
        <f t="shared" si="63"/>
        <v>Error?</v>
      </c>
    </row>
    <row r="4137" spans="1:4" x14ac:dyDescent="0.2">
      <c r="A4137" s="5">
        <v>4076</v>
      </c>
      <c r="B4137" s="138">
        <f>'Acct Summary 7-8'!D19</f>
        <v>95458</v>
      </c>
      <c r="C4137" s="2" t="s">
        <v>594</v>
      </c>
      <c r="D4137" s="2" t="str">
        <f t="shared" si="63"/>
        <v>Error?</v>
      </c>
    </row>
    <row r="4138" spans="1:4" x14ac:dyDescent="0.2">
      <c r="A4138" s="5">
        <v>4077</v>
      </c>
      <c r="B4138" s="138">
        <f>'Acct Summary 7-8'!E19</f>
        <v>209001</v>
      </c>
      <c r="C4138" s="2" t="s">
        <v>594</v>
      </c>
      <c r="D4138" s="2" t="str">
        <f t="shared" si="63"/>
        <v>Error?</v>
      </c>
    </row>
    <row r="4139" spans="1:4" x14ac:dyDescent="0.2">
      <c r="A4139" s="5">
        <v>4078</v>
      </c>
      <c r="B4139" s="138">
        <f>'Acct Summary 7-8'!F19</f>
        <v>170613</v>
      </c>
      <c r="C4139" s="2" t="s">
        <v>594</v>
      </c>
      <c r="D4139" s="2" t="str">
        <f t="shared" si="63"/>
        <v>Error?</v>
      </c>
    </row>
    <row r="4140" spans="1:4" x14ac:dyDescent="0.2">
      <c r="A4140" s="5">
        <v>4079</v>
      </c>
      <c r="B4140" s="138">
        <f>'Acct Summary 7-8'!G19</f>
        <v>54179</v>
      </c>
      <c r="C4140" s="2" t="s">
        <v>594</v>
      </c>
      <c r="D4140" s="2" t="str">
        <f t="shared" si="63"/>
        <v>Error?</v>
      </c>
    </row>
    <row r="4141" spans="1:4" x14ac:dyDescent="0.2">
      <c r="A4141" s="5">
        <v>4080</v>
      </c>
      <c r="B4141" s="138">
        <f>'Acct Summary 7-8'!H19</f>
        <v>29634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18328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1445000</v>
      </c>
      <c r="C4171" s="2" t="s">
        <v>594</v>
      </c>
      <c r="D4171" s="2" t="str">
        <f t="shared" si="64"/>
        <v>Error?</v>
      </c>
    </row>
    <row r="4172" spans="1:4" x14ac:dyDescent="0.2">
      <c r="A4172" s="5">
        <v>4111</v>
      </c>
      <c r="B4172" s="138">
        <f>'Short-Term Long-Term Debt 24'!J49</f>
        <v>1316892</v>
      </c>
      <c r="C4172" s="2" t="s">
        <v>594</v>
      </c>
      <c r="D4172" s="2" t="str">
        <f t="shared" si="64"/>
        <v>Error?</v>
      </c>
    </row>
    <row r="4173" spans="1:4" x14ac:dyDescent="0.2">
      <c r="A4173" s="5">
        <v>4112</v>
      </c>
      <c r="B4173" s="138">
        <f>'Short-Term Long-Term Debt 24'!H49</f>
        <v>155000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14309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2190</v>
      </c>
      <c r="C4268" s="2" t="s">
        <v>594</v>
      </c>
      <c r="D4268" s="2" t="str">
        <f t="shared" si="65"/>
        <v>Error?</v>
      </c>
    </row>
    <row r="4269" spans="1:5" x14ac:dyDescent="0.2">
      <c r="A4269" s="12">
        <v>4208</v>
      </c>
      <c r="B4269" s="138">
        <f>'FP Info 3'!J16</f>
        <v>1868985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5759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18601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7979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32649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45395815</v>
      </c>
      <c r="D4995" s="2" t="str">
        <f t="shared" si="77"/>
        <v>Error?</v>
      </c>
    </row>
    <row r="4996" spans="1:4" x14ac:dyDescent="0.2">
      <c r="A4996" s="12">
        <v>4935</v>
      </c>
      <c r="B4996" s="138">
        <f>'FP Info 3'!H31</f>
        <v>3132311.2350000003</v>
      </c>
      <c r="D4996" s="2" t="str">
        <f t="shared" si="77"/>
        <v>Error?</v>
      </c>
    </row>
    <row r="4997" spans="1:4" x14ac:dyDescent="0.2">
      <c r="A4997" s="12">
        <v>4936</v>
      </c>
      <c r="B4997" s="138">
        <f>'FP Info 3'!H37</f>
        <v>1445000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11167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809532</v>
      </c>
      <c r="D5061" s="2" t="str">
        <f t="shared" si="78"/>
        <v>Error?</v>
      </c>
    </row>
    <row r="5062" spans="1:4" x14ac:dyDescent="0.2">
      <c r="A5062" s="10">
        <v>5001</v>
      </c>
      <c r="D5062" s="2" t="str">
        <f t="shared" si="78"/>
        <v>OK</v>
      </c>
    </row>
    <row r="5063" spans="1:4" x14ac:dyDescent="0.2">
      <c r="A5063" s="5">
        <v>5002</v>
      </c>
      <c r="B5063" s="138">
        <f>'Revenues 9-14'!C7</f>
        <v>8896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829595</v>
      </c>
      <c r="C5066" s="2" t="s">
        <v>594</v>
      </c>
      <c r="D5066" s="2" t="str">
        <f t="shared" si="78"/>
        <v>Error?</v>
      </c>
    </row>
    <row r="5067" spans="1:4" x14ac:dyDescent="0.2">
      <c r="A5067" s="5">
        <v>5006</v>
      </c>
      <c r="B5067" s="138">
        <f>'Revenues 9-14'!C14</f>
        <v>262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66497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66759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2694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2694</v>
      </c>
      <c r="C5087" s="2" t="s">
        <v>594</v>
      </c>
      <c r="D5087" s="2" t="str">
        <f t="shared" si="78"/>
        <v>Error?</v>
      </c>
    </row>
    <row r="5088" spans="1:4" x14ac:dyDescent="0.2">
      <c r="A5088" s="5">
        <v>5027</v>
      </c>
      <c r="B5088" s="138">
        <f>'Revenues 9-14'!C65</f>
        <v>5219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5219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5900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878</v>
      </c>
      <c r="D5101" s="2" t="str">
        <f t="shared" si="78"/>
        <v>Error?</v>
      </c>
    </row>
    <row r="5102" spans="1:4" x14ac:dyDescent="0.2">
      <c r="A5102" s="5">
        <v>5041</v>
      </c>
      <c r="B5102" s="138">
        <f>'Revenues 9-14'!C82</f>
        <v>6778</v>
      </c>
      <c r="C5102" s="2" t="s">
        <v>594</v>
      </c>
      <c r="D5102" s="2" t="str">
        <f t="shared" si="78"/>
        <v>Error?</v>
      </c>
    </row>
    <row r="5103" spans="1:4" x14ac:dyDescent="0.2">
      <c r="A5103" s="5">
        <v>5042</v>
      </c>
      <c r="B5103" s="138">
        <f>'Revenues 9-14'!C84</f>
        <v>10523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10523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7000</v>
      </c>
      <c r="D5114" s="2" t="str">
        <f t="shared" si="78"/>
        <v>Error?</v>
      </c>
    </row>
    <row r="5115" spans="1:4" x14ac:dyDescent="0.2">
      <c r="A5115" s="5">
        <v>5054</v>
      </c>
      <c r="B5115" s="138">
        <f>'Revenues 9-14'!C98</f>
        <v>16142</v>
      </c>
      <c r="D5115" s="2" t="str">
        <f t="shared" si="78"/>
        <v>Error?</v>
      </c>
    </row>
    <row r="5116" spans="1:4" x14ac:dyDescent="0.2">
      <c r="A5116" s="5">
        <v>5055</v>
      </c>
      <c r="B5116" s="138">
        <f>'Revenues 9-14'!C99</f>
        <v>1814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153</v>
      </c>
      <c r="D5119" s="2" t="str">
        <f t="shared" ref="D5119:D5182" si="79">IF(ISBLANK(B5119),"OK",IF(A5119-B5119=0,"OK","Error?"))</f>
        <v>Error?</v>
      </c>
    </row>
    <row r="5120" spans="1:4" x14ac:dyDescent="0.2">
      <c r="A5120" s="5">
        <v>5059</v>
      </c>
      <c r="B5120" s="138">
        <f>'Revenues 9-14'!C108</f>
        <v>25109</v>
      </c>
      <c r="C5120" s="2" t="s">
        <v>594</v>
      </c>
      <c r="D5120" s="2" t="str">
        <f t="shared" si="79"/>
        <v>Error?</v>
      </c>
    </row>
    <row r="5121" spans="1:4" x14ac:dyDescent="0.2">
      <c r="A5121" s="5">
        <v>5060</v>
      </c>
      <c r="B5121" s="138">
        <f>'Revenues 9-14'!C109</f>
        <v>946677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933585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933585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18997</v>
      </c>
      <c r="D5134" s="2" t="str">
        <f t="shared" si="79"/>
        <v>Error?</v>
      </c>
    </row>
    <row r="5135" spans="1:4" x14ac:dyDescent="0.2">
      <c r="A5135" s="5">
        <v>5074</v>
      </c>
      <c r="B5135" s="138">
        <f>'Revenues 9-14'!C126</f>
        <v>19880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38877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454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39468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973053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32649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34481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34481</v>
      </c>
      <c r="C5246" s="2" t="s">
        <v>594</v>
      </c>
      <c r="D5246" s="2" t="str">
        <f t="shared" si="80"/>
        <v>Error?</v>
      </c>
    </row>
    <row r="5247" spans="1:4" x14ac:dyDescent="0.2">
      <c r="A5247" s="5">
        <v>5186</v>
      </c>
      <c r="B5247" s="138">
        <f>'Revenues 9-14'!C203</f>
        <v>27101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27101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98921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131570</v>
      </c>
      <c r="C5326" s="2" t="s">
        <v>594</v>
      </c>
      <c r="D5326" s="2" t="str">
        <f t="shared" si="82"/>
        <v>Error?</v>
      </c>
    </row>
    <row r="5327" spans="1:4" x14ac:dyDescent="0.2">
      <c r="A5327" s="5">
        <v>5266</v>
      </c>
      <c r="B5327" s="138">
        <f>'Revenues 9-14'!C275</f>
        <v>2051300</v>
      </c>
      <c r="C5327" s="2" t="s">
        <v>594</v>
      </c>
      <c r="D5327" s="2" t="str">
        <f t="shared" si="82"/>
        <v>Error?</v>
      </c>
    </row>
    <row r="5328" spans="1:4" x14ac:dyDescent="0.2">
      <c r="A5328" s="5">
        <v>5267</v>
      </c>
      <c r="B5328" s="138">
        <f>'Revenues 9-14'!D5</f>
        <v>111200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111200</v>
      </c>
      <c r="C5334" s="2" t="s">
        <v>594</v>
      </c>
      <c r="D5334" s="2" t="str">
        <f t="shared" si="82"/>
        <v>Error?</v>
      </c>
    </row>
    <row r="5335" spans="1:4" x14ac:dyDescent="0.2">
      <c r="A5335" s="5">
        <v>5274</v>
      </c>
      <c r="B5335" s="138">
        <f>'Revenues 9-14'!D14</f>
        <v>35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v>
      </c>
      <c r="C5339" s="2" t="s">
        <v>594</v>
      </c>
      <c r="D5339" s="2" t="str">
        <f t="shared" si="82"/>
        <v>Error?</v>
      </c>
    </row>
    <row r="5340" spans="1:4" x14ac:dyDescent="0.2">
      <c r="A5340" s="5">
        <v>5279</v>
      </c>
      <c r="B5340" s="138">
        <f>'Revenues 9-14'!D65</f>
        <v>1758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1758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5328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17828</v>
      </c>
      <c r="C5355" s="2" t="s">
        <v>594</v>
      </c>
      <c r="D5355" s="2" t="str">
        <f t="shared" si="82"/>
        <v>Error?</v>
      </c>
    </row>
    <row r="5356" spans="1:4" x14ac:dyDescent="0.2">
      <c r="A5356" s="5">
        <v>5295</v>
      </c>
      <c r="B5356" s="138">
        <f>'Revenues 9-14'!D109</f>
        <v>130821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130821</v>
      </c>
      <c r="C5508" s="2" t="s">
        <v>594</v>
      </c>
      <c r="D5508" s="2" t="str">
        <f t="shared" si="85"/>
        <v>Error?</v>
      </c>
    </row>
    <row r="5509" spans="1:4" x14ac:dyDescent="0.2">
      <c r="A5509" s="5">
        <v>5448</v>
      </c>
      <c r="B5509" s="138">
        <f>'Revenues 9-14'!E5</f>
        <v>216479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216479</v>
      </c>
      <c r="C5513" s="2" t="s">
        <v>594</v>
      </c>
      <c r="D5513" s="2" t="str">
        <f t="shared" si="85"/>
        <v>Error?</v>
      </c>
    </row>
    <row r="5514" spans="1:4" x14ac:dyDescent="0.2">
      <c r="A5514" s="5">
        <v>5453</v>
      </c>
      <c r="B5514" s="138">
        <f>'Revenues 9-14'!E14</f>
        <v>69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69</v>
      </c>
      <c r="C5518" s="2" t="s">
        <v>594</v>
      </c>
      <c r="D5518" s="2" t="str">
        <f t="shared" si="85"/>
        <v>Error?</v>
      </c>
    </row>
    <row r="5519" spans="1:4" x14ac:dyDescent="0.2">
      <c r="A5519" s="5">
        <v>5458</v>
      </c>
      <c r="B5519" s="138">
        <f>'Revenues 9-14'!E65</f>
        <v>1138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1138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217686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217686</v>
      </c>
      <c r="C5552" s="2" t="s">
        <v>594</v>
      </c>
      <c r="D5552" s="2" t="str">
        <f t="shared" si="85"/>
        <v>Error?</v>
      </c>
    </row>
    <row r="5553" spans="1:4" x14ac:dyDescent="0.2">
      <c r="A5553" s="5">
        <v>5492</v>
      </c>
      <c r="B5553" s="138">
        <f>'Revenues 9-14'!F5</f>
        <v>53376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53376</v>
      </c>
      <c r="C5557" s="2" t="s">
        <v>594</v>
      </c>
      <c r="D5557" s="2" t="str">
        <f t="shared" si="85"/>
        <v>Error?</v>
      </c>
    </row>
    <row r="5558" spans="1:4" x14ac:dyDescent="0.2">
      <c r="A5558" s="5">
        <v>5497</v>
      </c>
      <c r="B5558" s="138">
        <f>'Revenues 9-14'!F14</f>
        <v>17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977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977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54370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72525</v>
      </c>
      <c r="D5615" s="2" t="str">
        <f t="shared" si="86"/>
        <v>Error?</v>
      </c>
    </row>
    <row r="5616" spans="1:4" x14ac:dyDescent="0.2">
      <c r="A5616" s="10">
        <v>5555</v>
      </c>
      <c r="D5616" s="2" t="str">
        <f t="shared" si="86"/>
        <v>OK</v>
      </c>
    </row>
    <row r="5617" spans="1:4" x14ac:dyDescent="0.2">
      <c r="A5617" s="5">
        <v>5556</v>
      </c>
      <c r="B5617" s="138">
        <f>'Revenues 9-14'!F152</f>
        <v>47919</v>
      </c>
      <c r="D5617" s="2" t="str">
        <f t="shared" si="86"/>
        <v>Error?</v>
      </c>
    </row>
    <row r="5618" spans="1:4" x14ac:dyDescent="0.2">
      <c r="A5618" s="5">
        <v>5557</v>
      </c>
      <c r="B5618" s="138">
        <f>'Revenues 9-14'!F154</f>
        <v>120444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120444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120444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174814</v>
      </c>
      <c r="C5720" s="2" t="s">
        <v>594</v>
      </c>
      <c r="D5720" s="2" t="str">
        <f t="shared" si="88"/>
        <v>Error?</v>
      </c>
    </row>
    <row r="5721" spans="1:4" x14ac:dyDescent="0.2">
      <c r="A5721" s="5">
        <v>5660</v>
      </c>
      <c r="B5721" s="138">
        <f>'Revenues 9-14'!G5</f>
        <v>12850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12871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25721</v>
      </c>
      <c r="C5725" s="2" t="s">
        <v>594</v>
      </c>
      <c r="D5725" s="2" t="str">
        <f t="shared" si="88"/>
        <v>Error?</v>
      </c>
    </row>
    <row r="5726" spans="1:4" x14ac:dyDescent="0.2">
      <c r="A5726" s="5">
        <v>5665</v>
      </c>
      <c r="B5726" s="138">
        <f>'Revenues 9-14'!G14</f>
        <v>13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2957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2970</v>
      </c>
      <c r="C5730" s="2" t="s">
        <v>594</v>
      </c>
      <c r="D5730" s="2" t="str">
        <f t="shared" si="88"/>
        <v>Error?</v>
      </c>
    </row>
    <row r="5731" spans="1:4" x14ac:dyDescent="0.2">
      <c r="A5731" s="5">
        <v>5670</v>
      </c>
      <c r="B5731" s="138">
        <f>'Revenues 9-14'!G65</f>
        <v>1449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30140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1768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1768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134477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136245</v>
      </c>
      <c r="C5915" s="2" t="s">
        <v>594</v>
      </c>
      <c r="D5915" s="2" t="str">
        <f t="shared" si="91"/>
        <v>Error?</v>
      </c>
    </row>
    <row r="5916" spans="1:4" x14ac:dyDescent="0.2">
      <c r="A5916" s="5">
        <v>5855</v>
      </c>
      <c r="B5916" s="138">
        <f>'Revenues 9-14'!I5</f>
        <v>22241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22241</v>
      </c>
      <c r="C5918" s="2" t="s">
        <v>594</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594</v>
      </c>
      <c r="D5923" s="2" t="str">
        <f t="shared" si="91"/>
        <v>Error?</v>
      </c>
    </row>
    <row r="5924" spans="1:4" x14ac:dyDescent="0.2">
      <c r="A5924" s="5">
        <v>5863</v>
      </c>
      <c r="B5924" s="138">
        <f>'Revenues 9-14'!I65</f>
        <v>4111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4111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26359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22241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22241</v>
      </c>
      <c r="C5987" s="2" t="s">
        <v>594</v>
      </c>
      <c r="D5987" s="2" t="str">
        <f t="shared" si="92"/>
        <v>Error?</v>
      </c>
    </row>
    <row r="5988" spans="1:4" x14ac:dyDescent="0.2">
      <c r="A5988" s="5">
        <v>5927</v>
      </c>
      <c r="B5988" s="138">
        <f>'Revenues 9-14'!K14</f>
        <v>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v>
      </c>
      <c r="C5992" s="2" t="s">
        <v>594</v>
      </c>
      <c r="D5992" s="2" t="str">
        <f t="shared" si="92"/>
        <v>Error?</v>
      </c>
    </row>
    <row r="5993" spans="1:4" x14ac:dyDescent="0.2">
      <c r="A5993" s="5">
        <v>5932</v>
      </c>
      <c r="B5993" s="138">
        <f>'Revenues 9-14'!K65</f>
        <v>1078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1078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23326</v>
      </c>
      <c r="C6023" s="2" t="s">
        <v>594</v>
      </c>
      <c r="D6023" s="2" t="str">
        <f t="shared" si="93"/>
        <v>Error?</v>
      </c>
    </row>
    <row r="6024" spans="1:5" x14ac:dyDescent="0.2">
      <c r="A6024" s="5">
        <v>5963</v>
      </c>
      <c r="B6024" s="138">
        <f>'Revenues 9-14'!G109</f>
        <v>30140</v>
      </c>
      <c r="C6024" s="2" t="s">
        <v>594</v>
      </c>
      <c r="D6024" s="2" t="str">
        <f t="shared" si="93"/>
        <v>Error?</v>
      </c>
    </row>
    <row r="6025" spans="1:5" x14ac:dyDescent="0.2">
      <c r="A6025" s="5">
        <v>5964</v>
      </c>
      <c r="B6025" s="138">
        <f>'Revenues 9-14'!H109</f>
        <v>136245</v>
      </c>
      <c r="C6025" s="2" t="s">
        <v>594</v>
      </c>
      <c r="D6025" s="2" t="str">
        <f t="shared" si="93"/>
        <v>Error?</v>
      </c>
    </row>
    <row r="6026" spans="1:5" x14ac:dyDescent="0.2">
      <c r="A6026" s="5">
        <v>5965</v>
      </c>
      <c r="B6026" s="138">
        <f>'Revenues 9-14'!I109</f>
        <v>26359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23326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3851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231.75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157326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157326</v>
      </c>
      <c r="D6215" s="2" t="str">
        <f t="shared" si="96"/>
        <v>Error?</v>
      </c>
      <c r="E6215" s="2" t="s">
        <v>199</v>
      </c>
    </row>
    <row r="6216" spans="1:5" x14ac:dyDescent="0.2">
      <c r="A6216">
        <v>6155</v>
      </c>
      <c r="B6216" s="138">
        <f>'Assets-Liab 5-6'!J41</f>
        <v>157326</v>
      </c>
      <c r="D6216" s="2" t="str">
        <f t="shared" si="96"/>
        <v>Error?</v>
      </c>
      <c r="E6216" s="2" t="s">
        <v>199</v>
      </c>
    </row>
    <row r="6217" spans="1:5" x14ac:dyDescent="0.2">
      <c r="A6217">
        <v>6156</v>
      </c>
      <c r="B6217" s="138">
        <f>'Assets-Liab 5-6'!J4</f>
        <v>157326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172283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172283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172283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166076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166076</v>
      </c>
      <c r="D6229" s="2" t="str">
        <f t="shared" si="96"/>
        <v>Error?</v>
      </c>
      <c r="E6229" s="2" t="s">
        <v>199</v>
      </c>
    </row>
    <row r="6230" spans="1:5" x14ac:dyDescent="0.2">
      <c r="A6230">
        <v>6169</v>
      </c>
      <c r="B6230" s="138">
        <f>'Acct Summary 7-8'!J20</f>
        <v>6207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6207</v>
      </c>
      <c r="D6263" s="2" t="str">
        <f t="shared" si="96"/>
        <v>Error?</v>
      </c>
      <c r="E6263" s="2" t="s">
        <v>199</v>
      </c>
    </row>
    <row r="6264" spans="1:5" x14ac:dyDescent="0.2">
      <c r="A6264">
        <v>6203</v>
      </c>
      <c r="B6264" s="138">
        <f>'Acct Summary 7-8'!J79</f>
        <v>151119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157326</v>
      </c>
      <c r="D6266" s="2" t="str">
        <f t="shared" si="96"/>
        <v>Error?</v>
      </c>
      <c r="E6266" s="2" t="s">
        <v>199</v>
      </c>
    </row>
    <row r="6267" spans="1:5" x14ac:dyDescent="0.2">
      <c r="A6267">
        <v>6206</v>
      </c>
      <c r="B6267" s="138">
        <f>'Acct Summary 7-8'!C82</f>
        <v>88643</v>
      </c>
      <c r="D6267" s="2" t="str">
        <f t="shared" si="96"/>
        <v>Error?</v>
      </c>
      <c r="E6267" s="2" t="s">
        <v>199</v>
      </c>
    </row>
    <row r="6268" spans="1:5" x14ac:dyDescent="0.2">
      <c r="A6268">
        <v>6207</v>
      </c>
      <c r="B6268" s="138">
        <f>'Acct Summary 7-8'!D82</f>
        <v>35363</v>
      </c>
      <c r="D6268" s="2" t="str">
        <f t="shared" si="96"/>
        <v>Error?</v>
      </c>
      <c r="E6268" s="2" t="s">
        <v>199</v>
      </c>
    </row>
    <row r="6269" spans="1:5" x14ac:dyDescent="0.2">
      <c r="A6269">
        <v>6208</v>
      </c>
      <c r="B6269" s="138">
        <f>'Acct Summary 7-8'!E82</f>
        <v>8685</v>
      </c>
      <c r="D6269" s="2" t="str">
        <f t="shared" si="96"/>
        <v>Error?</v>
      </c>
      <c r="E6269" s="2" t="s">
        <v>199</v>
      </c>
    </row>
    <row r="6270" spans="1:5" x14ac:dyDescent="0.2">
      <c r="A6270">
        <v>6209</v>
      </c>
      <c r="B6270" s="138">
        <f>'Acct Summary 7-8'!F82</f>
        <v>4201</v>
      </c>
      <c r="D6270" s="2" t="str">
        <f t="shared" si="96"/>
        <v>Error?</v>
      </c>
      <c r="E6270" s="2" t="s">
        <v>199</v>
      </c>
    </row>
    <row r="6271" spans="1:5" x14ac:dyDescent="0.2">
      <c r="A6271">
        <v>6210</v>
      </c>
      <c r="B6271" s="138">
        <f>'Acct Summary 7-8'!G82</f>
        <v>-24039</v>
      </c>
      <c r="D6271" s="2" t="str">
        <f t="shared" ref="D6271:D6334" si="97">IF(ISBLANK(B6271),"OK",IF(A6271-B6271=0,"OK","Error?"))</f>
        <v>Error?</v>
      </c>
      <c r="E6271" s="2" t="s">
        <v>199</v>
      </c>
    </row>
    <row r="6272" spans="1:5" x14ac:dyDescent="0.2">
      <c r="A6272">
        <v>6211</v>
      </c>
      <c r="B6272" s="138">
        <f>'Acct Summary 7-8'!H82</f>
        <v>106611</v>
      </c>
      <c r="D6272" s="2" t="str">
        <f t="shared" si="97"/>
        <v>Error?</v>
      </c>
      <c r="E6272" s="2" t="s">
        <v>199</v>
      </c>
    </row>
    <row r="6273" spans="1:5" x14ac:dyDescent="0.2">
      <c r="A6273">
        <v>6212</v>
      </c>
      <c r="B6273" s="138">
        <f>'Acct Summary 7-8'!I82</f>
        <v>212050</v>
      </c>
      <c r="D6273" s="2" t="str">
        <f t="shared" si="97"/>
        <v>Error?</v>
      </c>
      <c r="E6273" s="2" t="s">
        <v>199</v>
      </c>
    </row>
    <row r="6274" spans="1:5" x14ac:dyDescent="0.2">
      <c r="A6274">
        <v>6213</v>
      </c>
      <c r="B6274" s="138">
        <f>'Acct Summary 7-8'!J82</f>
        <v>6207</v>
      </c>
      <c r="D6274" s="2" t="str">
        <f t="shared" si="97"/>
        <v>Error?</v>
      </c>
      <c r="E6274" s="2" t="s">
        <v>199</v>
      </c>
    </row>
    <row r="6275" spans="1:5" x14ac:dyDescent="0.2">
      <c r="A6275">
        <v>6214</v>
      </c>
      <c r="B6275" s="138">
        <f>'Acct Summary 7-8'!K82</f>
        <v>4998</v>
      </c>
      <c r="D6275" s="2" t="str">
        <f t="shared" si="97"/>
        <v>Error?</v>
      </c>
      <c r="E6275" s="2" t="s">
        <v>199</v>
      </c>
    </row>
    <row r="6276" spans="1:5" x14ac:dyDescent="0.2">
      <c r="A6276">
        <v>6215</v>
      </c>
      <c r="B6276" s="138">
        <f>'Acct Summary 7-8'!C83</f>
        <v>0.10454971663786851</v>
      </c>
      <c r="D6276" s="2" t="str">
        <f t="shared" si="97"/>
        <v>Error?</v>
      </c>
      <c r="E6276" s="2" t="s">
        <v>199</v>
      </c>
    </row>
    <row r="6277" spans="1:5" x14ac:dyDescent="0.2">
      <c r="A6277">
        <v>6216</v>
      </c>
      <c r="B6277" s="138">
        <f>'Acct Summary 7-8'!D83</f>
        <v>0.14680632010694034</v>
      </c>
      <c r="D6277" s="2" t="str">
        <f t="shared" si="97"/>
        <v>Error?</v>
      </c>
      <c r="E6277" s="2" t="s">
        <v>199</v>
      </c>
    </row>
    <row r="6278" spans="1:5" x14ac:dyDescent="0.2">
      <c r="A6278">
        <v>6217</v>
      </c>
      <c r="B6278" s="138">
        <f>'Acct Summary 7-8'!E83</f>
        <v>6.7794361007899581E-2</v>
      </c>
      <c r="D6278" s="2" t="str">
        <f t="shared" si="97"/>
        <v>Error?</v>
      </c>
      <c r="E6278" s="2" t="s">
        <v>199</v>
      </c>
    </row>
    <row r="6279" spans="1:5" x14ac:dyDescent="0.2">
      <c r="A6279">
        <v>6218</v>
      </c>
      <c r="B6279" s="138">
        <f>'Acct Summary 7-8'!F83</f>
        <v>3.3696959974332238E-2</v>
      </c>
      <c r="D6279" s="2" t="str">
        <f t="shared" si="97"/>
        <v>Error?</v>
      </c>
      <c r="E6279" s="2" t="s">
        <v>199</v>
      </c>
    </row>
    <row r="6280" spans="1:5" x14ac:dyDescent="0.2">
      <c r="A6280">
        <v>6219</v>
      </c>
      <c r="B6280" s="138">
        <f>'Acct Summary 7-8'!G83</f>
        <v>-0.1461906151937532</v>
      </c>
      <c r="D6280" s="2" t="str">
        <f t="shared" si="97"/>
        <v>Error?</v>
      </c>
      <c r="E6280" s="2" t="s">
        <v>199</v>
      </c>
    </row>
    <row r="6281" spans="1:5" x14ac:dyDescent="0.2">
      <c r="A6281">
        <v>6220</v>
      </c>
      <c r="B6281" s="138">
        <f>'Acct Summary 7-8'!H83</f>
        <v>0.38159990550470868</v>
      </c>
      <c r="D6281" s="2" t="str">
        <f t="shared" si="97"/>
        <v>Error?</v>
      </c>
      <c r="E6281" s="2" t="s">
        <v>199</v>
      </c>
    </row>
    <row r="6282" spans="1:5" x14ac:dyDescent="0.2">
      <c r="A6282">
        <v>6221</v>
      </c>
      <c r="B6282" s="138">
        <f>'Acct Summary 7-8'!I83</f>
        <v>0.32345502747194077</v>
      </c>
      <c r="D6282" s="2" t="str">
        <f t="shared" si="97"/>
        <v>Error?</v>
      </c>
      <c r="E6282" s="2" t="s">
        <v>199</v>
      </c>
    </row>
    <row r="6283" spans="1:5" x14ac:dyDescent="0.2">
      <c r="A6283">
        <v>6222</v>
      </c>
      <c r="B6283" s="138">
        <f>'Acct Summary 7-8'!J83</f>
        <v>3.9453110102589527E-2</v>
      </c>
      <c r="D6283" s="2" t="str">
        <f t="shared" si="97"/>
        <v>Error?</v>
      </c>
      <c r="E6283" s="2" t="s">
        <v>199</v>
      </c>
    </row>
    <row r="6284" spans="1:5" x14ac:dyDescent="0.2">
      <c r="A6284">
        <v>6223</v>
      </c>
      <c r="B6284" s="138">
        <f>'Acct Summary 7-8'!K83</f>
        <v>3.7996913415997022E-2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170347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170347</v>
      </c>
      <c r="D6301" s="2" t="str">
        <f t="shared" si="97"/>
        <v>Error?</v>
      </c>
      <c r="E6301" s="2" t="s">
        <v>199</v>
      </c>
    </row>
    <row r="6302" spans="1:5" x14ac:dyDescent="0.2">
      <c r="A6302">
        <v>6241</v>
      </c>
      <c r="B6302" s="138">
        <f>'Revenues 9-14'!J14</f>
        <v>49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1278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1278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609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609</v>
      </c>
      <c r="D6351" s="2" t="str">
        <f t="shared" si="98"/>
        <v>Error?</v>
      </c>
      <c r="E6351" s="2" t="s">
        <v>199</v>
      </c>
    </row>
    <row r="6352" spans="1:5" x14ac:dyDescent="0.2">
      <c r="A6352">
        <v>6291</v>
      </c>
      <c r="B6352" s="138">
        <f>'Revenues 9-14'!J109</f>
        <v>172283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137</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166076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172283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9875</v>
      </c>
      <c r="D7093" s="2" t="str">
        <f t="shared" si="109"/>
        <v>Error?</v>
      </c>
    </row>
    <row r="7094" spans="1:4" x14ac:dyDescent="0.2">
      <c r="A7094">
        <v>7033</v>
      </c>
      <c r="B7094" s="138">
        <f>'Expenditures 15-22'!K254</f>
        <v>9875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10375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10375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839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839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1421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1421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95798</v>
      </c>
      <c r="D7172" s="2" t="str">
        <f t="shared" si="111"/>
        <v>Error?</v>
      </c>
    </row>
    <row r="7173" spans="1:4" x14ac:dyDescent="0.2">
      <c r="A7173">
        <v>7112</v>
      </c>
      <c r="B7173" s="138">
        <f>'Expenditures 15-22'!D325</f>
        <v>20936</v>
      </c>
      <c r="D7173" s="2" t="str">
        <f t="shared" si="111"/>
        <v>Error?</v>
      </c>
    </row>
    <row r="7174" spans="1:4" x14ac:dyDescent="0.2">
      <c r="A7174">
        <v>7113</v>
      </c>
      <c r="B7174" s="138">
        <f>'Expenditures 15-22'!E325</f>
        <v>3898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8280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128912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1653</v>
      </c>
      <c r="D7198" s="2" t="str">
        <f t="shared" si="111"/>
        <v>Error?</v>
      </c>
    </row>
    <row r="7199" spans="1:4" x14ac:dyDescent="0.2">
      <c r="A7199">
        <v>7138</v>
      </c>
      <c r="B7199" s="138">
        <f>'Expenditures 15-22'!C330</f>
        <v>95798</v>
      </c>
      <c r="D7199" s="2" t="str">
        <f t="shared" si="111"/>
        <v>Error?</v>
      </c>
    </row>
    <row r="7200" spans="1:4" x14ac:dyDescent="0.2">
      <c r="A7200">
        <v>7139</v>
      </c>
      <c r="B7200" s="138">
        <f>'Expenditures 15-22'!D330</f>
        <v>20936</v>
      </c>
      <c r="D7200" s="2" t="str">
        <f t="shared" si="111"/>
        <v>Error?</v>
      </c>
    </row>
    <row r="7201" spans="1:4" x14ac:dyDescent="0.2">
      <c r="A7201">
        <v>7140</v>
      </c>
      <c r="B7201" s="138">
        <f>'Expenditures 15-22'!E330</f>
        <v>41062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8280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166076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95798</v>
      </c>
      <c r="D7216" s="2" t="str">
        <f t="shared" si="111"/>
        <v>Error?</v>
      </c>
    </row>
    <row r="7217" spans="1:4" x14ac:dyDescent="0.2">
      <c r="A7217">
        <v>7156</v>
      </c>
      <c r="B7217" s="138">
        <f>'Expenditures 15-22'!D342</f>
        <v>20936</v>
      </c>
      <c r="D7217" s="2" t="str">
        <f t="shared" si="111"/>
        <v>Error?</v>
      </c>
    </row>
    <row r="7218" spans="1:4" x14ac:dyDescent="0.2">
      <c r="A7218">
        <v>7157</v>
      </c>
      <c r="B7218" s="138">
        <f>'Expenditures 15-22'!E342</f>
        <v>41062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8280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166076</v>
      </c>
      <c r="D7224" s="2" t="str">
        <f t="shared" si="111"/>
        <v>Error?</v>
      </c>
    </row>
    <row r="7225" spans="1:4" x14ac:dyDescent="0.2">
      <c r="A7225">
        <v>7164</v>
      </c>
      <c r="B7225" s="138">
        <f>'Expenditures 15-22'!K343</f>
        <v>6207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98720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22876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22876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172768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1767</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134477</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136244</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8902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29633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29633</v>
      </c>
      <c r="D7730" s="2" t="str">
        <f t="shared" si="126"/>
        <v>Error?</v>
      </c>
      <c r="E7730" s="2" t="s">
        <v>881</v>
      </c>
    </row>
    <row r="7731" spans="1:6" x14ac:dyDescent="0.2">
      <c r="A7731">
        <v>7670</v>
      </c>
      <c r="B7731" s="138">
        <f>'Revenues 9-14'!H103</f>
        <v>134477</v>
      </c>
      <c r="D7731" s="2" t="str">
        <f t="shared" si="126"/>
        <v>Error?</v>
      </c>
      <c r="E7731" s="2" t="s">
        <v>881</v>
      </c>
    </row>
    <row r="7732" spans="1:6" x14ac:dyDescent="0.2">
      <c r="A7732">
        <v>7671</v>
      </c>
      <c r="B7732" s="138">
        <f>'Rest Tax Levies-Tort Im 25'!J24</f>
        <v>279379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279379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45907</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20907</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3" t="str">
        <f>COVER!A17</f>
        <v>Montmorency CCSD 145</v>
      </c>
      <c r="B7" s="2404"/>
      <c r="C7" s="2404"/>
      <c r="D7" s="2441"/>
      <c r="E7" s="2442">
        <f>COVER!A13</f>
        <v>47098145004</v>
      </c>
      <c r="F7" s="2443"/>
      <c r="G7" s="2410" t="str">
        <f>COVER!T23</f>
        <v>066-005027</v>
      </c>
      <c r="H7" s="2411"/>
      <c r="I7" s="2411"/>
      <c r="J7" s="2411"/>
      <c r="K7" s="2411"/>
      <c r="L7" s="241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3"/>
      <c r="B9" s="2414"/>
      <c r="C9" s="2414"/>
      <c r="D9" s="2414"/>
      <c r="E9" s="2414"/>
      <c r="F9" s="2415"/>
      <c r="G9" s="2416" t="str">
        <f>COVER!T13</f>
        <v>Gorenz and Associates, Ltd.</v>
      </c>
      <c r="H9" s="2417"/>
      <c r="I9" s="2417"/>
      <c r="J9" s="2417"/>
      <c r="K9" s="2417"/>
      <c r="L9" s="2418"/>
    </row>
    <row r="10" spans="1:29" ht="13.5" customHeight="1" x14ac:dyDescent="0.2">
      <c r="A10" s="2400" t="str">
        <f>COVER!A38</f>
        <v>Alex Moore</v>
      </c>
      <c r="B10" s="2401"/>
      <c r="C10" s="2401"/>
      <c r="D10" s="2401"/>
      <c r="E10" s="2401"/>
      <c r="F10" s="2402"/>
      <c r="G10" s="2416" t="str">
        <f>COVER!T17</f>
        <v>4200 N Knoxville Ave</v>
      </c>
      <c r="H10" s="2429"/>
      <c r="I10" s="2429"/>
      <c r="J10" s="2429"/>
      <c r="K10" s="2429"/>
      <c r="L10" s="2430"/>
    </row>
    <row r="11" spans="1:29" ht="13.5" customHeight="1" x14ac:dyDescent="0.2">
      <c r="A11" s="1183" t="s">
        <v>1599</v>
      </c>
      <c r="B11" s="1184"/>
      <c r="C11" s="1185"/>
      <c r="D11" s="1190"/>
      <c r="E11" s="1185"/>
      <c r="F11" s="1189"/>
      <c r="G11" s="2416" t="str">
        <f>COVER!T19</f>
        <v>Peoria</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jhohulin@gorenzcpa.com</v>
      </c>
      <c r="J13" s="2438"/>
      <c r="K13" s="2438"/>
      <c r="L13" s="2439"/>
    </row>
    <row r="14" spans="1:29" ht="13.5" customHeight="1" x14ac:dyDescent="0.2">
      <c r="A14" s="2416" t="str">
        <f>COVER!A19</f>
        <v>9415 Hoover Road</v>
      </c>
      <c r="B14" s="2429"/>
      <c r="C14" s="2429"/>
      <c r="D14" s="2429"/>
      <c r="E14" s="2429"/>
      <c r="F14" s="2430"/>
      <c r="G14" s="1194" t="s">
        <v>1247</v>
      </c>
      <c r="H14" s="1192"/>
      <c r="I14" s="1192"/>
      <c r="J14" s="1192"/>
      <c r="K14" s="1192"/>
      <c r="L14" s="1193"/>
    </row>
    <row r="15" spans="1:29" ht="13.5" customHeight="1" x14ac:dyDescent="0.2">
      <c r="A15" s="2416" t="str">
        <f>COVER!A21</f>
        <v>Rock Falls</v>
      </c>
      <c r="B15" s="2429"/>
      <c r="C15" s="2429"/>
      <c r="D15" s="2429"/>
      <c r="E15" s="2429"/>
      <c r="F15" s="2430"/>
      <c r="G15" s="2426" t="str">
        <f>COVER!T15</f>
        <v>Jason A. Hohulin, CPA</v>
      </c>
      <c r="H15" s="2427"/>
      <c r="I15" s="2427"/>
      <c r="J15" s="2427"/>
      <c r="K15" s="2427"/>
      <c r="L15" s="2428"/>
    </row>
    <row r="16" spans="1:29" ht="12.2" customHeight="1" x14ac:dyDescent="0.2">
      <c r="A16" s="2406">
        <f>COVER!A25</f>
        <v>61071</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4" t="s">
        <v>1246</v>
      </c>
      <c r="H17" s="1192"/>
      <c r="I17" s="1192"/>
      <c r="J17" s="1192"/>
      <c r="K17" s="1196" t="s">
        <v>1245</v>
      </c>
      <c r="L17" s="1189"/>
      <c r="M17" s="1182"/>
    </row>
    <row r="18" spans="1:13" ht="12.2" customHeight="1" x14ac:dyDescent="0.2">
      <c r="A18" s="2400"/>
      <c r="B18" s="2401"/>
      <c r="C18" s="2401"/>
      <c r="D18" s="2401"/>
      <c r="E18" s="2401"/>
      <c r="F18" s="2402"/>
      <c r="G18" s="2403" t="str">
        <f>COVER!T21</f>
        <v>309-685-7621</v>
      </c>
      <c r="H18" s="2404"/>
      <c r="I18" s="2404"/>
      <c r="J18" s="2404"/>
      <c r="K18" s="2403" t="str">
        <f>COVER!X21</f>
        <v>309-685-4758</v>
      </c>
      <c r="L18" s="240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4" t="str">
        <f>'Single Audit Cover'!A7</f>
        <v>Montmorency CCSD 145</v>
      </c>
      <c r="B1" s="2440"/>
      <c r="C1" s="2440"/>
      <c r="D1" s="2440"/>
    </row>
    <row r="2" spans="1:11" s="1213" customFormat="1" ht="12.75" x14ac:dyDescent="0.2">
      <c r="A2" s="2445">
        <f>'Single Audit Cover'!E7</f>
        <v>47098145004</v>
      </c>
      <c r="B2" s="2446"/>
      <c r="C2" s="2446"/>
      <c r="D2" s="2446"/>
    </row>
    <row r="3" spans="1:11" s="1213" customFormat="1" ht="12.75" x14ac:dyDescent="0.2">
      <c r="A3" s="2444" t="s">
        <v>1593</v>
      </c>
      <c r="B3" s="2440"/>
      <c r="C3" s="2440"/>
      <c r="D3" s="2440"/>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8" t="str">
        <f>'Single Audit Cover'!A7</f>
        <v>Montmorency CCSD 145</v>
      </c>
      <c r="B1" s="2448"/>
      <c r="C1" s="2448"/>
      <c r="D1" s="2448"/>
      <c r="E1" s="2448"/>
    </row>
    <row r="2" spans="1:5" x14ac:dyDescent="0.2">
      <c r="A2" s="2449">
        <f>'Single Audit Cover'!E7</f>
        <v>47098145004</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8" t="s">
        <v>1305</v>
      </c>
    </row>
    <row r="10" spans="1:5" x14ac:dyDescent="0.2">
      <c r="A10" s="1259" t="s">
        <v>1304</v>
      </c>
      <c r="B10" s="1260" t="s">
        <v>1303</v>
      </c>
      <c r="C10" s="1260"/>
      <c r="D10" s="1261">
        <f>SUM('Acct Summary 7-8'!C7:K7)</f>
        <v>131570</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3851</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-18601</v>
      </c>
    </row>
    <row r="19" spans="1:4" ht="13.5" thickBot="1" x14ac:dyDescent="0.25">
      <c r="A19" s="1263" t="s">
        <v>1297</v>
      </c>
      <c r="D19" s="1264">
        <f>SUM(D10:D17)</f>
        <v>116820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0"/>
      <c r="B24" s="2450"/>
      <c r="D24" s="1266"/>
    </row>
    <row r="25" spans="1:4" x14ac:dyDescent="0.2">
      <c r="A25" s="2447"/>
      <c r="B25" s="2447"/>
      <c r="D25" s="1266"/>
    </row>
    <row r="26" spans="1:4" x14ac:dyDescent="0.2">
      <c r="A26" s="2447"/>
      <c r="B26" s="2447"/>
      <c r="D26" s="1266"/>
    </row>
    <row r="27" spans="1:4" x14ac:dyDescent="0.2">
      <c r="A27" s="2447"/>
      <c r="B27" s="2447"/>
      <c r="D27" s="1266"/>
    </row>
    <row r="28" spans="1:4" x14ac:dyDescent="0.2">
      <c r="A28" s="2447"/>
      <c r="B28" s="2447"/>
      <c r="D28" s="1266"/>
    </row>
    <row r="29" spans="1:4" x14ac:dyDescent="0.2">
      <c r="A29" s="2447"/>
      <c r="B29" s="2447"/>
      <c r="D29" s="1266"/>
    </row>
    <row r="30" spans="1:4" x14ac:dyDescent="0.2">
      <c r="A30" s="2447"/>
      <c r="B30" s="2447"/>
      <c r="D30" s="1266"/>
    </row>
    <row r="32" spans="1:4" x14ac:dyDescent="0.2">
      <c r="A32" s="1258" t="s">
        <v>1295</v>
      </c>
      <c r="D32" s="1261">
        <f>SUM(D19:D30)</f>
        <v>116820</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7"/>
      <c r="B40" s="2447"/>
      <c r="D40" s="1266"/>
    </row>
    <row r="41" spans="1:4" x14ac:dyDescent="0.2">
      <c r="A41" s="2447"/>
      <c r="B41" s="2447"/>
      <c r="D41" s="1269"/>
    </row>
    <row r="42" spans="1:4" x14ac:dyDescent="0.2">
      <c r="A42" s="2447"/>
      <c r="B42" s="2447"/>
      <c r="D42" s="1269"/>
    </row>
    <row r="43" spans="1:4" x14ac:dyDescent="0.2">
      <c r="A43" s="2447"/>
      <c r="B43" s="2447"/>
      <c r="D43" s="1269"/>
    </row>
    <row r="44" spans="1:4" x14ac:dyDescent="0.2">
      <c r="A44" s="2447"/>
      <c r="B44" s="2447"/>
      <c r="D44" s="1269"/>
    </row>
    <row r="45" spans="1:4" x14ac:dyDescent="0.2">
      <c r="A45" s="2447"/>
      <c r="B45" s="2447"/>
      <c r="D45" s="1269"/>
    </row>
    <row r="47" spans="1:4" x14ac:dyDescent="0.2">
      <c r="B47" s="1270" t="s">
        <v>1289</v>
      </c>
      <c r="C47" s="1270"/>
      <c r="D47" s="1271">
        <f>SUM(D35:D45)</f>
        <v>0</v>
      </c>
    </row>
    <row r="49" spans="2:4" x14ac:dyDescent="0.2">
      <c r="B49" s="1270" t="s">
        <v>1288</v>
      </c>
      <c r="C49" s="1270"/>
      <c r="D49" s="1271">
        <f>D32-D47</f>
        <v>116820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Montmorency CCSD 145</v>
      </c>
      <c r="B1" s="2453"/>
      <c r="C1" s="2453"/>
      <c r="D1" s="2453"/>
      <c r="E1" s="2453"/>
      <c r="F1" s="2453"/>
    </row>
    <row r="2" spans="1:7" ht="13.5" customHeight="1" x14ac:dyDescent="0.2">
      <c r="A2" s="2454">
        <f>'Single Audit Cover'!E7</f>
        <v>47098145004</v>
      </c>
      <c r="B2" s="2454"/>
      <c r="C2" s="2454"/>
      <c r="D2" s="2454"/>
      <c r="E2" s="2454"/>
      <c r="F2" s="2454"/>
      <c r="G2" s="1273"/>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4" t="s">
        <v>1831</v>
      </c>
      <c r="C6" s="317"/>
      <c r="D6" s="317"/>
    </row>
    <row r="7" spans="1:7" ht="60.95" customHeight="1" x14ac:dyDescent="0.2">
      <c r="A7" s="2452" t="s">
        <v>1832</v>
      </c>
      <c r="B7" s="2452"/>
      <c r="C7" s="2452"/>
      <c r="D7" s="2452"/>
      <c r="E7" s="2452"/>
      <c r="F7" s="2452"/>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2" t="s">
        <v>1834</v>
      </c>
      <c r="B13" s="2452"/>
      <c r="C13" s="2452"/>
      <c r="D13" s="2452"/>
      <c r="E13" s="2452"/>
      <c r="F13" s="2452"/>
    </row>
    <row r="14" spans="1:7" ht="9.75" customHeight="1" x14ac:dyDescent="0.2">
      <c r="C14" s="1258"/>
      <c r="D14" s="1258"/>
    </row>
    <row r="15" spans="1:7" ht="13.5" customHeight="1" x14ac:dyDescent="0.2">
      <c r="C15" s="1869" t="s">
        <v>1332</v>
      </c>
      <c r="D15" s="2458" t="s">
        <v>1331</v>
      </c>
      <c r="E15" s="2458"/>
      <c r="F15" s="2458"/>
    </row>
    <row r="16" spans="1:7" ht="13.5" customHeight="1" x14ac:dyDescent="0.2">
      <c r="A16" s="1280"/>
      <c r="B16" s="1274" t="s">
        <v>1330</v>
      </c>
      <c r="C16" s="1869" t="s">
        <v>1329</v>
      </c>
      <c r="D16" s="2459" t="s">
        <v>1670</v>
      </c>
      <c r="E16" s="2459"/>
      <c r="F16" s="2459"/>
    </row>
    <row r="17" spans="1:6" ht="20.45" customHeight="1" x14ac:dyDescent="0.2">
      <c r="A17" s="1281"/>
      <c r="B17" s="1282"/>
      <c r="C17" s="1283"/>
      <c r="D17" s="2457"/>
      <c r="E17" s="2457"/>
      <c r="F17" s="2457"/>
    </row>
    <row r="18" spans="1:6" ht="20.65" customHeight="1" x14ac:dyDescent="0.2">
      <c r="A18" s="1281"/>
      <c r="B18" s="1282"/>
      <c r="C18" s="1283"/>
      <c r="D18" s="2457"/>
      <c r="E18" s="2457"/>
      <c r="F18" s="2457"/>
    </row>
    <row r="19" spans="1:6" ht="20.65" customHeight="1" x14ac:dyDescent="0.2">
      <c r="A19" s="1281"/>
      <c r="B19" s="1282"/>
      <c r="C19" s="1283"/>
      <c r="D19" s="2457"/>
      <c r="E19" s="2457"/>
      <c r="F19" s="2457"/>
    </row>
    <row r="20" spans="1:6" ht="20.65" customHeight="1" x14ac:dyDescent="0.2">
      <c r="A20" s="1281"/>
      <c r="B20" s="1282"/>
      <c r="C20" s="1283"/>
      <c r="D20" s="2457"/>
      <c r="E20" s="2457"/>
      <c r="F20" s="2457"/>
    </row>
    <row r="21" spans="1:6" ht="20.65" customHeight="1" x14ac:dyDescent="0.2">
      <c r="A21" s="1281"/>
      <c r="B21" s="1282"/>
      <c r="C21" s="1283"/>
      <c r="D21" s="2457"/>
      <c r="E21" s="2457"/>
      <c r="F21" s="2457"/>
    </row>
    <row r="22" spans="1:6" ht="20.65" customHeight="1" x14ac:dyDescent="0.2">
      <c r="A22" s="1281"/>
      <c r="B22" s="1282"/>
      <c r="C22" s="1283"/>
      <c r="D22" s="2457"/>
      <c r="E22" s="2457"/>
      <c r="F22" s="2457"/>
    </row>
    <row r="23" spans="1:6" ht="20.65" customHeight="1" x14ac:dyDescent="0.2">
      <c r="A23" s="1281"/>
      <c r="B23" s="1282"/>
      <c r="C23" s="1283"/>
      <c r="D23" s="2457"/>
      <c r="E23" s="2457"/>
      <c r="F23" s="2457"/>
    </row>
    <row r="24" spans="1:6" ht="20.65" customHeight="1" x14ac:dyDescent="0.2">
      <c r="A24" s="1281"/>
      <c r="B24" s="1282"/>
      <c r="C24" s="1283"/>
      <c r="D24" s="2457"/>
      <c r="E24" s="2457"/>
      <c r="F24" s="2457"/>
    </row>
    <row r="25" spans="1:6" ht="20.65" customHeight="1" x14ac:dyDescent="0.2">
      <c r="A25" s="1281"/>
      <c r="B25" s="1282"/>
      <c r="C25" s="1283"/>
      <c r="D25" s="2457"/>
      <c r="E25" s="2457"/>
      <c r="F25" s="2457"/>
    </row>
    <row r="26" spans="1:6" ht="20.65" customHeight="1" x14ac:dyDescent="0.2">
      <c r="A26" s="1281"/>
      <c r="B26" s="1282"/>
      <c r="C26" s="1283"/>
      <c r="D26" s="2457"/>
      <c r="E26" s="2457"/>
      <c r="F26" s="2457"/>
    </row>
    <row r="27" spans="1:6" ht="20.65" customHeight="1" x14ac:dyDescent="0.2">
      <c r="A27" s="1281"/>
      <c r="B27" s="1282"/>
      <c r="C27" s="1283"/>
      <c r="D27" s="2457"/>
      <c r="E27" s="2457"/>
      <c r="F27" s="2457"/>
    </row>
    <row r="28" spans="1:6" ht="20.65" customHeight="1" x14ac:dyDescent="0.2">
      <c r="A28" s="1281"/>
      <c r="B28" s="1282"/>
      <c r="C28" s="1283"/>
      <c r="D28" s="2457"/>
      <c r="E28" s="2457"/>
      <c r="F28" s="2457"/>
    </row>
    <row r="29" spans="1:6" ht="20.65" customHeight="1" x14ac:dyDescent="0.2">
      <c r="A29" s="1281"/>
      <c r="B29" s="1282"/>
      <c r="C29" s="1283"/>
      <c r="D29" s="2457"/>
      <c r="E29" s="2457"/>
      <c r="F29" s="2457"/>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61" t="s">
        <v>1835</v>
      </c>
      <c r="B32" s="2461"/>
      <c r="C32" s="2461"/>
      <c r="D32" s="2461"/>
      <c r="E32" s="2461"/>
      <c r="F32" s="2461"/>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62">
        <f>+C33+C34</f>
        <v>0</v>
      </c>
      <c r="F34" s="2463"/>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4" t="s">
        <v>1672</v>
      </c>
      <c r="C49" s="2464"/>
      <c r="D49" s="2464"/>
      <c r="E49" s="1397"/>
    </row>
    <row r="50" spans="1:5" s="1298" customFormat="1" ht="3.75" customHeight="1" x14ac:dyDescent="0.2">
      <c r="A50" s="1297"/>
      <c r="B50" s="1868"/>
      <c r="C50" s="1868"/>
      <c r="D50" s="1868"/>
      <c r="E50" s="1397"/>
    </row>
    <row r="51" spans="1:5" s="1298" customFormat="1" ht="20.25" customHeight="1" x14ac:dyDescent="0.2">
      <c r="A51" s="1299">
        <v>6</v>
      </c>
      <c r="B51" s="2460" t="s">
        <v>1632</v>
      </c>
      <c r="C51" s="2460"/>
      <c r="D51" s="2460"/>
    </row>
    <row r="52" spans="1:5" ht="14.25" customHeight="1" x14ac:dyDescent="0.2">
      <c r="A52" s="1299"/>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9" t="str">
        <f>'Single Audit Cover'!A7</f>
        <v>Montmorency CCSD 145</v>
      </c>
      <c r="C1" s="2465"/>
      <c r="D1" s="2465"/>
      <c r="E1" s="2465"/>
      <c r="F1" s="2465"/>
      <c r="G1" s="2465"/>
      <c r="H1" s="2465"/>
      <c r="I1" s="2465"/>
      <c r="J1" s="2465"/>
      <c r="K1" s="2465"/>
      <c r="L1" s="2465"/>
      <c r="M1" s="2465"/>
    </row>
    <row r="2" spans="2:14" ht="15" x14ac:dyDescent="0.2">
      <c r="B2" s="2454">
        <f>'Single Audit Cover'!E7</f>
        <v>47098145004</v>
      </c>
      <c r="C2" s="2454"/>
      <c r="D2" s="2454"/>
      <c r="E2" s="2454"/>
      <c r="F2" s="2454"/>
      <c r="G2" s="2454"/>
      <c r="H2" s="2454"/>
      <c r="I2" s="2454"/>
      <c r="J2" s="2454"/>
      <c r="K2" s="2454"/>
      <c r="L2" s="2454"/>
      <c r="M2" s="2454"/>
      <c r="N2" s="1300"/>
    </row>
    <row r="3" spans="2:14" ht="15" x14ac:dyDescent="0.2">
      <c r="B3" s="2466" t="s">
        <v>1281</v>
      </c>
      <c r="C3" s="2466"/>
      <c r="D3" s="2466"/>
      <c r="E3" s="2466"/>
      <c r="F3" s="2466"/>
      <c r="G3" s="2466"/>
      <c r="H3" s="2466"/>
      <c r="I3" s="2466"/>
      <c r="J3" s="2466"/>
      <c r="K3" s="2466"/>
      <c r="L3" s="2466"/>
      <c r="M3" s="2466"/>
      <c r="N3" s="1300"/>
    </row>
    <row r="4" spans="2:14" ht="15" x14ac:dyDescent="0.2">
      <c r="B4" s="2467" t="str">
        <f>'Single Audit Cover'!A4</f>
        <v>Year Ending June 30, 2018</v>
      </c>
      <c r="C4" s="2467"/>
      <c r="D4" s="2467"/>
      <c r="E4" s="2467"/>
      <c r="F4" s="2467"/>
      <c r="G4" s="2467"/>
      <c r="H4" s="2467"/>
      <c r="I4" s="2467"/>
      <c r="J4" s="2467"/>
      <c r="K4" s="2467"/>
      <c r="L4" s="2467"/>
      <c r="M4" s="246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Montmorency CCSD 145</v>
      </c>
      <c r="C1" s="2473"/>
      <c r="D1" s="2473"/>
      <c r="E1" s="2473"/>
      <c r="F1" s="2473"/>
      <c r="G1" s="2473"/>
      <c r="H1" s="2473"/>
      <c r="I1" s="2473"/>
      <c r="J1" s="1420"/>
    </row>
    <row r="2" spans="2:10" s="317" customFormat="1" ht="12.75" customHeight="1" x14ac:dyDescent="0.2">
      <c r="B2" s="2474">
        <f>'Single Audit Cover'!E7</f>
        <v>47098145004</v>
      </c>
      <c r="C2" s="2475"/>
      <c r="D2" s="2475"/>
      <c r="E2" s="2475"/>
      <c r="F2" s="2475"/>
      <c r="G2" s="2475"/>
      <c r="H2" s="2475"/>
      <c r="I2" s="2475"/>
      <c r="J2" s="1420"/>
    </row>
    <row r="3" spans="2:10" s="317" customFormat="1" ht="12.75" customHeight="1" x14ac:dyDescent="0.2">
      <c r="B3" s="2476" t="s">
        <v>1347</v>
      </c>
      <c r="C3" s="2477"/>
      <c r="D3" s="2477"/>
      <c r="E3" s="2477"/>
      <c r="F3" s="2477"/>
      <c r="G3" s="2477"/>
      <c r="H3" s="2477"/>
      <c r="I3" s="2477"/>
      <c r="J3" s="1421"/>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6" t="s">
        <v>1346</v>
      </c>
      <c r="C7" s="2477"/>
      <c r="D7" s="2477"/>
      <c r="E7" s="2477"/>
      <c r="F7" s="2477"/>
      <c r="G7" s="2477"/>
      <c r="H7" s="2477"/>
      <c r="I7" s="2477"/>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8"/>
      <c r="D11" s="2478"/>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9"/>
      <c r="E29" s="2479"/>
      <c r="F29" s="2479"/>
      <c r="G29" s="2479"/>
      <c r="H29" s="2479"/>
      <c r="I29" s="2479"/>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0" t="s">
        <v>1854</v>
      </c>
      <c r="D37" s="2481"/>
      <c r="E37" s="2481"/>
      <c r="F37" s="2482"/>
      <c r="G37" s="2480" t="s">
        <v>1674</v>
      </c>
      <c r="H37" s="2481"/>
      <c r="I37" s="2482"/>
    </row>
    <row r="38" spans="2:9" ht="16.5" customHeight="1" x14ac:dyDescent="0.2">
      <c r="B38" s="1442"/>
      <c r="C38" s="2468"/>
      <c r="D38" s="2469"/>
      <c r="E38" s="2469"/>
      <c r="F38" s="2470"/>
      <c r="G38" s="2483"/>
      <c r="H38" s="2484"/>
      <c r="I38" s="2485"/>
    </row>
    <row r="39" spans="2:9" ht="16.5" customHeight="1" x14ac:dyDescent="0.2">
      <c r="B39" s="1442"/>
      <c r="C39" s="2468"/>
      <c r="D39" s="2469"/>
      <c r="E39" s="2469"/>
      <c r="F39" s="2470"/>
      <c r="G39" s="2471"/>
      <c r="H39" s="2471"/>
      <c r="I39" s="2471"/>
    </row>
    <row r="40" spans="2:9" ht="16.5" customHeight="1" x14ac:dyDescent="0.2">
      <c r="B40" s="1442"/>
      <c r="C40" s="2468"/>
      <c r="D40" s="2469"/>
      <c r="E40" s="2469"/>
      <c r="F40" s="2470"/>
      <c r="G40" s="2471"/>
      <c r="H40" s="2471"/>
      <c r="I40" s="2471"/>
    </row>
    <row r="41" spans="2:9" ht="16.5" customHeight="1" x14ac:dyDescent="0.2">
      <c r="B41" s="1442"/>
      <c r="C41" s="2468"/>
      <c r="D41" s="2469"/>
      <c r="E41" s="2469"/>
      <c r="F41" s="2470"/>
      <c r="G41" s="2471"/>
      <c r="H41" s="2471"/>
      <c r="I41" s="2471"/>
    </row>
    <row r="42" spans="2:9" ht="16.5" customHeight="1" x14ac:dyDescent="0.2">
      <c r="B42" s="1442"/>
      <c r="C42" s="2468"/>
      <c r="D42" s="2469"/>
      <c r="E42" s="2469"/>
      <c r="F42" s="2470"/>
      <c r="G42" s="2471"/>
      <c r="H42" s="2471"/>
      <c r="I42" s="2471"/>
    </row>
    <row r="43" spans="2:9" ht="16.5" customHeight="1" x14ac:dyDescent="0.2">
      <c r="B43" s="1442"/>
      <c r="C43" s="2486" t="s">
        <v>1675</v>
      </c>
      <c r="D43" s="2487"/>
      <c r="E43" s="2487"/>
      <c r="F43" s="2488"/>
      <c r="G43" s="2489">
        <f>SUM(G38:I42)</f>
        <v>0</v>
      </c>
      <c r="H43" s="2489"/>
      <c r="I43" s="2489"/>
    </row>
    <row r="44" spans="2:9" ht="12.75" customHeight="1" x14ac:dyDescent="0.2"/>
    <row r="45" spans="2:9" ht="12.75" customHeight="1" x14ac:dyDescent="0.2">
      <c r="B45" s="1433" t="s">
        <v>1951</v>
      </c>
      <c r="D45" s="2490">
        <v>0</v>
      </c>
      <c r="E45" s="2491"/>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2"/>
      <c r="F49" s="2492"/>
      <c r="G49" s="2492"/>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Montmorency CCSD 145</v>
      </c>
      <c r="C1" s="2472"/>
      <c r="D1" s="2472"/>
      <c r="E1" s="2472"/>
      <c r="F1" s="2472"/>
      <c r="G1" s="2472"/>
      <c r="H1" s="2472"/>
      <c r="I1" s="2472"/>
      <c r="J1" s="2472"/>
      <c r="K1" s="2472"/>
      <c r="L1" s="1372"/>
      <c r="M1" s="1372"/>
    </row>
    <row r="2" spans="1:13" ht="12" hidden="1" customHeight="1" x14ac:dyDescent="0.2">
      <c r="B2" s="2474">
        <f>'Single Audit Cover'!E7</f>
        <v>47098145004</v>
      </c>
      <c r="C2" s="2474"/>
      <c r="D2" s="2474"/>
      <c r="E2" s="2474"/>
      <c r="F2" s="2474"/>
      <c r="G2" s="2474"/>
      <c r="H2" s="2474"/>
      <c r="I2" s="2474"/>
      <c r="J2" s="2474"/>
      <c r="K2" s="2474"/>
      <c r="L2" s="1373"/>
      <c r="M2" s="1374"/>
    </row>
    <row r="3" spans="1:13" ht="10.35" customHeight="1" x14ac:dyDescent="0.2">
      <c r="B3" s="2495" t="s">
        <v>1347</v>
      </c>
      <c r="C3" s="2495"/>
      <c r="D3" s="2495"/>
      <c r="E3" s="2495"/>
      <c r="F3" s="2495"/>
      <c r="G3" s="2495"/>
      <c r="H3" s="2495"/>
      <c r="I3" s="2495"/>
      <c r="J3" s="2495"/>
      <c r="K3" s="2495"/>
      <c r="L3" s="1956"/>
      <c r="M3" s="1956"/>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6" t="s">
        <v>1363</v>
      </c>
      <c r="C7" s="2496"/>
      <c r="D7" s="2497"/>
      <c r="E7" s="2497"/>
      <c r="F7" s="2497"/>
      <c r="G7" s="2497"/>
      <c r="H7" s="2497"/>
      <c r="I7" s="2497"/>
      <c r="J7" s="2497"/>
      <c r="K7" s="249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390">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4" t="s">
        <v>2106</v>
      </c>
      <c r="C14" s="2494"/>
      <c r="D14" s="2494"/>
      <c r="E14" s="2494"/>
      <c r="F14" s="2494"/>
      <c r="G14" s="2494"/>
      <c r="H14" s="2494"/>
      <c r="I14" s="2494"/>
      <c r="J14" s="2494"/>
      <c r="K14" s="249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4" t="s">
        <v>2107</v>
      </c>
      <c r="C17" s="2494"/>
      <c r="D17" s="2494"/>
      <c r="E17" s="2494"/>
      <c r="F17" s="2494"/>
      <c r="G17" s="2494"/>
      <c r="H17" s="2494"/>
      <c r="I17" s="2494"/>
      <c r="J17" s="2494"/>
      <c r="K17" s="2494"/>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8" t="s">
        <v>2108</v>
      </c>
      <c r="C20" s="2498"/>
      <c r="D20" s="2494"/>
      <c r="E20" s="2494"/>
      <c r="F20" s="2494"/>
      <c r="G20" s="2494"/>
      <c r="H20" s="2494"/>
      <c r="I20" s="2494"/>
      <c r="J20" s="2494"/>
      <c r="K20" s="249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4" t="s">
        <v>2109</v>
      </c>
      <c r="C23" s="2494"/>
      <c r="D23" s="2494"/>
      <c r="E23" s="2494"/>
      <c r="F23" s="2494"/>
      <c r="G23" s="2494"/>
      <c r="H23" s="2494"/>
      <c r="I23" s="2494"/>
      <c r="J23" s="2494"/>
      <c r="K23" s="249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4" t="s">
        <v>2110</v>
      </c>
      <c r="C26" s="2494"/>
      <c r="D26" s="2494"/>
      <c r="E26" s="2494"/>
      <c r="F26" s="2494"/>
      <c r="G26" s="2494"/>
      <c r="H26" s="2494"/>
      <c r="I26" s="2494"/>
      <c r="J26" s="2494"/>
      <c r="K26" s="249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2111</v>
      </c>
      <c r="C29" s="2493"/>
      <c r="D29" s="2494"/>
      <c r="E29" s="2494"/>
      <c r="F29" s="2494"/>
      <c r="G29" s="2494"/>
      <c r="H29" s="2494"/>
      <c r="I29" s="2494"/>
      <c r="J29" s="2494"/>
      <c r="K29" s="249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3" t="s">
        <v>2112</v>
      </c>
      <c r="C32" s="2493"/>
      <c r="D32" s="2494"/>
      <c r="E32" s="2494"/>
      <c r="F32" s="2494"/>
      <c r="G32" s="2494"/>
      <c r="H32" s="2494"/>
      <c r="I32" s="2494"/>
      <c r="J32" s="2494"/>
      <c r="K32" s="249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Montmorency CCSD 145</v>
      </c>
      <c r="C1" s="2472"/>
      <c r="D1" s="2472"/>
      <c r="E1" s="2472"/>
      <c r="F1" s="2472"/>
      <c r="G1" s="2472"/>
      <c r="H1" s="2472"/>
      <c r="I1" s="2472"/>
      <c r="J1" s="2472"/>
      <c r="K1" s="2472"/>
      <c r="L1" s="1372"/>
      <c r="M1" s="1372"/>
    </row>
    <row r="2" spans="1:13" ht="12" customHeight="1" x14ac:dyDescent="0.2">
      <c r="B2" s="2474">
        <f>'Single Audit Cover'!E7</f>
        <v>47098145004</v>
      </c>
      <c r="C2" s="2474"/>
      <c r="D2" s="2474"/>
      <c r="E2" s="2474"/>
      <c r="F2" s="2474"/>
      <c r="G2" s="2474"/>
      <c r="H2" s="2474"/>
      <c r="I2" s="2474"/>
      <c r="J2" s="2474"/>
      <c r="K2" s="2474"/>
      <c r="L2" s="1373"/>
      <c r="M2" s="1374"/>
    </row>
    <row r="3" spans="1:13" ht="10.35" customHeight="1" x14ac:dyDescent="0.2">
      <c r="B3" s="2495" t="s">
        <v>1347</v>
      </c>
      <c r="C3" s="2495"/>
      <c r="D3" s="2495"/>
      <c r="E3" s="2495"/>
      <c r="F3" s="2495"/>
      <c r="G3" s="2495"/>
      <c r="H3" s="2495"/>
      <c r="I3" s="2495"/>
      <c r="J3" s="2495"/>
      <c r="K3" s="2495"/>
      <c r="L3" s="1375"/>
      <c r="M3" s="1375"/>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6" t="s">
        <v>1363</v>
      </c>
      <c r="C7" s="2496"/>
      <c r="D7" s="2497"/>
      <c r="E7" s="2497"/>
      <c r="F7" s="2497"/>
      <c r="G7" s="2497"/>
      <c r="H7" s="2497"/>
      <c r="I7" s="2497"/>
      <c r="J7" s="2497"/>
      <c r="K7" s="249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2</v>
      </c>
      <c r="E10" s="322"/>
      <c r="F10" s="1385" t="s">
        <v>1362</v>
      </c>
      <c r="G10" s="1386" t="s">
        <v>2076</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4" t="s">
        <v>2113</v>
      </c>
      <c r="C14" s="2494"/>
      <c r="D14" s="2494"/>
      <c r="E14" s="2494"/>
      <c r="F14" s="2494"/>
      <c r="G14" s="2494"/>
      <c r="H14" s="2494"/>
      <c r="I14" s="2494"/>
      <c r="J14" s="2494"/>
      <c r="K14" s="249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4" t="s">
        <v>2114</v>
      </c>
      <c r="C17" s="2494"/>
      <c r="D17" s="2494"/>
      <c r="E17" s="2494"/>
      <c r="F17" s="2494"/>
      <c r="G17" s="2494"/>
      <c r="H17" s="2494"/>
      <c r="I17" s="2494"/>
      <c r="J17" s="2494"/>
      <c r="K17" s="2494"/>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8" t="s">
        <v>2115</v>
      </c>
      <c r="C20" s="2498"/>
      <c r="D20" s="2494"/>
      <c r="E20" s="2494"/>
      <c r="F20" s="2494"/>
      <c r="G20" s="2494"/>
      <c r="H20" s="2494"/>
      <c r="I20" s="2494"/>
      <c r="J20" s="2494"/>
      <c r="K20" s="249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4" t="s">
        <v>2116</v>
      </c>
      <c r="C23" s="2494"/>
      <c r="D23" s="2494"/>
      <c r="E23" s="2494"/>
      <c r="F23" s="2494"/>
      <c r="G23" s="2494"/>
      <c r="H23" s="2494"/>
      <c r="I23" s="2494"/>
      <c r="J23" s="2494"/>
      <c r="K23" s="249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4" t="s">
        <v>2117</v>
      </c>
      <c r="C26" s="2494"/>
      <c r="D26" s="2494"/>
      <c r="E26" s="2494"/>
      <c r="F26" s="2494"/>
      <c r="G26" s="2494"/>
      <c r="H26" s="2494"/>
      <c r="I26" s="2494"/>
      <c r="J26" s="2494"/>
      <c r="K26" s="249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2118</v>
      </c>
      <c r="C29" s="2493"/>
      <c r="D29" s="2494"/>
      <c r="E29" s="2494"/>
      <c r="F29" s="2494"/>
      <c r="G29" s="2494"/>
      <c r="H29" s="2494"/>
      <c r="I29" s="2494"/>
      <c r="J29" s="2494"/>
      <c r="K29" s="249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3" t="s">
        <v>2119</v>
      </c>
      <c r="C32" s="2493"/>
      <c r="D32" s="2494"/>
      <c r="E32" s="2494"/>
      <c r="F32" s="2494"/>
      <c r="G32" s="2494"/>
      <c r="H32" s="2494"/>
      <c r="I32" s="2494"/>
      <c r="J32" s="2494"/>
      <c r="K32" s="249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Montmorency CCSD 145</v>
      </c>
      <c r="C1" s="2499"/>
      <c r="D1" s="2499"/>
      <c r="E1" s="2499"/>
      <c r="F1" s="2499"/>
      <c r="G1" s="2499"/>
      <c r="H1" s="2499"/>
      <c r="I1" s="2499"/>
      <c r="J1" s="2499"/>
      <c r="K1" s="2499"/>
      <c r="L1" s="1463"/>
    </row>
    <row r="2" spans="1:12" ht="12.75" customHeight="1" x14ac:dyDescent="0.2">
      <c r="B2" s="2500">
        <f>'Single Audit Cover'!E7</f>
        <v>47098145004</v>
      </c>
      <c r="C2" s="2500"/>
      <c r="D2" s="2500"/>
      <c r="E2" s="2500"/>
      <c r="F2" s="2500"/>
      <c r="G2" s="2500"/>
      <c r="H2" s="2500"/>
      <c r="I2" s="2500"/>
      <c r="J2" s="2500"/>
      <c r="K2" s="2500"/>
      <c r="L2" s="1464"/>
    </row>
    <row r="3" spans="1:12" ht="12.75" customHeight="1" x14ac:dyDescent="0.2">
      <c r="B3" s="2495" t="s">
        <v>1347</v>
      </c>
      <c r="C3" s="2495"/>
      <c r="D3" s="2495"/>
      <c r="E3" s="2495"/>
      <c r="F3" s="2495"/>
      <c r="G3" s="2495"/>
      <c r="H3" s="2495"/>
      <c r="I3" s="2495"/>
      <c r="J3" s="2495"/>
      <c r="K3" s="2495"/>
      <c r="L3" s="1375"/>
    </row>
    <row r="4" spans="1:12" ht="12.75" customHeight="1" x14ac:dyDescent="0.2">
      <c r="B4" s="2495" t="str">
        <f>'Single Audit Cover'!A4</f>
        <v>Year Ending June 30, 2018</v>
      </c>
      <c r="C4" s="2495"/>
      <c r="D4" s="2495"/>
      <c r="E4" s="2495"/>
      <c r="F4" s="2495"/>
      <c r="G4" s="2495"/>
      <c r="H4" s="2495"/>
      <c r="I4" s="2495"/>
      <c r="J4" s="2495"/>
      <c r="K4" s="2495"/>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9"/>
      <c r="G12" s="2479"/>
      <c r="H12" s="2479"/>
      <c r="I12" s="2479"/>
      <c r="J12" s="2479"/>
      <c r="K12" s="2479"/>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2"/>
      <c r="E14" s="2502"/>
      <c r="F14" s="2502"/>
      <c r="H14" s="1473" t="s">
        <v>1370</v>
      </c>
      <c r="I14" s="2503"/>
      <c r="J14" s="2503"/>
      <c r="K14" s="2503"/>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3"/>
      <c r="E16" s="2503"/>
      <c r="F16" s="2503"/>
      <c r="G16" s="2503"/>
      <c r="H16" s="2503"/>
      <c r="I16" s="2503"/>
      <c r="J16" s="2503"/>
      <c r="K16" s="2503"/>
      <c r="L16" s="322"/>
    </row>
    <row r="17" spans="2:12" ht="13.5" customHeight="1" x14ac:dyDescent="0.2">
      <c r="B17" s="1385" t="s">
        <v>1368</v>
      </c>
      <c r="C17" s="1385"/>
      <c r="D17" s="2504"/>
      <c r="E17" s="2504"/>
      <c r="F17" s="2504"/>
      <c r="G17" s="2504"/>
      <c r="H17" s="2504"/>
      <c r="I17" s="2504"/>
      <c r="J17" s="2504"/>
      <c r="K17" s="250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4"/>
      <c r="C20" s="2494"/>
      <c r="D20" s="2494"/>
      <c r="E20" s="2494"/>
      <c r="F20" s="2494"/>
      <c r="G20" s="2494"/>
      <c r="H20" s="2494"/>
      <c r="I20" s="2494"/>
      <c r="J20" s="2494"/>
      <c r="K20" s="249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2" t="str">
        <f>'Single Audit Cover'!A7</f>
        <v>Montmorency CCSD 145</v>
      </c>
      <c r="C1" s="2472"/>
      <c r="D1" s="2472"/>
      <c r="E1" s="1489"/>
    </row>
    <row r="2" spans="2:5" s="1280" customFormat="1" ht="12.75" hidden="1" customHeight="1" x14ac:dyDescent="0.2">
      <c r="B2" s="2474">
        <f>'Single Audit Cover'!E7</f>
        <v>47098145004</v>
      </c>
      <c r="C2" s="2474"/>
      <c r="D2" s="2474"/>
      <c r="E2" s="1490"/>
    </row>
    <row r="3" spans="2:5" ht="12.75" customHeight="1" x14ac:dyDescent="0.2">
      <c r="B3" s="2495" t="s">
        <v>1869</v>
      </c>
      <c r="C3" s="2495"/>
      <c r="D3" s="2495"/>
      <c r="E3" s="1272"/>
    </row>
    <row r="4" spans="2:5" s="1280" customFormat="1" ht="12.75" customHeight="1" x14ac:dyDescent="0.2">
      <c r="B4" s="2505" t="str">
        <f>'Single Audit Cover'!A4</f>
        <v>Year Ending June 30, 2018</v>
      </c>
      <c r="C4" s="2505"/>
      <c r="D4" s="2505"/>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954" t="s">
        <v>2103</v>
      </c>
      <c r="C8" s="1955" t="s">
        <v>2104</v>
      </c>
      <c r="D8" s="1955" t="s">
        <v>2105</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6ce3111e-7420-4802-b50a-75d4e9a0b980"/>
    <ds:schemaRef ds:uri="http://purl.org/dc/dcmitype/"/>
    <ds:schemaRef ds:uri="http://purl.org/dc/elements/1.1/"/>
    <ds:schemaRef ds:uri="http://schemas.openxmlformats.org/package/2006/metadata/core-properties"/>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Finding 2018-002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2018-10-02T14:27:36Z</cp:lastPrinted>
  <dcterms:created xsi:type="dcterms:W3CDTF">2003-10-29T19:06:34Z</dcterms:created>
  <dcterms:modified xsi:type="dcterms:W3CDTF">2018-10-24T17:17:30Z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